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A59" i="1" l="1"/>
  <c r="AJ59" i="1" l="1"/>
  <c r="W59" i="1"/>
  <c r="E80" i="1" l="1"/>
  <c r="Y80" i="1"/>
  <c r="F80" i="1"/>
  <c r="AP80" i="1"/>
  <c r="AJ80" i="1"/>
  <c r="AI80" i="1"/>
  <c r="C80" i="1"/>
  <c r="C258" i="1" l="1"/>
  <c r="C276" i="1"/>
  <c r="C384" i="1"/>
  <c r="C64" i="1"/>
  <c r="C389" i="1"/>
  <c r="C392" i="1"/>
  <c r="C200" i="1"/>
  <c r="C213" i="1"/>
  <c r="D213" i="1"/>
  <c r="D210" i="1"/>
  <c r="D215" i="1"/>
  <c r="D202" i="1"/>
  <c r="D200" i="1"/>
  <c r="C215" i="1" l="1"/>
  <c r="C210" i="1"/>
  <c r="C209" i="1"/>
  <c r="D111" i="1"/>
  <c r="J59" i="1"/>
  <c r="D114" i="1"/>
  <c r="AP61" i="1" l="1"/>
  <c r="AP59" i="1"/>
  <c r="C197" i="1"/>
  <c r="C202" i="1"/>
  <c r="C332" i="1"/>
  <c r="C306" i="1"/>
  <c r="C305" i="1"/>
  <c r="C272" i="1"/>
  <c r="C269" i="1"/>
  <c r="C262" i="1"/>
  <c r="C255" i="1"/>
  <c r="C253" i="1"/>
  <c r="C252" i="1"/>
  <c r="C286" i="1"/>
  <c r="C337" i="1"/>
  <c r="C380" i="1"/>
  <c r="C388" i="1"/>
  <c r="C387" i="1"/>
  <c r="C386" i="1"/>
  <c r="C385" i="1"/>
  <c r="C383" i="1"/>
  <c r="C382" i="1"/>
  <c r="C381" i="1"/>
  <c r="C379" i="1"/>
  <c r="C378" i="1"/>
  <c r="C370" i="1"/>
  <c r="C364" i="1"/>
  <c r="C365" i="1"/>
  <c r="C363" i="1"/>
  <c r="C360" i="1"/>
  <c r="C359" i="1"/>
  <c r="C323" i="1"/>
  <c r="C274" i="1"/>
  <c r="C180" i="1" l="1"/>
  <c r="C169" i="1"/>
  <c r="C168" i="1"/>
  <c r="AI59" i="1" l="1"/>
  <c r="AE59" i="1"/>
  <c r="X59" i="1"/>
  <c r="Y59" i="1"/>
  <c r="U59" i="1"/>
  <c r="E59" i="1"/>
  <c r="D139" i="1"/>
  <c r="D138" i="1"/>
  <c r="AP60" i="1" l="1"/>
  <c r="AE60" i="1"/>
  <c r="AJ60" i="1"/>
  <c r="BX60" i="1"/>
  <c r="BK60" i="1"/>
  <c r="AI60" i="1"/>
  <c r="AG60" i="1"/>
  <c r="Y60" i="1"/>
  <c r="U60" i="1"/>
  <c r="E60" i="1"/>
  <c r="C60" i="1"/>
  <c r="CE72" i="1"/>
  <c r="E77" i="1"/>
  <c r="AI77" i="1"/>
  <c r="Y79" i="1"/>
  <c r="P79" i="1"/>
  <c r="AI79" i="1"/>
  <c r="E79" i="1"/>
  <c r="C79" i="1"/>
  <c r="CD70" i="1" l="1"/>
  <c r="AP70" i="1"/>
  <c r="AB70" i="1"/>
  <c r="AP69" i="1"/>
  <c r="BN69" i="1"/>
  <c r="BX69" i="1"/>
  <c r="AG69" i="1"/>
  <c r="AE69" i="1"/>
  <c r="U69" i="1"/>
  <c r="E69" i="1"/>
  <c r="U63" i="1"/>
  <c r="BX63" i="1"/>
  <c r="BN63" i="1"/>
  <c r="BJ63" i="1"/>
  <c r="AY63" i="1"/>
  <c r="AP63" i="1"/>
  <c r="AG63" i="1"/>
  <c r="AC63" i="1"/>
  <c r="Y63" i="1"/>
  <c r="J63" i="1"/>
  <c r="E63" i="1"/>
  <c r="Y74" i="1" l="1"/>
  <c r="AJ74" i="1"/>
  <c r="AP74" i="1"/>
  <c r="AI74" i="1"/>
  <c r="AE74" i="1"/>
  <c r="AB74" i="1"/>
  <c r="AA74" i="1"/>
  <c r="Z74" i="1"/>
  <c r="X74" i="1"/>
  <c r="W74" i="1"/>
  <c r="U74" i="1"/>
  <c r="S74" i="1"/>
  <c r="D74" i="1"/>
  <c r="C74" i="1"/>
  <c r="C73" i="1"/>
  <c r="AI73" i="1"/>
  <c r="AG73" i="1"/>
  <c r="AE73" i="1"/>
  <c r="X73" i="1"/>
  <c r="Y73" i="1"/>
  <c r="U73" i="1"/>
  <c r="S73" i="1"/>
  <c r="E73" i="1"/>
  <c r="CC76" i="1"/>
  <c r="BE76" i="1"/>
  <c r="AB76" i="1"/>
  <c r="Y76" i="1"/>
  <c r="BX68" i="1"/>
  <c r="BS68" i="1"/>
  <c r="AP68" i="1"/>
  <c r="AJ68" i="1"/>
  <c r="AI68" i="1"/>
  <c r="AG68" i="1"/>
  <c r="AB68" i="1"/>
  <c r="AA68" i="1"/>
  <c r="Y68" i="1"/>
  <c r="X68" i="1"/>
  <c r="U68" i="1"/>
  <c r="P68" i="1"/>
  <c r="E68" i="1"/>
  <c r="BE66" i="1" l="1"/>
  <c r="AP66" i="1"/>
  <c r="BR66" i="1"/>
  <c r="AW66" i="1"/>
  <c r="BY66" i="1"/>
  <c r="BJ66" i="1"/>
  <c r="AR66" i="1"/>
  <c r="AJ66" i="1"/>
  <c r="BX66" i="1"/>
  <c r="BS66" i="1"/>
  <c r="AI66" i="1"/>
  <c r="AG66" i="1"/>
  <c r="AB66" i="1"/>
  <c r="Y66" i="1"/>
  <c r="AA66" i="1"/>
  <c r="U66" i="1"/>
  <c r="P66" i="1"/>
  <c r="E66" i="1"/>
  <c r="C66" i="1"/>
  <c r="AW65" i="1"/>
  <c r="BJ65" i="1"/>
  <c r="AR65" i="1"/>
  <c r="AP65" i="1"/>
  <c r="BH65" i="1"/>
  <c r="BE65" i="1"/>
  <c r="BD65" i="1"/>
  <c r="AQ65" i="1"/>
  <c r="AG65" i="1"/>
  <c r="AP64" i="1"/>
  <c r="CB64" i="1"/>
  <c r="BY64" i="1"/>
  <c r="BX64" i="1"/>
  <c r="BS64" i="1"/>
  <c r="AW64" i="1"/>
  <c r="AI64" i="1"/>
  <c r="AG64" i="1"/>
  <c r="AB64" i="1"/>
  <c r="AA64" i="1"/>
  <c r="Z64" i="1"/>
  <c r="Y64" i="1"/>
  <c r="X64" i="1"/>
  <c r="W64" i="1"/>
  <c r="U64" i="1"/>
  <c r="P64" i="1"/>
  <c r="E64" i="1"/>
  <c r="X61" i="1"/>
  <c r="BX61" i="1"/>
  <c r="BS61" i="1"/>
  <c r="BR61" i="1"/>
  <c r="BN61" i="1"/>
  <c r="BK61" i="1"/>
  <c r="BE61" i="1"/>
  <c r="AJ61" i="1"/>
  <c r="AI61" i="1"/>
  <c r="AG61" i="1"/>
  <c r="AB61" i="1"/>
  <c r="AA61" i="1"/>
  <c r="Y61" i="1"/>
  <c r="W61" i="1"/>
  <c r="U61" i="1"/>
  <c r="P61" i="1"/>
  <c r="E61" i="1"/>
  <c r="C61" i="1"/>
  <c r="E76" i="1" l="1"/>
  <c r="AJ76" i="1"/>
  <c r="AI76" i="1"/>
  <c r="AA76" i="1"/>
  <c r="X76" i="1"/>
  <c r="W76" i="1"/>
  <c r="U76" i="1"/>
  <c r="AW63" i="1" l="1"/>
  <c r="O817" i="10" l="1"/>
  <c r="L817" i="10"/>
  <c r="K817" i="10"/>
  <c r="J817" i="10"/>
  <c r="I817" i="10"/>
  <c r="H817" i="10"/>
  <c r="G817" i="10"/>
  <c r="E817" i="10"/>
  <c r="D817" i="10"/>
  <c r="X815" i="10"/>
  <c r="W815" i="10"/>
  <c r="U815" i="10"/>
  <c r="X813" i="10"/>
  <c r="W813" i="10"/>
  <c r="U813" i="10"/>
  <c r="A813" i="10"/>
  <c r="T812" i="10"/>
  <c r="S812" i="10"/>
  <c r="R812" i="10"/>
  <c r="Q812" i="10"/>
  <c r="M812" i="10"/>
  <c r="L812" i="10"/>
  <c r="K812" i="10"/>
  <c r="I812" i="10"/>
  <c r="H812" i="10"/>
  <c r="F812" i="10"/>
  <c r="D812" i="10"/>
  <c r="C812" i="10"/>
  <c r="A812" i="10"/>
  <c r="T811" i="10"/>
  <c r="S811" i="10"/>
  <c r="Q811" i="10"/>
  <c r="P811" i="10"/>
  <c r="M811" i="10"/>
  <c r="K811" i="10"/>
  <c r="I811" i="10"/>
  <c r="H811" i="10"/>
  <c r="F811" i="10"/>
  <c r="D811" i="10"/>
  <c r="C811" i="10"/>
  <c r="A811" i="10"/>
  <c r="T810" i="10"/>
  <c r="S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H808" i="10"/>
  <c r="F808" i="10"/>
  <c r="C808" i="10"/>
  <c r="A808" i="10"/>
  <c r="T807" i="10"/>
  <c r="S807" i="10"/>
  <c r="Q807" i="10"/>
  <c r="M807" i="10"/>
  <c r="H807" i="10"/>
  <c r="F807" i="10"/>
  <c r="C807" i="10"/>
  <c r="A807" i="10"/>
  <c r="T806" i="10"/>
  <c r="S806" i="10"/>
  <c r="Q806" i="10"/>
  <c r="P806" i="10"/>
  <c r="M806" i="10"/>
  <c r="L806" i="10"/>
  <c r="K806" i="10"/>
  <c r="I806" i="10"/>
  <c r="H806" i="10"/>
  <c r="G806" i="10"/>
  <c r="F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Q802" i="10"/>
  <c r="M802" i="10"/>
  <c r="L802" i="10"/>
  <c r="H802" i="10"/>
  <c r="F802" i="10"/>
  <c r="C802" i="10"/>
  <c r="A802" i="10"/>
  <c r="T801" i="10"/>
  <c r="S801" i="10"/>
  <c r="R801" i="10"/>
  <c r="Q801" i="10"/>
  <c r="P801" i="10"/>
  <c r="M801" i="10"/>
  <c r="L801" i="10"/>
  <c r="K801" i="10"/>
  <c r="G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F797" i="10"/>
  <c r="C797" i="10"/>
  <c r="A797" i="10"/>
  <c r="T796" i="10"/>
  <c r="S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Q794" i="10"/>
  <c r="P794" i="10"/>
  <c r="M794" i="10"/>
  <c r="L794" i="10"/>
  <c r="K794" i="10"/>
  <c r="I794" i="10"/>
  <c r="H794" i="10"/>
  <c r="G794" i="10"/>
  <c r="F794" i="10"/>
  <c r="A794" i="10"/>
  <c r="T793" i="10"/>
  <c r="S793" i="10"/>
  <c r="R793" i="10"/>
  <c r="Q793" i="10"/>
  <c r="P793" i="10"/>
  <c r="M793" i="10"/>
  <c r="L793" i="10"/>
  <c r="K793" i="10"/>
  <c r="G793" i="10"/>
  <c r="F793" i="10"/>
  <c r="D793" i="10"/>
  <c r="C793" i="10"/>
  <c r="A793" i="10"/>
  <c r="T792" i="10"/>
  <c r="S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Q791" i="10"/>
  <c r="P791" i="10"/>
  <c r="M791" i="10"/>
  <c r="L791" i="10"/>
  <c r="K791" i="10"/>
  <c r="G791" i="10"/>
  <c r="F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F788" i="10"/>
  <c r="B788" i="10"/>
  <c r="A788" i="10"/>
  <c r="T787" i="10"/>
  <c r="S787" i="10"/>
  <c r="R787" i="10"/>
  <c r="Q787" i="10"/>
  <c r="P787" i="10"/>
  <c r="M787" i="10"/>
  <c r="L787" i="10"/>
  <c r="K787" i="10"/>
  <c r="G787" i="10"/>
  <c r="F787" i="10"/>
  <c r="C787" i="10"/>
  <c r="A787" i="10"/>
  <c r="T786" i="10"/>
  <c r="S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Q780" i="10"/>
  <c r="P780" i="10"/>
  <c r="M780" i="10"/>
  <c r="K780" i="10"/>
  <c r="F780" i="10"/>
  <c r="D780" i="10"/>
  <c r="C780" i="10"/>
  <c r="A780" i="10"/>
  <c r="T779" i="10"/>
  <c r="S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Q775" i="10"/>
  <c r="P775" i="10"/>
  <c r="O775" i="10"/>
  <c r="M775" i="10"/>
  <c r="L775" i="10"/>
  <c r="K775" i="10"/>
  <c r="H775" i="10"/>
  <c r="G775" i="10"/>
  <c r="F775" i="10"/>
  <c r="D775" i="10"/>
  <c r="C775" i="10"/>
  <c r="B775" i="10"/>
  <c r="A775" i="10"/>
  <c r="T774" i="10"/>
  <c r="S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S773" i="10"/>
  <c r="Q773" i="10"/>
  <c r="P773" i="10"/>
  <c r="O773" i="10"/>
  <c r="B773" i="10"/>
  <c r="A773" i="10"/>
  <c r="T772" i="10"/>
  <c r="S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Q767" i="10"/>
  <c r="O767" i="10"/>
  <c r="M767" i="10"/>
  <c r="H767" i="10"/>
  <c r="A767" i="10"/>
  <c r="M766" i="10"/>
  <c r="K766" i="10"/>
  <c r="H766" i="10"/>
  <c r="F766" i="10"/>
  <c r="A766" i="10"/>
  <c r="T765" i="10"/>
  <c r="S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M764" i="10"/>
  <c r="K764" i="10"/>
  <c r="B764" i="10"/>
  <c r="A764" i="10"/>
  <c r="T763" i="10"/>
  <c r="S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P762" i="10"/>
  <c r="O762" i="10"/>
  <c r="M762" i="10"/>
  <c r="L762" i="10"/>
  <c r="K762" i="10"/>
  <c r="H762" i="10"/>
  <c r="G762" i="10"/>
  <c r="F762" i="10"/>
  <c r="D762" i="10"/>
  <c r="C762" i="10"/>
  <c r="B762" i="10"/>
  <c r="A762" i="10"/>
  <c r="T761" i="10"/>
  <c r="S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Q759" i="10"/>
  <c r="O759" i="10"/>
  <c r="K759" i="10"/>
  <c r="H759" i="10"/>
  <c r="F759" i="10"/>
  <c r="A759" i="10"/>
  <c r="T758" i="10"/>
  <c r="S758" i="10"/>
  <c r="Q758" i="10"/>
  <c r="O758" i="10"/>
  <c r="M758" i="10"/>
  <c r="L758" i="10"/>
  <c r="K758" i="10"/>
  <c r="H758" i="10"/>
  <c r="F758" i="10"/>
  <c r="C758" i="10"/>
  <c r="A758" i="10"/>
  <c r="T757" i="10"/>
  <c r="S757" i="10"/>
  <c r="Q757" i="10"/>
  <c r="P757" i="10"/>
  <c r="O757" i="10"/>
  <c r="M757" i="10"/>
  <c r="L757" i="10"/>
  <c r="K757" i="10"/>
  <c r="H757" i="10"/>
  <c r="F757" i="10"/>
  <c r="D757" i="10"/>
  <c r="C757" i="10"/>
  <c r="B757" i="10"/>
  <c r="A757" i="10"/>
  <c r="Q756" i="10"/>
  <c r="P756" i="10"/>
  <c r="M756" i="10"/>
  <c r="K756" i="10"/>
  <c r="H756" i="10"/>
  <c r="B756" i="10"/>
  <c r="A756" i="10"/>
  <c r="T755" i="10"/>
  <c r="S755" i="10"/>
  <c r="Q755" i="10"/>
  <c r="O755" i="10"/>
  <c r="M755" i="10"/>
  <c r="L755" i="10"/>
  <c r="H755" i="10"/>
  <c r="F755" i="10"/>
  <c r="A755" i="10"/>
  <c r="T754" i="10"/>
  <c r="S754" i="10"/>
  <c r="Q754" i="10"/>
  <c r="O754" i="10"/>
  <c r="M754" i="10"/>
  <c r="L754" i="10"/>
  <c r="K754" i="10"/>
  <c r="I754" i="10"/>
  <c r="H754" i="10"/>
  <c r="F754" i="10"/>
  <c r="C754" i="10"/>
  <c r="A754" i="10"/>
  <c r="T753" i="10"/>
  <c r="S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M752" i="10"/>
  <c r="H752" i="10"/>
  <c r="B752" i="10"/>
  <c r="A752" i="10"/>
  <c r="T751" i="10"/>
  <c r="S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Q747" i="10"/>
  <c r="P747" i="10"/>
  <c r="O747" i="10"/>
  <c r="M747" i="10"/>
  <c r="L747" i="10"/>
  <c r="H747" i="10"/>
  <c r="F747" i="10"/>
  <c r="B747" i="10"/>
  <c r="A747" i="10"/>
  <c r="T746" i="10"/>
  <c r="S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O736" i="10"/>
  <c r="M736" i="10"/>
  <c r="K736" i="10"/>
  <c r="F736" i="10"/>
  <c r="A736" i="10"/>
  <c r="T735" i="10"/>
  <c r="S735" i="10"/>
  <c r="Q735" i="10"/>
  <c r="P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Q734" i="10"/>
  <c r="P734" i="10"/>
  <c r="M734" i="10"/>
  <c r="L734" i="10"/>
  <c r="K734" i="10"/>
  <c r="H734" i="10"/>
  <c r="F734" i="10"/>
  <c r="C734" i="10"/>
  <c r="B734" i="10"/>
  <c r="A734" i="10"/>
  <c r="CF730" i="10"/>
  <c r="CE730" i="10"/>
  <c r="CC730" i="10"/>
  <c r="CB730" i="10"/>
  <c r="CA730" i="10"/>
  <c r="BZ730" i="10"/>
  <c r="BY730" i="10"/>
  <c r="BX730" i="10"/>
  <c r="BW730" i="10"/>
  <c r="BV730" i="10"/>
  <c r="BU730" i="10"/>
  <c r="BT730" i="10"/>
  <c r="BR730" i="10"/>
  <c r="BQ730" i="10"/>
  <c r="BP730" i="10"/>
  <c r="BN730" i="10"/>
  <c r="BM730" i="10"/>
  <c r="BK730" i="10"/>
  <c r="BJ730" i="10"/>
  <c r="BF730" i="10"/>
  <c r="BE730" i="10"/>
  <c r="BB730" i="10"/>
  <c r="BA730" i="10"/>
  <c r="AZ730" i="10"/>
  <c r="AY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F730" i="10"/>
  <c r="AE730" i="10"/>
  <c r="AD730" i="10"/>
  <c r="AC730" i="10"/>
  <c r="AB730" i="10"/>
  <c r="AA730" i="10"/>
  <c r="Z730" i="10"/>
  <c r="Y730" i="10"/>
  <c r="W730" i="10"/>
  <c r="S730" i="10"/>
  <c r="R730" i="10"/>
  <c r="N730" i="10"/>
  <c r="M730" i="10"/>
  <c r="K730" i="10"/>
  <c r="J730" i="10"/>
  <c r="I730" i="10"/>
  <c r="H730" i="10"/>
  <c r="G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G722" i="10"/>
  <c r="D722" i="10"/>
  <c r="C722" i="10"/>
  <c r="B722" i="10"/>
  <c r="A722" i="10"/>
  <c r="E550" i="10"/>
  <c r="F550" i="10"/>
  <c r="E546" i="10"/>
  <c r="H545" i="10"/>
  <c r="E545" i="10"/>
  <c r="F545" i="10"/>
  <c r="E544" i="10"/>
  <c r="F544" i="10"/>
  <c r="H540" i="10"/>
  <c r="F540" i="10"/>
  <c r="E540" i="10"/>
  <c r="H539" i="10"/>
  <c r="F539" i="10"/>
  <c r="E539" i="10"/>
  <c r="E538" i="10"/>
  <c r="H538" i="10"/>
  <c r="E537" i="10"/>
  <c r="H536" i="10"/>
  <c r="E536" i="10"/>
  <c r="F536" i="10"/>
  <c r="E535" i="10"/>
  <c r="F535" i="10"/>
  <c r="E534" i="10"/>
  <c r="F533" i="10"/>
  <c r="E533" i="10"/>
  <c r="H533" i="10"/>
  <c r="H532" i="10"/>
  <c r="F532" i="10"/>
  <c r="E532" i="10"/>
  <c r="E531" i="10"/>
  <c r="F531" i="10"/>
  <c r="E530" i="10"/>
  <c r="H530" i="10"/>
  <c r="F529" i="10"/>
  <c r="F528" i="10"/>
  <c r="H527" i="10"/>
  <c r="E527" i="10"/>
  <c r="F527" i="10"/>
  <c r="F526" i="10"/>
  <c r="E526" i="10"/>
  <c r="E525" i="10"/>
  <c r="H525" i="10"/>
  <c r="E524" i="10"/>
  <c r="F524" i="10"/>
  <c r="H523" i="10"/>
  <c r="F523" i="10"/>
  <c r="E523" i="10"/>
  <c r="F522" i="10"/>
  <c r="E522" i="10"/>
  <c r="F521" i="10"/>
  <c r="F519" i="10"/>
  <c r="E519" i="10"/>
  <c r="E518" i="10"/>
  <c r="F518" i="10"/>
  <c r="F517" i="10"/>
  <c r="F515" i="10"/>
  <c r="E515" i="10"/>
  <c r="E514" i="10"/>
  <c r="F514" i="10"/>
  <c r="F513" i="10"/>
  <c r="F512" i="10"/>
  <c r="E511" i="10"/>
  <c r="F511" i="10"/>
  <c r="E510" i="10"/>
  <c r="E509" i="10"/>
  <c r="F509" i="10"/>
  <c r="E508" i="10"/>
  <c r="H507" i="10"/>
  <c r="E507" i="10"/>
  <c r="F507" i="10"/>
  <c r="H506" i="10"/>
  <c r="F506" i="10"/>
  <c r="E506" i="10"/>
  <c r="H505" i="10"/>
  <c r="F505" i="10"/>
  <c r="E505" i="10"/>
  <c r="F504" i="10"/>
  <c r="E504" i="10"/>
  <c r="H504" i="10"/>
  <c r="E503" i="10"/>
  <c r="F503" i="10"/>
  <c r="F502" i="10"/>
  <c r="E502" i="10"/>
  <c r="H502" i="10"/>
  <c r="H501" i="10"/>
  <c r="F501" i="10"/>
  <c r="E501" i="10"/>
  <c r="H500" i="10"/>
  <c r="E500" i="10"/>
  <c r="F500" i="10"/>
  <c r="F499" i="10"/>
  <c r="E499" i="10"/>
  <c r="E497" i="10"/>
  <c r="F497" i="10"/>
  <c r="E496" i="10"/>
  <c r="F496" i="10"/>
  <c r="G493" i="10"/>
  <c r="E493" i="10"/>
  <c r="C493" i="10"/>
  <c r="A493" i="10"/>
  <c r="B475" i="10"/>
  <c r="B472" i="10"/>
  <c r="B471" i="10"/>
  <c r="C469" i="10"/>
  <c r="B469" i="10"/>
  <c r="B464" i="10"/>
  <c r="B463" i="10"/>
  <c r="C459" i="10"/>
  <c r="B459" i="10"/>
  <c r="B458" i="10"/>
  <c r="B455" i="10"/>
  <c r="B454" i="10"/>
  <c r="C447" i="10"/>
  <c r="C446" i="10"/>
  <c r="C444" i="10"/>
  <c r="B444" i="10"/>
  <c r="B440" i="10"/>
  <c r="B439" i="10"/>
  <c r="C438" i="10"/>
  <c r="B438" i="10"/>
  <c r="B437" i="10"/>
  <c r="D436" i="10"/>
  <c r="B436" i="10"/>
  <c r="B435" i="10"/>
  <c r="B434" i="10"/>
  <c r="D433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C392" i="10"/>
  <c r="CD730" i="10" s="1"/>
  <c r="C380" i="10"/>
  <c r="D372" i="10"/>
  <c r="C370" i="10"/>
  <c r="D367" i="10"/>
  <c r="C364" i="10"/>
  <c r="BL730" i="10" s="1"/>
  <c r="D361" i="10"/>
  <c r="N817" i="10" s="1"/>
  <c r="D329" i="10"/>
  <c r="C325" i="10"/>
  <c r="D328" i="10" s="1"/>
  <c r="D330" i="10" s="1"/>
  <c r="C324" i="10"/>
  <c r="AW730" i="10" s="1"/>
  <c r="C323" i="10"/>
  <c r="AV730" i="10" s="1"/>
  <c r="D319" i="10"/>
  <c r="D314" i="10"/>
  <c r="C306" i="10"/>
  <c r="AI730" i="10" s="1"/>
  <c r="C305" i="10"/>
  <c r="AH730" i="10" s="1"/>
  <c r="C304" i="10"/>
  <c r="AG730" i="10" s="1"/>
  <c r="D290" i="10"/>
  <c r="D283" i="10"/>
  <c r="C276" i="10"/>
  <c r="X730" i="10" s="1"/>
  <c r="C274" i="10"/>
  <c r="V730" i="10" s="1"/>
  <c r="C273" i="10"/>
  <c r="U730" i="10" s="1"/>
  <c r="C272" i="10"/>
  <c r="C269" i="10"/>
  <c r="Q730" i="10" s="1"/>
  <c r="C268" i="10"/>
  <c r="P730" i="10" s="1"/>
  <c r="C267" i="10"/>
  <c r="D265" i="10"/>
  <c r="C262" i="10"/>
  <c r="L730" i="10" s="1"/>
  <c r="C253" i="10"/>
  <c r="E730" i="10" s="1"/>
  <c r="C252" i="10"/>
  <c r="D730" i="10" s="1"/>
  <c r="C250" i="10"/>
  <c r="B730" i="10" s="1"/>
  <c r="D240" i="10"/>
  <c r="B447" i="10" s="1"/>
  <c r="D236" i="10"/>
  <c r="B446" i="10" s="1"/>
  <c r="C231" i="10"/>
  <c r="BZ722" i="10" s="1"/>
  <c r="D229" i="10"/>
  <c r="B445" i="10" s="1"/>
  <c r="D221" i="10"/>
  <c r="CD722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181" i="10"/>
  <c r="D177" i="10"/>
  <c r="D434" i="10" s="1"/>
  <c r="C171" i="10"/>
  <c r="H722" i="10" s="1"/>
  <c r="C169" i="10"/>
  <c r="F722" i="10" s="1"/>
  <c r="C168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D139" i="10"/>
  <c r="AI726" i="10" s="1"/>
  <c r="E138" i="10"/>
  <c r="C414" i="10" s="1"/>
  <c r="D138" i="10"/>
  <c r="AH726" i="10" s="1"/>
  <c r="E127" i="10"/>
  <c r="CE80" i="10"/>
  <c r="AP80" i="10"/>
  <c r="T773" i="10" s="1"/>
  <c r="AJ80" i="10"/>
  <c r="T767" i="10" s="1"/>
  <c r="AI80" i="10"/>
  <c r="T766" i="10" s="1"/>
  <c r="Y80" i="10"/>
  <c r="T756" i="10" s="1"/>
  <c r="E80" i="10"/>
  <c r="T736" i="10" s="1"/>
  <c r="CF79" i="10"/>
  <c r="AI79" i="10"/>
  <c r="S766" i="10" s="1"/>
  <c r="Y79" i="10"/>
  <c r="S756" i="10" s="1"/>
  <c r="P79" i="10"/>
  <c r="S747" i="10" s="1"/>
  <c r="E79" i="10"/>
  <c r="S736" i="10" s="1"/>
  <c r="AZ77" i="10"/>
  <c r="Q783" i="10" s="1"/>
  <c r="AI77" i="10"/>
  <c r="Q766" i="10" s="1"/>
  <c r="E77" i="10"/>
  <c r="Q736" i="10" s="1"/>
  <c r="CC76" i="10"/>
  <c r="P812" i="10" s="1"/>
  <c r="BX76" i="10"/>
  <c r="P807" i="10" s="1"/>
  <c r="BS76" i="10"/>
  <c r="P802" i="10" s="1"/>
  <c r="BE76" i="10"/>
  <c r="P788" i="10" s="1"/>
  <c r="AJ76" i="10"/>
  <c r="AI76" i="10"/>
  <c r="P766" i="10" s="1"/>
  <c r="AB76" i="10"/>
  <c r="P759" i="10" s="1"/>
  <c r="AA76" i="10"/>
  <c r="P758" i="10" s="1"/>
  <c r="X76" i="10"/>
  <c r="P755" i="10" s="1"/>
  <c r="W76" i="10"/>
  <c r="P754" i="10" s="1"/>
  <c r="U76" i="10"/>
  <c r="P752" i="10" s="1"/>
  <c r="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Z75" i="10"/>
  <c r="N757" i="10" s="1"/>
  <c r="X75" i="10"/>
  <c r="N755" i="10" s="1"/>
  <c r="V75" i="10"/>
  <c r="N753" i="10" s="1"/>
  <c r="U75" i="10"/>
  <c r="N752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CE74" i="10"/>
  <c r="C464" i="10" s="1"/>
  <c r="AP74" i="10"/>
  <c r="AJ74" i="10"/>
  <c r="AJ75" i="10" s="1"/>
  <c r="N767" i="10" s="1"/>
  <c r="AI74" i="10"/>
  <c r="AB74" i="10"/>
  <c r="AB75" i="10" s="1"/>
  <c r="N759" i="10" s="1"/>
  <c r="AA74" i="10"/>
  <c r="AA75" i="10" s="1"/>
  <c r="N758" i="10" s="1"/>
  <c r="Y74" i="10"/>
  <c r="X74" i="10"/>
  <c r="W74" i="10"/>
  <c r="W75" i="10" s="1"/>
  <c r="N754" i="10" s="1"/>
  <c r="U74" i="10"/>
  <c r="S74" i="10"/>
  <c r="E74" i="10"/>
  <c r="C74" i="10"/>
  <c r="AI73" i="10"/>
  <c r="O766" i="10" s="1"/>
  <c r="AG73" i="10"/>
  <c r="O764" i="10" s="1"/>
  <c r="Y73" i="10"/>
  <c r="O756" i="10" s="1"/>
  <c r="U73" i="10"/>
  <c r="O752" i="10" s="1"/>
  <c r="S73" i="10"/>
  <c r="O750" i="10" s="1"/>
  <c r="D73" i="10"/>
  <c r="O735" i="10" s="1"/>
  <c r="C73" i="10"/>
  <c r="O734" i="10" s="1"/>
  <c r="CD70" i="10"/>
  <c r="V813" i="10" s="1"/>
  <c r="V815" i="10" s="1"/>
  <c r="AP70" i="10"/>
  <c r="AB70" i="10"/>
  <c r="CB69" i="10"/>
  <c r="L811" i="10" s="1"/>
  <c r="BX69" i="10"/>
  <c r="L807" i="10" s="1"/>
  <c r="BN69" i="10"/>
  <c r="L797" i="10" s="1"/>
  <c r="AW69" i="10"/>
  <c r="L780" i="10" s="1"/>
  <c r="AP69" i="10"/>
  <c r="L773" i="10" s="1"/>
  <c r="AJ69" i="10"/>
  <c r="L767" i="10" s="1"/>
  <c r="AI69" i="10"/>
  <c r="L766" i="10" s="1"/>
  <c r="AG69" i="10"/>
  <c r="L764" i="10" s="1"/>
  <c r="AB69" i="10"/>
  <c r="L759" i="10" s="1"/>
  <c r="Y69" i="10"/>
  <c r="L756" i="10" s="1"/>
  <c r="U69" i="10"/>
  <c r="E69" i="10"/>
  <c r="L736" i="10" s="1"/>
  <c r="BX68" i="10"/>
  <c r="K807" i="10" s="1"/>
  <c r="BS68" i="10"/>
  <c r="K802" i="10" s="1"/>
  <c r="AP68" i="10"/>
  <c r="K773" i="10" s="1"/>
  <c r="AJ68" i="10"/>
  <c r="K767" i="10" s="1"/>
  <c r="X68" i="10"/>
  <c r="K755" i="10" s="1"/>
  <c r="U68" i="10"/>
  <c r="P68" i="10"/>
  <c r="K747" i="10" s="1"/>
  <c r="BY66" i="10"/>
  <c r="I808" i="10" s="1"/>
  <c r="BX66" i="10"/>
  <c r="I807" i="10" s="1"/>
  <c r="BS66" i="10"/>
  <c r="I802" i="10" s="1"/>
  <c r="BR66" i="10"/>
  <c r="I801" i="10" s="1"/>
  <c r="BJ66" i="10"/>
  <c r="I793" i="10" s="1"/>
  <c r="BH66" i="10"/>
  <c r="I791" i="10" s="1"/>
  <c r="BE66" i="10"/>
  <c r="I788" i="10" s="1"/>
  <c r="BD66" i="10"/>
  <c r="I787" i="10" s="1"/>
  <c r="AW66" i="10"/>
  <c r="I780" i="10" s="1"/>
  <c r="AR66" i="10"/>
  <c r="I775" i="10" s="1"/>
  <c r="AP66" i="10"/>
  <c r="I773" i="10" s="1"/>
  <c r="AJ66" i="10"/>
  <c r="I767" i="10" s="1"/>
  <c r="AI66" i="10"/>
  <c r="I766" i="10" s="1"/>
  <c r="AG66" i="10"/>
  <c r="I764" i="10" s="1"/>
  <c r="AE66" i="10"/>
  <c r="I762" i="10" s="1"/>
  <c r="AB66" i="10"/>
  <c r="I759" i="10" s="1"/>
  <c r="AA66" i="10"/>
  <c r="I758" i="10" s="1"/>
  <c r="Z66" i="10"/>
  <c r="I757" i="10" s="1"/>
  <c r="Y66" i="10"/>
  <c r="I756" i="10" s="1"/>
  <c r="X66" i="10"/>
  <c r="I755" i="10" s="1"/>
  <c r="U66" i="10"/>
  <c r="I752" i="10" s="1"/>
  <c r="P66" i="10"/>
  <c r="I747" i="10" s="1"/>
  <c r="E66" i="10"/>
  <c r="I736" i="10" s="1"/>
  <c r="C66" i="10"/>
  <c r="I734" i="10" s="1"/>
  <c r="BR65" i="10"/>
  <c r="H801" i="10" s="1"/>
  <c r="BJ65" i="10"/>
  <c r="H793" i="10" s="1"/>
  <c r="BH65" i="10"/>
  <c r="H791" i="10" s="1"/>
  <c r="BE65" i="10"/>
  <c r="H788" i="10" s="1"/>
  <c r="BD65" i="10"/>
  <c r="H787" i="10" s="1"/>
  <c r="AW65" i="10"/>
  <c r="H780" i="10" s="1"/>
  <c r="AP65" i="10"/>
  <c r="H773" i="10" s="1"/>
  <c r="AG65" i="10"/>
  <c r="H764" i="10" s="1"/>
  <c r="E65" i="10"/>
  <c r="H736" i="10" s="1"/>
  <c r="CC64" i="10"/>
  <c r="G812" i="10" s="1"/>
  <c r="CB64" i="10"/>
  <c r="G811" i="10" s="1"/>
  <c r="BY64" i="10"/>
  <c r="G808" i="10" s="1"/>
  <c r="BX64" i="10"/>
  <c r="G807" i="10" s="1"/>
  <c r="BS64" i="10"/>
  <c r="G802" i="10" s="1"/>
  <c r="BN64" i="10"/>
  <c r="G797" i="10" s="1"/>
  <c r="BE64" i="10"/>
  <c r="G788" i="10" s="1"/>
  <c r="AW64" i="10"/>
  <c r="G780" i="10" s="1"/>
  <c r="AP64" i="10"/>
  <c r="G773" i="10" s="1"/>
  <c r="AJ64" i="10"/>
  <c r="G767" i="10" s="1"/>
  <c r="AI64" i="10"/>
  <c r="G766" i="10" s="1"/>
  <c r="AG64" i="10"/>
  <c r="G764" i="10" s="1"/>
  <c r="AB64" i="10"/>
  <c r="G759" i="10" s="1"/>
  <c r="AA64" i="10"/>
  <c r="G758" i="10" s="1"/>
  <c r="Z64" i="10"/>
  <c r="G757" i="10" s="1"/>
  <c r="Y64" i="10"/>
  <c r="G756" i="10" s="1"/>
  <c r="X64" i="10"/>
  <c r="G755" i="10" s="1"/>
  <c r="W64" i="10"/>
  <c r="G754" i="10" s="1"/>
  <c r="U64" i="10"/>
  <c r="G752" i="10" s="1"/>
  <c r="P64" i="10"/>
  <c r="G747" i="10" s="1"/>
  <c r="E64" i="10"/>
  <c r="G736" i="10" s="1"/>
  <c r="C64" i="10"/>
  <c r="CE63" i="10"/>
  <c r="BR63" i="10"/>
  <c r="F801" i="10" s="1"/>
  <c r="AP63" i="10"/>
  <c r="F773" i="10" s="1"/>
  <c r="AJ63" i="10"/>
  <c r="F767" i="10" s="1"/>
  <c r="AG63" i="10"/>
  <c r="F764" i="10" s="1"/>
  <c r="Y63" i="10"/>
  <c r="F756" i="10" s="1"/>
  <c r="U63" i="10"/>
  <c r="F752" i="10" s="1"/>
  <c r="BY61" i="10"/>
  <c r="BX61" i="10"/>
  <c r="BW61" i="10"/>
  <c r="D806" i="10" s="1"/>
  <c r="BS61" i="10"/>
  <c r="D802" i="10" s="1"/>
  <c r="BR61" i="10"/>
  <c r="BN61" i="10"/>
  <c r="BK61" i="10"/>
  <c r="D794" i="10" s="1"/>
  <c r="BH61" i="10"/>
  <c r="BG61" i="10"/>
  <c r="D790" i="10" s="1"/>
  <c r="BE61" i="10"/>
  <c r="BD61" i="10"/>
  <c r="D787" i="10" s="1"/>
  <c r="AP61" i="10"/>
  <c r="D773" i="10" s="1"/>
  <c r="AJ61" i="10"/>
  <c r="AI61" i="10"/>
  <c r="D766" i="10" s="1"/>
  <c r="AG61" i="10"/>
  <c r="AB61" i="10"/>
  <c r="D759" i="10" s="1"/>
  <c r="AA61" i="10"/>
  <c r="D758" i="10" s="1"/>
  <c r="Y61" i="10"/>
  <c r="X61" i="10"/>
  <c r="D755" i="10" s="1"/>
  <c r="W61" i="10"/>
  <c r="D754" i="10" s="1"/>
  <c r="U61" i="10"/>
  <c r="P61" i="10"/>
  <c r="D747" i="10" s="1"/>
  <c r="E61" i="10"/>
  <c r="C61" i="10"/>
  <c r="D734" i="10" s="1"/>
  <c r="BK60" i="10"/>
  <c r="C794" i="10" s="1"/>
  <c r="BE60" i="10"/>
  <c r="C788" i="10" s="1"/>
  <c r="AP60" i="10"/>
  <c r="C773" i="10" s="1"/>
  <c r="AJ60" i="10"/>
  <c r="C767" i="10" s="1"/>
  <c r="AI60" i="10"/>
  <c r="C766" i="10" s="1"/>
  <c r="AG60" i="10"/>
  <c r="C764" i="10" s="1"/>
  <c r="AB60" i="10"/>
  <c r="C759" i="10" s="1"/>
  <c r="Y60" i="10"/>
  <c r="C756" i="10" s="1"/>
  <c r="X60" i="10"/>
  <c r="C755" i="10" s="1"/>
  <c r="U60" i="10"/>
  <c r="C752" i="10" s="1"/>
  <c r="P60" i="10"/>
  <c r="C747" i="10" s="1"/>
  <c r="E60" i="10"/>
  <c r="C736" i="10" s="1"/>
  <c r="AJ59" i="10"/>
  <c r="AI59" i="10"/>
  <c r="AA59" i="10"/>
  <c r="X59" i="10"/>
  <c r="W59" i="10"/>
  <c r="E59" i="10"/>
  <c r="B53" i="10"/>
  <c r="CE51" i="10"/>
  <c r="B49" i="10"/>
  <c r="CE47" i="10"/>
  <c r="D756" i="10" l="1"/>
  <c r="D807" i="10"/>
  <c r="CE65" i="10"/>
  <c r="P736" i="10"/>
  <c r="E78" i="10"/>
  <c r="R736" i="10" s="1"/>
  <c r="CE76" i="10"/>
  <c r="B755" i="10"/>
  <c r="E517" i="10"/>
  <c r="CE60" i="10"/>
  <c r="D808" i="10"/>
  <c r="G734" i="10"/>
  <c r="G815" i="10" s="1"/>
  <c r="CE64" i="10"/>
  <c r="T730" i="10"/>
  <c r="B473" i="10"/>
  <c r="B754" i="10"/>
  <c r="E516" i="10"/>
  <c r="D791" i="10"/>
  <c r="M759" i="10"/>
  <c r="M815" i="10" s="1"/>
  <c r="CE70" i="10"/>
  <c r="B766" i="10"/>
  <c r="E528" i="10"/>
  <c r="D736" i="10"/>
  <c r="D815" i="10" s="1"/>
  <c r="D764" i="10"/>
  <c r="M773" i="10"/>
  <c r="CE73" i="10"/>
  <c r="Y75" i="10"/>
  <c r="N756" i="10" s="1"/>
  <c r="B758" i="10"/>
  <c r="E520" i="10"/>
  <c r="T816" i="10"/>
  <c r="L612" i="10"/>
  <c r="B767" i="10"/>
  <c r="E529" i="10"/>
  <c r="D797" i="10"/>
  <c r="E722" i="10"/>
  <c r="D173" i="10"/>
  <c r="D428" i="10" s="1"/>
  <c r="D339" i="10"/>
  <c r="C482" i="10" s="1"/>
  <c r="F498" i="10"/>
  <c r="H534" i="10"/>
  <c r="F534" i="10"/>
  <c r="CE61" i="10"/>
  <c r="D752" i="10"/>
  <c r="D767" i="10"/>
  <c r="D801" i="10"/>
  <c r="C448" i="10"/>
  <c r="D368" i="10"/>
  <c r="D373" i="10" s="1"/>
  <c r="D391" i="10" s="1"/>
  <c r="D393" i="10" s="1"/>
  <c r="D396" i="10" s="1"/>
  <c r="O730" i="10"/>
  <c r="D275" i="10"/>
  <c r="B468" i="10"/>
  <c r="F537" i="10"/>
  <c r="AX730" i="10"/>
  <c r="B736" i="10"/>
  <c r="E498" i="10"/>
  <c r="H815" i="10"/>
  <c r="L752" i="10"/>
  <c r="CE69" i="10"/>
  <c r="P767" i="10"/>
  <c r="AJ78" i="10"/>
  <c r="R767" i="10" s="1"/>
  <c r="X78" i="10"/>
  <c r="R755" i="10" s="1"/>
  <c r="E204" i="10"/>
  <c r="C476" i="10" s="1"/>
  <c r="H508" i="10"/>
  <c r="F508" i="10"/>
  <c r="F516" i="10"/>
  <c r="D788" i="10"/>
  <c r="F816" i="10"/>
  <c r="C429" i="10"/>
  <c r="K752" i="10"/>
  <c r="K815" i="10" s="1"/>
  <c r="CE68" i="10"/>
  <c r="D435" i="10"/>
  <c r="D438" i="10"/>
  <c r="F817" i="10"/>
  <c r="BS730" i="10"/>
  <c r="B429" i="10"/>
  <c r="D390" i="10"/>
  <c r="B441" i="10" s="1"/>
  <c r="I815" i="10"/>
  <c r="CE66" i="10"/>
  <c r="C75" i="10"/>
  <c r="S75" i="10"/>
  <c r="N750" i="10" s="1"/>
  <c r="AI75" i="10"/>
  <c r="N766" i="10" s="1"/>
  <c r="CE77" i="10"/>
  <c r="CE79" i="10"/>
  <c r="D242" i="10"/>
  <c r="B448" i="10" s="1"/>
  <c r="B470" i="10"/>
  <c r="B474" i="10"/>
  <c r="CD71" i="10"/>
  <c r="C575" i="10" s="1"/>
  <c r="D75" i="10"/>
  <c r="N735" i="10" s="1"/>
  <c r="BS78" i="10"/>
  <c r="R802" i="10" s="1"/>
  <c r="B465" i="10"/>
  <c r="F546" i="10"/>
  <c r="O815" i="10"/>
  <c r="U78" i="10"/>
  <c r="R752" i="10" s="1"/>
  <c r="E139" i="10"/>
  <c r="C415" i="10" s="1"/>
  <c r="D260" i="10"/>
  <c r="M817" i="10"/>
  <c r="BO730" i="10"/>
  <c r="B453" i="10"/>
  <c r="F510" i="10"/>
  <c r="F520" i="10"/>
  <c r="C439" i="10"/>
  <c r="C445" i="10"/>
  <c r="F525" i="10"/>
  <c r="C615" i="10"/>
  <c r="B478" i="10"/>
  <c r="F530" i="10"/>
  <c r="F538" i="10"/>
  <c r="S815" i="10"/>
  <c r="T815" i="10"/>
  <c r="L815" i="10"/>
  <c r="C815" i="10"/>
  <c r="F815" i="10"/>
  <c r="Q815" i="10"/>
  <c r="S816" i="10" l="1"/>
  <c r="J612" i="10"/>
  <c r="Q816" i="10"/>
  <c r="G612" i="10"/>
  <c r="CF77" i="10"/>
  <c r="P816" i="10"/>
  <c r="D612" i="10"/>
  <c r="BW78" i="10"/>
  <c r="R806" i="10" s="1"/>
  <c r="BI78" i="10"/>
  <c r="R792" i="10" s="1"/>
  <c r="AT78" i="10"/>
  <c r="R777" i="10" s="1"/>
  <c r="AL78" i="10"/>
  <c r="R769" i="10" s="1"/>
  <c r="AD78" i="10"/>
  <c r="R761" i="10" s="1"/>
  <c r="V78" i="10"/>
  <c r="R753" i="10" s="1"/>
  <c r="N78" i="10"/>
  <c r="R745" i="10" s="1"/>
  <c r="F78" i="10"/>
  <c r="R737" i="10" s="1"/>
  <c r="BV78" i="10"/>
  <c r="R805" i="10" s="1"/>
  <c r="BH78" i="10"/>
  <c r="R791" i="10" s="1"/>
  <c r="AS78" i="10"/>
  <c r="R776" i="10" s="1"/>
  <c r="AK78" i="10"/>
  <c r="R768" i="10" s="1"/>
  <c r="AC78" i="10"/>
  <c r="R760" i="10" s="1"/>
  <c r="M78" i="10"/>
  <c r="R744" i="10" s="1"/>
  <c r="CF76" i="10"/>
  <c r="BU78" i="10"/>
  <c r="R804" i="10" s="1"/>
  <c r="BC78" i="10"/>
  <c r="R786" i="10" s="1"/>
  <c r="AR78" i="10"/>
  <c r="R775" i="10" s="1"/>
  <c r="AB78" i="10"/>
  <c r="R759" i="10" s="1"/>
  <c r="T78" i="10"/>
  <c r="R751" i="10" s="1"/>
  <c r="L78" i="10"/>
  <c r="R743" i="10" s="1"/>
  <c r="D78" i="10"/>
  <c r="R735" i="10" s="1"/>
  <c r="CA78" i="10"/>
  <c r="R810" i="10" s="1"/>
  <c r="BA78" i="10"/>
  <c r="R784" i="10" s="1"/>
  <c r="AP78" i="10"/>
  <c r="R773" i="10" s="1"/>
  <c r="AH78" i="10"/>
  <c r="R765" i="10" s="1"/>
  <c r="Z78" i="10"/>
  <c r="R757" i="10" s="1"/>
  <c r="R78" i="10"/>
  <c r="R749" i="10" s="1"/>
  <c r="J78" i="10"/>
  <c r="R741" i="10" s="1"/>
  <c r="BZ78" i="10"/>
  <c r="R809" i="10" s="1"/>
  <c r="BM78" i="10"/>
  <c r="R796" i="10" s="1"/>
  <c r="AW78" i="10"/>
  <c r="R780" i="10" s="1"/>
  <c r="AO78" i="10"/>
  <c r="R772" i="10" s="1"/>
  <c r="AG78" i="10"/>
  <c r="R764" i="10" s="1"/>
  <c r="Y78" i="10"/>
  <c r="R756" i="10" s="1"/>
  <c r="Q78" i="10"/>
  <c r="R748" i="10" s="1"/>
  <c r="I78" i="10"/>
  <c r="R740" i="10" s="1"/>
  <c r="AV78" i="10"/>
  <c r="R779" i="10" s="1"/>
  <c r="AA78" i="10"/>
  <c r="R758" i="10" s="1"/>
  <c r="E52" i="10"/>
  <c r="E67" i="10" s="1"/>
  <c r="J736" i="10" s="1"/>
  <c r="CB78" i="10"/>
  <c r="R811" i="10" s="1"/>
  <c r="AU78" i="10"/>
  <c r="R778" i="10" s="1"/>
  <c r="C78" i="10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Y78" i="10"/>
  <c r="R808" i="10" s="1"/>
  <c r="W78" i="10"/>
  <c r="R754" i="10" s="1"/>
  <c r="BG52" i="10"/>
  <c r="BG67" i="10" s="1"/>
  <c r="J790" i="10" s="1"/>
  <c r="AQ52" i="10"/>
  <c r="AQ67" i="10" s="1"/>
  <c r="J774" i="10" s="1"/>
  <c r="AI52" i="10"/>
  <c r="AI67" i="10" s="1"/>
  <c r="J766" i="10" s="1"/>
  <c r="S52" i="10"/>
  <c r="S67" i="10" s="1"/>
  <c r="J750" i="10" s="1"/>
  <c r="C52" i="10"/>
  <c r="BI52" i="10"/>
  <c r="BI67" i="10" s="1"/>
  <c r="J792" i="10" s="1"/>
  <c r="U52" i="10"/>
  <c r="U67" i="10" s="1"/>
  <c r="J752" i="10" s="1"/>
  <c r="AQ78" i="10"/>
  <c r="R774" i="10" s="1"/>
  <c r="BW52" i="10"/>
  <c r="BW67" i="10" s="1"/>
  <c r="J806" i="10" s="1"/>
  <c r="BO52" i="10"/>
  <c r="BO67" i="10" s="1"/>
  <c r="J798" i="10" s="1"/>
  <c r="AY52" i="10"/>
  <c r="AY67" i="10" s="1"/>
  <c r="J782" i="10" s="1"/>
  <c r="AA52" i="10"/>
  <c r="AA67" i="10" s="1"/>
  <c r="J758" i="10" s="1"/>
  <c r="K52" i="10"/>
  <c r="K67" i="10" s="1"/>
  <c r="J742" i="10" s="1"/>
  <c r="BY52" i="10"/>
  <c r="BY67" i="10" s="1"/>
  <c r="J808" i="10" s="1"/>
  <c r="M52" i="10"/>
  <c r="M67" i="10" s="1"/>
  <c r="J744" i="10" s="1"/>
  <c r="BX78" i="10"/>
  <c r="R807" i="10" s="1"/>
  <c r="AN78" i="10"/>
  <c r="R771" i="10" s="1"/>
  <c r="S78" i="10"/>
  <c r="R750" i="10" s="1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A52" i="10"/>
  <c r="CA67" i="10" s="1"/>
  <c r="J810" i="10" s="1"/>
  <c r="BC52" i="10"/>
  <c r="BC67" i="10" s="1"/>
  <c r="J786" i="10" s="1"/>
  <c r="AE52" i="10"/>
  <c r="AE67" i="10" s="1"/>
  <c r="J762" i="10" s="1"/>
  <c r="G52" i="10"/>
  <c r="G67" i="10" s="1"/>
  <c r="J738" i="10" s="1"/>
  <c r="BQ52" i="10"/>
  <c r="BQ67" i="10" s="1"/>
  <c r="J800" i="10" s="1"/>
  <c r="AC52" i="10"/>
  <c r="AC67" i="10" s="1"/>
  <c r="J760" i="10" s="1"/>
  <c r="BT78" i="10"/>
  <c r="R803" i="10" s="1"/>
  <c r="AM78" i="10"/>
  <c r="R770" i="10" s="1"/>
  <c r="P78" i="10"/>
  <c r="R747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S52" i="10"/>
  <c r="BS67" i="10" s="1"/>
  <c r="J802" i="10" s="1"/>
  <c r="AU52" i="10"/>
  <c r="AU67" i="10" s="1"/>
  <c r="J778" i="10" s="1"/>
  <c r="W52" i="10"/>
  <c r="W67" i="10" s="1"/>
  <c r="J754" i="10" s="1"/>
  <c r="BL78" i="10"/>
  <c r="R795" i="10" s="1"/>
  <c r="AI78" i="10"/>
  <c r="R766" i="10" s="1"/>
  <c r="O78" i="10"/>
  <c r="R746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K78" i="10"/>
  <c r="R794" i="10" s="1"/>
  <c r="AF78" i="10"/>
  <c r="R763" i="10" s="1"/>
  <c r="K78" i="10"/>
  <c r="R742" i="10" s="1"/>
  <c r="BK52" i="10"/>
  <c r="BK67" i="10" s="1"/>
  <c r="J794" i="10" s="1"/>
  <c r="AM52" i="10"/>
  <c r="AM67" i="10" s="1"/>
  <c r="J770" i="10" s="1"/>
  <c r="O52" i="10"/>
  <c r="O67" i="10" s="1"/>
  <c r="J746" i="10" s="1"/>
  <c r="AS52" i="10"/>
  <c r="AS67" i="10" s="1"/>
  <c r="J776" i="10" s="1"/>
  <c r="BB78" i="10"/>
  <c r="R785" i="10" s="1"/>
  <c r="AE78" i="10"/>
  <c r="R762" i="10" s="1"/>
  <c r="H78" i="10"/>
  <c r="R739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AD52" i="10"/>
  <c r="AD67" i="10" s="1"/>
  <c r="J761" i="10" s="1"/>
  <c r="V52" i="10"/>
  <c r="V67" i="10" s="1"/>
  <c r="J753" i="10" s="1"/>
  <c r="N52" i="10"/>
  <c r="N67" i="10" s="1"/>
  <c r="J745" i="10" s="1"/>
  <c r="F52" i="10"/>
  <c r="F67" i="10" s="1"/>
  <c r="J737" i="10" s="1"/>
  <c r="G78" i="10"/>
  <c r="R738" i="10" s="1"/>
  <c r="BA52" i="10"/>
  <c r="BA67" i="10" s="1"/>
  <c r="J784" i="10" s="1"/>
  <c r="AK52" i="10"/>
  <c r="AK67" i="10" s="1"/>
  <c r="J768" i="10" s="1"/>
  <c r="D816" i="10"/>
  <c r="C427" i="10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Q48" i="10"/>
  <c r="BQ62" i="10" s="1"/>
  <c r="BI48" i="10"/>
  <c r="BI62" i="10" s="1"/>
  <c r="AS48" i="10"/>
  <c r="AS62" i="10" s="1"/>
  <c r="AC48" i="10"/>
  <c r="AC62" i="10" s="1"/>
  <c r="M48" i="10"/>
  <c r="M62" i="10" s="1"/>
  <c r="E48" i="10"/>
  <c r="E62" i="10" s="1"/>
  <c r="BC48" i="10"/>
  <c r="BC62" i="10" s="1"/>
  <c r="O48" i="10"/>
  <c r="O62" i="10" s="1"/>
  <c r="BY48" i="10"/>
  <c r="BY62" i="10" s="1"/>
  <c r="BA48" i="10"/>
  <c r="BA62" i="10" s="1"/>
  <c r="AK48" i="10"/>
  <c r="AK62" i="10" s="1"/>
  <c r="U48" i="10"/>
  <c r="U62" i="10" s="1"/>
  <c r="AE48" i="10"/>
  <c r="AE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M48" i="10"/>
  <c r="BM62" i="10" s="1"/>
  <c r="AO48" i="10"/>
  <c r="AO62" i="10" s="1"/>
  <c r="Q48" i="10"/>
  <c r="Q62" i="10" s="1"/>
  <c r="AU48" i="10"/>
  <c r="AU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U48" i="10"/>
  <c r="BU62" i="10" s="1"/>
  <c r="AW48" i="10"/>
  <c r="AW62" i="10" s="1"/>
  <c r="Y48" i="10"/>
  <c r="Y62" i="10" s="1"/>
  <c r="BK48" i="10"/>
  <c r="BK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E48" i="10"/>
  <c r="BE62" i="10" s="1"/>
  <c r="AG48" i="10"/>
  <c r="AG62" i="10" s="1"/>
  <c r="I48" i="10"/>
  <c r="I62" i="10" s="1"/>
  <c r="CA48" i="10"/>
  <c r="CA62" i="10" s="1"/>
  <c r="AM48" i="10"/>
  <c r="AM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S48" i="10"/>
  <c r="BS62" i="10" s="1"/>
  <c r="W48" i="10"/>
  <c r="W62" i="10" s="1"/>
  <c r="G816" i="10"/>
  <c r="F612" i="10"/>
  <c r="C430" i="10"/>
  <c r="L816" i="10"/>
  <c r="C440" i="10"/>
  <c r="P815" i="10"/>
  <c r="N734" i="10"/>
  <c r="N815" i="10" s="1"/>
  <c r="CE75" i="10"/>
  <c r="O816" i="10"/>
  <c r="C463" i="10"/>
  <c r="H816" i="10"/>
  <c r="C431" i="10"/>
  <c r="I816" i="10"/>
  <c r="C432" i="10"/>
  <c r="K816" i="10"/>
  <c r="C434" i="10"/>
  <c r="B476" i="10"/>
  <c r="D277" i="10"/>
  <c r="D292" i="10" s="1"/>
  <c r="D341" i="10" s="1"/>
  <c r="C481" i="10" s="1"/>
  <c r="M816" i="10"/>
  <c r="C458" i="10"/>
  <c r="BI730" i="10"/>
  <c r="C816" i="10"/>
  <c r="H612" i="10"/>
  <c r="E765" i="10" l="1"/>
  <c r="AH71" i="10"/>
  <c r="E811" i="10"/>
  <c r="CB71" i="10"/>
  <c r="E794" i="10"/>
  <c r="BK71" i="10"/>
  <c r="E772" i="10"/>
  <c r="AO71" i="10"/>
  <c r="E808" i="10"/>
  <c r="BY71" i="10"/>
  <c r="E793" i="10"/>
  <c r="BJ71" i="10"/>
  <c r="E755" i="10"/>
  <c r="X71" i="10"/>
  <c r="E770" i="10"/>
  <c r="AM71" i="10"/>
  <c r="E757" i="10"/>
  <c r="Z71" i="10"/>
  <c r="E756" i="10"/>
  <c r="Y71" i="10"/>
  <c r="E774" i="10"/>
  <c r="AQ71" i="10"/>
  <c r="E796" i="10"/>
  <c r="BM71" i="10"/>
  <c r="E791" i="10"/>
  <c r="BH71" i="10"/>
  <c r="E746" i="10"/>
  <c r="O71" i="10"/>
  <c r="E737" i="10"/>
  <c r="F71" i="10"/>
  <c r="E801" i="10"/>
  <c r="BR71" i="10"/>
  <c r="E799" i="10"/>
  <c r="BP71" i="10"/>
  <c r="E771" i="10"/>
  <c r="AN71" i="10"/>
  <c r="E740" i="10"/>
  <c r="I71" i="10"/>
  <c r="E773" i="10"/>
  <c r="AP71" i="10"/>
  <c r="E804" i="10"/>
  <c r="BU71" i="10"/>
  <c r="E790" i="10"/>
  <c r="BG71" i="10"/>
  <c r="E743" i="10"/>
  <c r="L71" i="10"/>
  <c r="E807" i="10"/>
  <c r="BX71" i="10"/>
  <c r="E736" i="10"/>
  <c r="E71" i="10"/>
  <c r="E753" i="10"/>
  <c r="V71" i="10"/>
  <c r="E738" i="10"/>
  <c r="G71" i="10"/>
  <c r="E763" i="10"/>
  <c r="AF71" i="10"/>
  <c r="E786" i="10"/>
  <c r="BC71" i="10"/>
  <c r="E764" i="10"/>
  <c r="AG71" i="10"/>
  <c r="E751" i="10"/>
  <c r="T71" i="10"/>
  <c r="E761" i="10"/>
  <c r="AD71" i="10"/>
  <c r="E735" i="10"/>
  <c r="D71" i="10"/>
  <c r="E781" i="10"/>
  <c r="AX71" i="10"/>
  <c r="C62" i="10"/>
  <c r="CE48" i="10"/>
  <c r="E744" i="10"/>
  <c r="M71" i="10"/>
  <c r="N816" i="10"/>
  <c r="K612" i="10"/>
  <c r="C465" i="10"/>
  <c r="E754" i="10"/>
  <c r="W71" i="10"/>
  <c r="E787" i="10"/>
  <c r="BD71" i="10"/>
  <c r="E788" i="10"/>
  <c r="BE71" i="10"/>
  <c r="E789" i="10"/>
  <c r="BF71" i="10"/>
  <c r="E742" i="10"/>
  <c r="K71" i="10"/>
  <c r="E806" i="10"/>
  <c r="BW71" i="10"/>
  <c r="E759" i="10"/>
  <c r="AB71" i="10"/>
  <c r="E752" i="10"/>
  <c r="U71" i="10"/>
  <c r="E760" i="10"/>
  <c r="AC71" i="10"/>
  <c r="E769" i="10"/>
  <c r="AL71" i="10"/>
  <c r="E810" i="10"/>
  <c r="CA71" i="10"/>
  <c r="E798" i="10"/>
  <c r="BO71" i="10"/>
  <c r="E802" i="10"/>
  <c r="BS71" i="10"/>
  <c r="E795" i="10"/>
  <c r="BL71" i="10"/>
  <c r="E812" i="10"/>
  <c r="CC71" i="10"/>
  <c r="E797" i="10"/>
  <c r="BN71" i="10"/>
  <c r="E750" i="10"/>
  <c r="S71" i="10"/>
  <c r="E778" i="10"/>
  <c r="AU71" i="10"/>
  <c r="E767" i="10"/>
  <c r="AJ71" i="10"/>
  <c r="E768" i="10"/>
  <c r="AK71" i="10"/>
  <c r="E776" i="10"/>
  <c r="AS71" i="10"/>
  <c r="E777" i="10"/>
  <c r="AT71" i="10"/>
  <c r="C67" i="10"/>
  <c r="CE52" i="10"/>
  <c r="E782" i="10"/>
  <c r="AY71" i="10"/>
  <c r="E745" i="10"/>
  <c r="N71" i="10"/>
  <c r="E779" i="10"/>
  <c r="AV71" i="10"/>
  <c r="E762" i="10"/>
  <c r="AE71" i="10"/>
  <c r="E739" i="10"/>
  <c r="H71" i="10"/>
  <c r="E803" i="10"/>
  <c r="BT71" i="10"/>
  <c r="E741" i="10"/>
  <c r="J71" i="10"/>
  <c r="E805" i="10"/>
  <c r="BV71" i="10"/>
  <c r="E758" i="10"/>
  <c r="AA71" i="10"/>
  <c r="E748" i="10"/>
  <c r="Q71" i="10"/>
  <c r="E775" i="10"/>
  <c r="AR71" i="10"/>
  <c r="E784" i="10"/>
  <c r="BA71" i="10"/>
  <c r="E792" i="10"/>
  <c r="BI71" i="10"/>
  <c r="E785" i="10"/>
  <c r="BB71" i="10"/>
  <c r="R734" i="10"/>
  <c r="R815" i="10" s="1"/>
  <c r="CE78" i="10"/>
  <c r="E780" i="10"/>
  <c r="AW71" i="10"/>
  <c r="E809" i="10"/>
  <c r="BZ71" i="10"/>
  <c r="E747" i="10"/>
  <c r="P71" i="10"/>
  <c r="E749" i="10"/>
  <c r="R71" i="10"/>
  <c r="E766" i="10"/>
  <c r="AI71" i="10"/>
  <c r="E783" i="10"/>
  <c r="AZ71" i="10"/>
  <c r="E800" i="10"/>
  <c r="BQ71" i="10"/>
  <c r="C698" i="10" l="1"/>
  <c r="C526" i="10"/>
  <c r="C700" i="10"/>
  <c r="C528" i="10"/>
  <c r="C567" i="10"/>
  <c r="C642" i="10"/>
  <c r="C620" i="10"/>
  <c r="C574" i="10"/>
  <c r="C693" i="10"/>
  <c r="C521" i="10"/>
  <c r="C525" i="10"/>
  <c r="G525" i="10" s="1"/>
  <c r="C697" i="10"/>
  <c r="C563" i="10"/>
  <c r="C626" i="10"/>
  <c r="C638" i="10"/>
  <c r="C558" i="10"/>
  <c r="C683" i="10"/>
  <c r="C511" i="10"/>
  <c r="R816" i="10"/>
  <c r="I612" i="10"/>
  <c r="C709" i="10"/>
  <c r="C537" i="10"/>
  <c r="C675" i="10"/>
  <c r="C503" i="10"/>
  <c r="C713" i="10"/>
  <c r="C541" i="10"/>
  <c r="C711" i="10"/>
  <c r="C539" i="10"/>
  <c r="G539" i="10" s="1"/>
  <c r="C712" i="10"/>
  <c r="C540" i="10"/>
  <c r="G540" i="10" s="1"/>
  <c r="C557" i="10"/>
  <c r="C637" i="10"/>
  <c r="C703" i="10"/>
  <c r="C531" i="10"/>
  <c r="C643" i="10"/>
  <c r="C568" i="10"/>
  <c r="C549" i="10"/>
  <c r="C624" i="10"/>
  <c r="C542" i="10"/>
  <c r="C631" i="10"/>
  <c r="C524" i="10"/>
  <c r="C696" i="10"/>
  <c r="C529" i="10"/>
  <c r="C701" i="10"/>
  <c r="C550" i="10"/>
  <c r="C614" i="10"/>
  <c r="C699" i="10"/>
  <c r="C527" i="10"/>
  <c r="G527" i="10" s="1"/>
  <c r="J734" i="10"/>
  <c r="J815" i="10" s="1"/>
  <c r="CE67" i="10"/>
  <c r="C695" i="10"/>
  <c r="C523" i="10"/>
  <c r="G523" i="10" s="1"/>
  <c r="C644" i="10"/>
  <c r="C569" i="10"/>
  <c r="C532" i="10"/>
  <c r="G532" i="10" s="1"/>
  <c r="C704" i="10"/>
  <c r="C513" i="10"/>
  <c r="C685" i="10"/>
  <c r="C672" i="10"/>
  <c r="C500" i="10"/>
  <c r="G500" i="10" s="1"/>
  <c r="C677" i="10"/>
  <c r="C505" i="10"/>
  <c r="G505" i="10" s="1"/>
  <c r="C674" i="10"/>
  <c r="C502" i="10"/>
  <c r="G502" i="10" s="1"/>
  <c r="C671" i="10"/>
  <c r="C499" i="10"/>
  <c r="C708" i="10"/>
  <c r="C536" i="10"/>
  <c r="G536" i="10" s="1"/>
  <c r="C517" i="10"/>
  <c r="C689" i="10"/>
  <c r="C556" i="10"/>
  <c r="C635" i="10"/>
  <c r="C647" i="10"/>
  <c r="C572" i="10"/>
  <c r="C678" i="10"/>
  <c r="C506" i="10"/>
  <c r="G506" i="10" s="1"/>
  <c r="C707" i="10"/>
  <c r="C535" i="10"/>
  <c r="C706" i="10"/>
  <c r="C534" i="10"/>
  <c r="G534" i="10" s="1"/>
  <c r="C562" i="10"/>
  <c r="C623" i="10"/>
  <c r="C681" i="10"/>
  <c r="C509" i="10"/>
  <c r="C632" i="10"/>
  <c r="C547" i="10"/>
  <c r="C682" i="10"/>
  <c r="C510" i="10"/>
  <c r="C565" i="10"/>
  <c r="C640" i="10"/>
  <c r="C679" i="10"/>
  <c r="C507" i="10"/>
  <c r="G507" i="10" s="1"/>
  <c r="C710" i="10"/>
  <c r="C538" i="10"/>
  <c r="G538" i="10" s="1"/>
  <c r="C684" i="10"/>
  <c r="C512" i="10"/>
  <c r="C639" i="10"/>
  <c r="C564" i="10"/>
  <c r="C694" i="10"/>
  <c r="C522" i="10"/>
  <c r="C676" i="10"/>
  <c r="C504" i="10"/>
  <c r="G504" i="10" s="1"/>
  <c r="C688" i="10"/>
  <c r="C516" i="10"/>
  <c r="E734" i="10"/>
  <c r="E815" i="10" s="1"/>
  <c r="CE62" i="10"/>
  <c r="C71" i="10"/>
  <c r="C687" i="10"/>
  <c r="C515" i="10"/>
  <c r="C533" i="10"/>
  <c r="G533" i="10" s="1"/>
  <c r="C705" i="10"/>
  <c r="C690" i="10"/>
  <c r="C518" i="10"/>
  <c r="C555" i="10"/>
  <c r="C617" i="10"/>
  <c r="C622" i="10"/>
  <c r="C573" i="10"/>
  <c r="C618" i="10"/>
  <c r="C552" i="10"/>
  <c r="C625" i="10"/>
  <c r="C544" i="10"/>
  <c r="C616" i="10"/>
  <c r="C543" i="10"/>
  <c r="C508" i="10"/>
  <c r="G508" i="10" s="1"/>
  <c r="C680" i="10"/>
  <c r="C628" i="10"/>
  <c r="C545" i="10"/>
  <c r="G545" i="10" s="1"/>
  <c r="C646" i="10"/>
  <c r="C571" i="10"/>
  <c r="C634" i="10"/>
  <c r="C554" i="10"/>
  <c r="C692" i="10"/>
  <c r="C520" i="10"/>
  <c r="C673" i="10"/>
  <c r="C501" i="10"/>
  <c r="G501" i="10" s="1"/>
  <c r="C702" i="10"/>
  <c r="C530" i="10"/>
  <c r="G530" i="10" s="1"/>
  <c r="C559" i="10"/>
  <c r="C619" i="10"/>
  <c r="C627" i="10"/>
  <c r="C560" i="10"/>
  <c r="C686" i="10"/>
  <c r="C514" i="10"/>
  <c r="C551" i="10"/>
  <c r="C629" i="10"/>
  <c r="C669" i="10"/>
  <c r="C497" i="10"/>
  <c r="C548" i="10"/>
  <c r="C633" i="10"/>
  <c r="C670" i="10"/>
  <c r="C498" i="10"/>
  <c r="C566" i="10"/>
  <c r="C641" i="10"/>
  <c r="C621" i="10"/>
  <c r="C561" i="10"/>
  <c r="C553" i="10"/>
  <c r="C636" i="10"/>
  <c r="C691" i="10"/>
  <c r="C519" i="10"/>
  <c r="C645" i="10"/>
  <c r="C570" i="10"/>
  <c r="C546" i="10"/>
  <c r="C630" i="10"/>
  <c r="G531" i="10" l="1"/>
  <c r="H531" i="10" s="1"/>
  <c r="G526" i="10"/>
  <c r="H526" i="10"/>
  <c r="H544" i="10"/>
  <c r="G544" i="10"/>
  <c r="G513" i="10"/>
  <c r="H513" i="10"/>
  <c r="G516" i="10"/>
  <c r="H516" i="10"/>
  <c r="H512" i="10"/>
  <c r="G512" i="10"/>
  <c r="G510" i="10"/>
  <c r="H510" i="10"/>
  <c r="G503" i="10"/>
  <c r="H503" i="10"/>
  <c r="J816" i="10"/>
  <c r="C433" i="10"/>
  <c r="G521" i="10"/>
  <c r="H521" i="10"/>
  <c r="G518" i="10"/>
  <c r="H518" i="10"/>
  <c r="G524" i="10"/>
  <c r="H524" i="10"/>
  <c r="G519" i="10"/>
  <c r="H519" i="10"/>
  <c r="G498" i="10"/>
  <c r="H498" i="10" s="1"/>
  <c r="G514" i="10"/>
  <c r="H514" i="10"/>
  <c r="E816" i="10"/>
  <c r="C428" i="10"/>
  <c r="CE71" i="10"/>
  <c r="C716" i="10" s="1"/>
  <c r="G499" i="10"/>
  <c r="H499" i="10" s="1"/>
  <c r="H535" i="10"/>
  <c r="G535" i="10"/>
  <c r="C715" i="10"/>
  <c r="C648" i="10"/>
  <c r="M716" i="10" s="1"/>
  <c r="Y816" i="10" s="1"/>
  <c r="D615" i="10"/>
  <c r="G537" i="10"/>
  <c r="H537" i="10"/>
  <c r="G520" i="10"/>
  <c r="H520" i="10" s="1"/>
  <c r="G515" i="10"/>
  <c r="H515" i="10"/>
  <c r="G522" i="10"/>
  <c r="H522" i="10" s="1"/>
  <c r="G509" i="10"/>
  <c r="H509" i="10"/>
  <c r="G528" i="10"/>
  <c r="H528" i="10" s="1"/>
  <c r="G546" i="10"/>
  <c r="H546" i="10"/>
  <c r="G511" i="10"/>
  <c r="H511" i="10"/>
  <c r="G517" i="10"/>
  <c r="H517" i="10" s="1"/>
  <c r="G550" i="10"/>
  <c r="H550" i="10"/>
  <c r="H497" i="10"/>
  <c r="G497" i="10"/>
  <c r="C496" i="10"/>
  <c r="C668" i="10"/>
  <c r="G529" i="10"/>
  <c r="H529" i="10" s="1"/>
  <c r="G496" i="10" l="1"/>
  <c r="H496" i="10"/>
  <c r="C441" i="10"/>
  <c r="D709" i="10"/>
  <c r="D710" i="10"/>
  <c r="D716" i="10"/>
  <c r="D703" i="10"/>
  <c r="D695" i="10"/>
  <c r="D687" i="10"/>
  <c r="D679" i="10"/>
  <c r="D671" i="10"/>
  <c r="D712" i="10"/>
  <c r="D708" i="10"/>
  <c r="D700" i="10"/>
  <c r="D692" i="10"/>
  <c r="D684" i="10"/>
  <c r="D676" i="10"/>
  <c r="D668" i="10"/>
  <c r="D705" i="10"/>
  <c r="D697" i="10"/>
  <c r="D707" i="10"/>
  <c r="D699" i="10"/>
  <c r="D691" i="10"/>
  <c r="D683" i="10"/>
  <c r="D675" i="10"/>
  <c r="D644" i="10"/>
  <c r="D713" i="10"/>
  <c r="D711" i="10"/>
  <c r="D704" i="10"/>
  <c r="D696" i="10"/>
  <c r="D688" i="10"/>
  <c r="D680" i="10"/>
  <c r="D690" i="10"/>
  <c r="D669" i="10"/>
  <c r="D681" i="10"/>
  <c r="D677" i="10"/>
  <c r="D670" i="10"/>
  <c r="D629" i="10"/>
  <c r="D626" i="10"/>
  <c r="D621" i="10"/>
  <c r="D617" i="10"/>
  <c r="D701" i="10"/>
  <c r="D694" i="10"/>
  <c r="D678" i="10"/>
  <c r="D646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2" i="10"/>
  <c r="D673" i="10"/>
  <c r="D627" i="10"/>
  <c r="D689" i="10"/>
  <c r="D647" i="10"/>
  <c r="D623" i="10"/>
  <c r="D619" i="10"/>
  <c r="D625" i="10"/>
  <c r="D616" i="10"/>
  <c r="D686" i="10"/>
  <c r="D672" i="10"/>
  <c r="D698" i="10"/>
  <c r="D645" i="10"/>
  <c r="D628" i="10"/>
  <c r="D702" i="10"/>
  <c r="D693" i="10"/>
  <c r="D685" i="10"/>
  <c r="D622" i="10"/>
  <c r="D674" i="10"/>
  <c r="D620" i="10"/>
  <c r="D706" i="10"/>
  <c r="D618" i="10"/>
  <c r="D643" i="10"/>
  <c r="D715" i="10" l="1"/>
  <c r="E623" i="10"/>
  <c r="E612" i="10"/>
  <c r="E711" i="10" l="1"/>
  <c r="E713" i="10"/>
  <c r="E716" i="10"/>
  <c r="E712" i="10"/>
  <c r="E708" i="10"/>
  <c r="E700" i="10"/>
  <c r="E692" i="10"/>
  <c r="E684" i="10"/>
  <c r="E676" i="10"/>
  <c r="E668" i="10"/>
  <c r="E710" i="10"/>
  <c r="E705" i="10"/>
  <c r="E697" i="10"/>
  <c r="E689" i="10"/>
  <c r="E681" i="10"/>
  <c r="E673" i="10"/>
  <c r="E702" i="10"/>
  <c r="E704" i="10"/>
  <c r="E696" i="10"/>
  <c r="E688" i="10"/>
  <c r="E680" i="10"/>
  <c r="E672" i="10"/>
  <c r="E701" i="10"/>
  <c r="E693" i="10"/>
  <c r="E685" i="10"/>
  <c r="E687" i="10"/>
  <c r="E677" i="10"/>
  <c r="E670" i="10"/>
  <c r="E629" i="10"/>
  <c r="E626" i="10"/>
  <c r="E709" i="10"/>
  <c r="E707" i="10"/>
  <c r="E694" i="10"/>
  <c r="E678" i="10"/>
  <c r="E646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3" i="10"/>
  <c r="E699" i="10"/>
  <c r="E691" i="10"/>
  <c r="E671" i="10"/>
  <c r="E643" i="10"/>
  <c r="E695" i="10"/>
  <c r="E679" i="10"/>
  <c r="E647" i="10"/>
  <c r="E644" i="10"/>
  <c r="E706" i="10"/>
  <c r="E686" i="10"/>
  <c r="E674" i="10"/>
  <c r="E625" i="10"/>
  <c r="E683" i="10"/>
  <c r="E698" i="10"/>
  <c r="E690" i="10"/>
  <c r="E682" i="10"/>
  <c r="E675" i="10"/>
  <c r="E669" i="10"/>
  <c r="E645" i="10"/>
  <c r="E628" i="10"/>
  <c r="E627" i="10"/>
  <c r="E715" i="10" l="1"/>
  <c r="F624" i="10"/>
  <c r="F711" i="10" l="1"/>
  <c r="F710" i="10"/>
  <c r="F716" i="10"/>
  <c r="F712" i="10"/>
  <c r="F709" i="10"/>
  <c r="F705" i="10"/>
  <c r="F697" i="10"/>
  <c r="F689" i="10"/>
  <c r="F681" i="10"/>
  <c r="F673" i="10"/>
  <c r="F702" i="10"/>
  <c r="F694" i="10"/>
  <c r="F686" i="10"/>
  <c r="F678" i="10"/>
  <c r="F670" i="10"/>
  <c r="F647" i="10"/>
  <c r="F646" i="10"/>
  <c r="F645" i="10"/>
  <c r="F707" i="10"/>
  <c r="F699" i="10"/>
  <c r="F713" i="10"/>
  <c r="F701" i="10"/>
  <c r="F693" i="10"/>
  <c r="F685" i="10"/>
  <c r="F677" i="10"/>
  <c r="F669" i="10"/>
  <c r="F706" i="10"/>
  <c r="F698" i="10"/>
  <c r="F690" i="10"/>
  <c r="F682" i="10"/>
  <c r="F684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3" i="10"/>
  <c r="F691" i="10"/>
  <c r="F671" i="10"/>
  <c r="F643" i="10"/>
  <c r="F688" i="10"/>
  <c r="F672" i="10"/>
  <c r="F627" i="10"/>
  <c r="F692" i="10"/>
  <c r="F674" i="10"/>
  <c r="F625" i="10"/>
  <c r="F708" i="10"/>
  <c r="F704" i="10"/>
  <c r="F683" i="10"/>
  <c r="F675" i="10"/>
  <c r="F628" i="10"/>
  <c r="F687" i="10"/>
  <c r="F679" i="10"/>
  <c r="F676" i="10"/>
  <c r="F629" i="10"/>
  <c r="F668" i="10"/>
  <c r="F644" i="10"/>
  <c r="F696" i="10"/>
  <c r="F680" i="10"/>
  <c r="F626" i="10"/>
  <c r="F700" i="10"/>
  <c r="F695" i="10"/>
  <c r="F715" i="10" l="1"/>
  <c r="G625" i="10"/>
  <c r="G713" i="10" l="1"/>
  <c r="G716" i="10"/>
  <c r="G712" i="10"/>
  <c r="G710" i="10"/>
  <c r="G702" i="10"/>
  <c r="G694" i="10"/>
  <c r="G686" i="10"/>
  <c r="G678" i="10"/>
  <c r="G670" i="10"/>
  <c r="G647" i="10"/>
  <c r="G646" i="10"/>
  <c r="G645" i="10"/>
  <c r="G707" i="10"/>
  <c r="G699" i="10"/>
  <c r="G691" i="10"/>
  <c r="G683" i="10"/>
  <c r="G675" i="10"/>
  <c r="G644" i="10"/>
  <c r="G643" i="10"/>
  <c r="G642" i="10"/>
  <c r="G704" i="10"/>
  <c r="G696" i="10"/>
  <c r="G711" i="10"/>
  <c r="G706" i="10"/>
  <c r="G698" i="10"/>
  <c r="G690" i="10"/>
  <c r="G682" i="10"/>
  <c r="G674" i="10"/>
  <c r="G709" i="10"/>
  <c r="G703" i="10"/>
  <c r="G695" i="10"/>
  <c r="G687" i="10"/>
  <c r="G679" i="10"/>
  <c r="G681" i="10"/>
  <c r="G671" i="10"/>
  <c r="G705" i="10"/>
  <c r="G701" i="10"/>
  <c r="G688" i="10"/>
  <c r="G672" i="10"/>
  <c r="G627" i="10"/>
  <c r="G697" i="10"/>
  <c r="G685" i="10"/>
  <c r="G708" i="10"/>
  <c r="G689" i="10"/>
  <c r="G628" i="10"/>
  <c r="H628" i="10" s="1"/>
  <c r="G700" i="10"/>
  <c r="G680" i="10"/>
  <c r="G668" i="10"/>
  <c r="G637" i="10"/>
  <c r="G669" i="10"/>
  <c r="G634" i="10"/>
  <c r="G639" i="10"/>
  <c r="G631" i="10"/>
  <c r="G693" i="10"/>
  <c r="G636" i="10"/>
  <c r="G641" i="10"/>
  <c r="G633" i="10"/>
  <c r="G692" i="10"/>
  <c r="G677" i="10"/>
  <c r="G638" i="10"/>
  <c r="G630" i="10"/>
  <c r="G626" i="10"/>
  <c r="G684" i="10"/>
  <c r="G635" i="10"/>
  <c r="G676" i="10"/>
  <c r="G632" i="10"/>
  <c r="G673" i="10"/>
  <c r="G629" i="10"/>
  <c r="G640" i="10"/>
  <c r="G715" i="10" l="1"/>
  <c r="H713" i="10"/>
  <c r="H710" i="10"/>
  <c r="H712" i="10"/>
  <c r="H711" i="10"/>
  <c r="H707" i="10"/>
  <c r="H699" i="10"/>
  <c r="H691" i="10"/>
  <c r="H683" i="10"/>
  <c r="H675" i="10"/>
  <c r="H644" i="10"/>
  <c r="H704" i="10"/>
  <c r="H696" i="10"/>
  <c r="H688" i="10"/>
  <c r="H680" i="10"/>
  <c r="H672" i="10"/>
  <c r="H701" i="10"/>
  <c r="H716" i="10"/>
  <c r="H709" i="10"/>
  <c r="H703" i="10"/>
  <c r="H695" i="10"/>
  <c r="H687" i="10"/>
  <c r="H679" i="10"/>
  <c r="H671" i="10"/>
  <c r="H708" i="10"/>
  <c r="H700" i="10"/>
  <c r="H692" i="10"/>
  <c r="H684" i="10"/>
  <c r="H705" i="10"/>
  <c r="H694" i="10"/>
  <c r="H678" i="10"/>
  <c r="H646" i="10"/>
  <c r="H643" i="10"/>
  <c r="H697" i="10"/>
  <c r="H685" i="10"/>
  <c r="H682" i="10"/>
  <c r="H673" i="10"/>
  <c r="H706" i="10"/>
  <c r="H686" i="10"/>
  <c r="H668" i="10"/>
  <c r="H702" i="10"/>
  <c r="H698" i="10"/>
  <c r="H693" i="10"/>
  <c r="H676" i="10"/>
  <c r="H669" i="10"/>
  <c r="H645" i="10"/>
  <c r="H629" i="10"/>
  <c r="H634" i="10"/>
  <c r="H690" i="10"/>
  <c r="H642" i="10"/>
  <c r="H639" i="10"/>
  <c r="H631" i="10"/>
  <c r="H636" i="10"/>
  <c r="H689" i="10"/>
  <c r="H641" i="10"/>
  <c r="H633" i="10"/>
  <c r="H681" i="10"/>
  <c r="H677" i="10"/>
  <c r="H674" i="10"/>
  <c r="H638" i="10"/>
  <c r="H630" i="10"/>
  <c r="H635" i="10"/>
  <c r="H647" i="10"/>
  <c r="H640" i="10"/>
  <c r="H632" i="10"/>
  <c r="H670" i="10"/>
  <c r="H637" i="10"/>
  <c r="H715" i="10" l="1"/>
  <c r="I629" i="10"/>
  <c r="I710" i="10" l="1"/>
  <c r="I716" i="10"/>
  <c r="I709" i="10"/>
  <c r="I711" i="10"/>
  <c r="I704" i="10"/>
  <c r="I696" i="10"/>
  <c r="I688" i="10"/>
  <c r="I680" i="10"/>
  <c r="I672" i="10"/>
  <c r="I701" i="10"/>
  <c r="I693" i="10"/>
  <c r="I685" i="10"/>
  <c r="I677" i="10"/>
  <c r="I669" i="10"/>
  <c r="I706" i="10"/>
  <c r="I698" i="10"/>
  <c r="I708" i="10"/>
  <c r="I700" i="10"/>
  <c r="I692" i="10"/>
  <c r="I684" i="10"/>
  <c r="I676" i="10"/>
  <c r="I668" i="10"/>
  <c r="I705" i="10"/>
  <c r="I697" i="10"/>
  <c r="I689" i="10"/>
  <c r="I681" i="10"/>
  <c r="I707" i="10"/>
  <c r="I703" i="10"/>
  <c r="I691" i="10"/>
  <c r="I699" i="10"/>
  <c r="I682" i="10"/>
  <c r="I673" i="10"/>
  <c r="I713" i="10"/>
  <c r="I695" i="10"/>
  <c r="I679" i="10"/>
  <c r="I674" i="10"/>
  <c r="I647" i="10"/>
  <c r="I644" i="10"/>
  <c r="I712" i="10"/>
  <c r="I702" i="10"/>
  <c r="I683" i="10"/>
  <c r="I675" i="10"/>
  <c r="I645" i="10"/>
  <c r="I690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46" i="10"/>
  <c r="I642" i="10"/>
  <c r="I694" i="10"/>
  <c r="I686" i="10"/>
  <c r="I678" i="10"/>
  <c r="I671" i="10"/>
  <c r="I670" i="10"/>
  <c r="I643" i="10"/>
  <c r="I687" i="10"/>
  <c r="I715" i="10" l="1"/>
  <c r="J630" i="10"/>
  <c r="J716" i="10" l="1"/>
  <c r="J712" i="10"/>
  <c r="J713" i="10"/>
  <c r="J701" i="10"/>
  <c r="J693" i="10"/>
  <c r="J685" i="10"/>
  <c r="J677" i="10"/>
  <c r="J669" i="10"/>
  <c r="J706" i="10"/>
  <c r="J698" i="10"/>
  <c r="J690" i="10"/>
  <c r="J682" i="10"/>
  <c r="J674" i="10"/>
  <c r="J703" i="10"/>
  <c r="J705" i="10"/>
  <c r="J697" i="10"/>
  <c r="J689" i="10"/>
  <c r="J681" i="10"/>
  <c r="J673" i="10"/>
  <c r="J702" i="10"/>
  <c r="J694" i="10"/>
  <c r="J686" i="10"/>
  <c r="J678" i="10"/>
  <c r="J709" i="10"/>
  <c r="J699" i="10"/>
  <c r="J688" i="10"/>
  <c r="J672" i="10"/>
  <c r="J695" i="10"/>
  <c r="J679" i="10"/>
  <c r="J647" i="10"/>
  <c r="J644" i="10"/>
  <c r="J692" i="10"/>
  <c r="J704" i="10"/>
  <c r="J700" i="10"/>
  <c r="J680" i="10"/>
  <c r="J676" i="10"/>
  <c r="J641" i="10"/>
  <c r="J640" i="10"/>
  <c r="J639" i="10"/>
  <c r="J638" i="10"/>
  <c r="J637" i="10"/>
  <c r="J636" i="10"/>
  <c r="J635" i="10"/>
  <c r="J634" i="10"/>
  <c r="J633" i="10"/>
  <c r="J632" i="10"/>
  <c r="J631" i="10"/>
  <c r="J711" i="10"/>
  <c r="J696" i="10"/>
  <c r="J687" i="10"/>
  <c r="J670" i="10"/>
  <c r="J642" i="10"/>
  <c r="J710" i="10"/>
  <c r="J675" i="10"/>
  <c r="J645" i="10"/>
  <c r="J708" i="10"/>
  <c r="J671" i="10"/>
  <c r="J668" i="10"/>
  <c r="J707" i="10"/>
  <c r="J684" i="10"/>
  <c r="J643" i="10"/>
  <c r="J646" i="10"/>
  <c r="J691" i="10"/>
  <c r="J683" i="10"/>
  <c r="J715" i="10" l="1"/>
  <c r="K644" i="10"/>
  <c r="L647" i="10"/>
  <c r="L709" i="10" l="1"/>
  <c r="L710" i="10"/>
  <c r="L716" i="10"/>
  <c r="L703" i="10"/>
  <c r="L695" i="10"/>
  <c r="L687" i="10"/>
  <c r="L679" i="10"/>
  <c r="L671" i="10"/>
  <c r="L708" i="10"/>
  <c r="L700" i="10"/>
  <c r="L692" i="10"/>
  <c r="L684" i="10"/>
  <c r="L676" i="10"/>
  <c r="L668" i="10"/>
  <c r="L713" i="10"/>
  <c r="L711" i="10"/>
  <c r="L705" i="10"/>
  <c r="L697" i="10"/>
  <c r="M697" i="10" s="1"/>
  <c r="Y763" i="10" s="1"/>
  <c r="L707" i="10"/>
  <c r="L699" i="10"/>
  <c r="L691" i="10"/>
  <c r="L683" i="10"/>
  <c r="M683" i="10" s="1"/>
  <c r="Y749" i="10" s="1"/>
  <c r="L675" i="10"/>
  <c r="L704" i="10"/>
  <c r="L696" i="10"/>
  <c r="L688" i="10"/>
  <c r="L680" i="10"/>
  <c r="L682" i="10"/>
  <c r="L689" i="10"/>
  <c r="L674" i="10"/>
  <c r="M674" i="10" s="1"/>
  <c r="Y740" i="10" s="1"/>
  <c r="L686" i="10"/>
  <c r="L698" i="10"/>
  <c r="L690" i="10"/>
  <c r="L677" i="10"/>
  <c r="L670" i="10"/>
  <c r="L681" i="10"/>
  <c r="M681" i="10" s="1"/>
  <c r="Y747" i="10" s="1"/>
  <c r="L694" i="10"/>
  <c r="L672" i="10"/>
  <c r="L669" i="10"/>
  <c r="L678" i="10"/>
  <c r="L693" i="10"/>
  <c r="L702" i="10"/>
  <c r="M702" i="10" s="1"/>
  <c r="Y768" i="10" s="1"/>
  <c r="L685" i="10"/>
  <c r="L706" i="10"/>
  <c r="M706" i="10" s="1"/>
  <c r="Y772" i="10" s="1"/>
  <c r="L701" i="10"/>
  <c r="L673" i="10"/>
  <c r="M673" i="10" s="1"/>
  <c r="Y739" i="10" s="1"/>
  <c r="L712" i="10"/>
  <c r="K712" i="10"/>
  <c r="K709" i="10"/>
  <c r="K711" i="10"/>
  <c r="K713" i="10"/>
  <c r="K710" i="10"/>
  <c r="K706" i="10"/>
  <c r="K698" i="10"/>
  <c r="K690" i="10"/>
  <c r="K682" i="10"/>
  <c r="K674" i="10"/>
  <c r="K703" i="10"/>
  <c r="K695" i="10"/>
  <c r="K687" i="10"/>
  <c r="K679" i="10"/>
  <c r="K671" i="10"/>
  <c r="K708" i="10"/>
  <c r="K700" i="10"/>
  <c r="K702" i="10"/>
  <c r="K694" i="10"/>
  <c r="K686" i="10"/>
  <c r="K678" i="10"/>
  <c r="K670" i="10"/>
  <c r="K707" i="10"/>
  <c r="K699" i="10"/>
  <c r="K691" i="10"/>
  <c r="K683" i="10"/>
  <c r="K701" i="10"/>
  <c r="K697" i="10"/>
  <c r="K685" i="10"/>
  <c r="K673" i="10"/>
  <c r="K692" i="10"/>
  <c r="K689" i="10"/>
  <c r="K675" i="10"/>
  <c r="K668" i="10"/>
  <c r="K696" i="10"/>
  <c r="K693" i="10"/>
  <c r="K669" i="10"/>
  <c r="K684" i="10"/>
  <c r="K677" i="10"/>
  <c r="K704" i="10"/>
  <c r="K672" i="10"/>
  <c r="K681" i="10"/>
  <c r="K688" i="10"/>
  <c r="K680" i="10"/>
  <c r="K716" i="10"/>
  <c r="K676" i="10"/>
  <c r="K705" i="10"/>
  <c r="M678" i="10" l="1"/>
  <c r="Y744" i="10" s="1"/>
  <c r="M698" i="10"/>
  <c r="Y764" i="10" s="1"/>
  <c r="M704" i="10"/>
  <c r="Y770" i="10" s="1"/>
  <c r="M711" i="10"/>
  <c r="Y777" i="10" s="1"/>
  <c r="M671" i="10"/>
  <c r="Y737" i="10" s="1"/>
  <c r="M712" i="10"/>
  <c r="Y778" i="10" s="1"/>
  <c r="M669" i="10"/>
  <c r="Y735" i="10" s="1"/>
  <c r="M686" i="10"/>
  <c r="Y752" i="10" s="1"/>
  <c r="M675" i="10"/>
  <c r="Y741" i="10" s="1"/>
  <c r="M713" i="10"/>
  <c r="Y779" i="10" s="1"/>
  <c r="M679" i="10"/>
  <c r="Y745" i="10" s="1"/>
  <c r="M672" i="10"/>
  <c r="Y738" i="10" s="1"/>
  <c r="L715" i="10"/>
  <c r="M668" i="10"/>
  <c r="M687" i="10"/>
  <c r="Y753" i="10" s="1"/>
  <c r="M701" i="10"/>
  <c r="Y767" i="10" s="1"/>
  <c r="M694" i="10"/>
  <c r="Y760" i="10" s="1"/>
  <c r="M689" i="10"/>
  <c r="Y755" i="10" s="1"/>
  <c r="M691" i="10"/>
  <c r="Y757" i="10" s="1"/>
  <c r="M676" i="10"/>
  <c r="Y742" i="10" s="1"/>
  <c r="M695" i="10"/>
  <c r="Y761" i="10" s="1"/>
  <c r="M682" i="10"/>
  <c r="Y748" i="10" s="1"/>
  <c r="M699" i="10"/>
  <c r="Y765" i="10" s="1"/>
  <c r="M684" i="10"/>
  <c r="Y750" i="10" s="1"/>
  <c r="M703" i="10"/>
  <c r="Y769" i="10" s="1"/>
  <c r="M685" i="10"/>
  <c r="Y751" i="10" s="1"/>
  <c r="M670" i="10"/>
  <c r="Y736" i="10" s="1"/>
  <c r="M680" i="10"/>
  <c r="Y746" i="10" s="1"/>
  <c r="M707" i="10"/>
  <c r="Y773" i="10" s="1"/>
  <c r="M692" i="10"/>
  <c r="Y758" i="10" s="1"/>
  <c r="M688" i="10"/>
  <c r="Y754" i="10" s="1"/>
  <c r="M700" i="10"/>
  <c r="Y766" i="10" s="1"/>
  <c r="M710" i="10"/>
  <c r="Y776" i="10" s="1"/>
  <c r="M677" i="10"/>
  <c r="Y743" i="10" s="1"/>
  <c r="K715" i="10"/>
  <c r="M693" i="10"/>
  <c r="Y759" i="10" s="1"/>
  <c r="M690" i="10"/>
  <c r="Y756" i="10" s="1"/>
  <c r="M696" i="10"/>
  <c r="Y762" i="10" s="1"/>
  <c r="M705" i="10"/>
  <c r="Y771" i="10" s="1"/>
  <c r="M708" i="10"/>
  <c r="Y774" i="10" s="1"/>
  <c r="M709" i="10"/>
  <c r="Y775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F497" i="1" s="1"/>
  <c r="D496" i="1"/>
  <c r="G221" i="9"/>
  <c r="C384" i="9"/>
  <c r="C383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49" i="9"/>
  <c r="H349" i="9"/>
  <c r="G349" i="9"/>
  <c r="F349" i="9"/>
  <c r="E349" i="9"/>
  <c r="D349" i="9"/>
  <c r="C351" i="9"/>
  <c r="C349" i="9"/>
  <c r="I319" i="9"/>
  <c r="H319" i="9"/>
  <c r="I317" i="9"/>
  <c r="H317" i="9"/>
  <c r="G317" i="9"/>
  <c r="I287" i="9"/>
  <c r="H287" i="9"/>
  <c r="G287" i="9"/>
  <c r="I285" i="9"/>
  <c r="H285" i="9"/>
  <c r="G285" i="9"/>
  <c r="D287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29" i="9"/>
  <c r="D28" i="9"/>
  <c r="H105" i="9"/>
  <c r="G28" i="9"/>
  <c r="G29" i="9"/>
  <c r="G31" i="9"/>
  <c r="H92" i="9"/>
  <c r="I252" i="9"/>
  <c r="F284" i="9"/>
  <c r="H284" i="9"/>
  <c r="H316" i="9"/>
  <c r="D348" i="9"/>
  <c r="G348" i="9"/>
  <c r="E316" i="9"/>
  <c r="C96" i="9"/>
  <c r="F96" i="9"/>
  <c r="G156" i="9"/>
  <c r="G157" i="9"/>
  <c r="E160" i="9"/>
  <c r="G160" i="9"/>
  <c r="H28" i="9"/>
  <c r="I28" i="9"/>
  <c r="H29" i="9"/>
  <c r="F31" i="9"/>
  <c r="H31" i="9"/>
  <c r="I31" i="9"/>
  <c r="G32" i="9"/>
  <c r="H32" i="9"/>
  <c r="I32" i="9"/>
  <c r="C63" i="9"/>
  <c r="D60" i="9"/>
  <c r="E60" i="9"/>
  <c r="F60" i="9"/>
  <c r="G60" i="9"/>
  <c r="H60" i="9"/>
  <c r="D61" i="9"/>
  <c r="E61" i="9"/>
  <c r="F61" i="9"/>
  <c r="G61" i="9"/>
  <c r="D63" i="9"/>
  <c r="E63" i="9"/>
  <c r="F63" i="9"/>
  <c r="G63" i="9"/>
  <c r="D64" i="9"/>
  <c r="E64" i="9"/>
  <c r="F64" i="9"/>
  <c r="G64" i="9"/>
  <c r="H64" i="9"/>
  <c r="C92" i="9"/>
  <c r="C93" i="9"/>
  <c r="D92" i="9"/>
  <c r="D93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E95" i="9"/>
  <c r="F95" i="9"/>
  <c r="E96" i="9"/>
  <c r="C124" i="9"/>
  <c r="C125" i="9"/>
  <c r="C128" i="9"/>
  <c r="E124" i="9"/>
  <c r="F124" i="9"/>
  <c r="D125" i="9"/>
  <c r="E125" i="9"/>
  <c r="F125" i="9"/>
  <c r="E127" i="9"/>
  <c r="F127" i="9"/>
  <c r="E128" i="9"/>
  <c r="F128" i="9"/>
  <c r="I124" i="9"/>
  <c r="H125" i="9"/>
  <c r="I125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3" i="9"/>
  <c r="C224" i="9"/>
  <c r="D220" i="9"/>
  <c r="E220" i="9"/>
  <c r="D221" i="9"/>
  <c r="E221" i="9"/>
  <c r="D223" i="9"/>
  <c r="E223" i="9"/>
  <c r="D224" i="9"/>
  <c r="E224" i="9"/>
  <c r="F221" i="9"/>
  <c r="F223" i="9"/>
  <c r="C253" i="9"/>
  <c r="D253" i="9"/>
  <c r="E253" i="9"/>
  <c r="F253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H15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/>
  <c r="AS75" i="1"/>
  <c r="C218" i="9" s="1"/>
  <c r="AT75" i="1"/>
  <c r="D218" i="9" s="1"/>
  <c r="AU75" i="1"/>
  <c r="E218" i="9"/>
  <c r="AQ75" i="1"/>
  <c r="H186" i="9" s="1"/>
  <c r="AO75" i="1"/>
  <c r="AN75" i="1"/>
  <c r="E186" i="9" s="1"/>
  <c r="AM75" i="1"/>
  <c r="D186" i="9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F9" i="6" s="1"/>
  <c r="E198" i="1"/>
  <c r="E199" i="1"/>
  <c r="E200" i="1"/>
  <c r="C473" i="1" s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177" i="1"/>
  <c r="C20" i="5" s="1"/>
  <c r="E154" i="1"/>
  <c r="F28" i="4" s="1"/>
  <c r="E153" i="1"/>
  <c r="D463" i="1" s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C34" i="5"/>
  <c r="C16" i="8"/>
  <c r="C469" i="1"/>
  <c r="F8" i="6"/>
  <c r="I377" i="9"/>
  <c r="I26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CD71" i="1"/>
  <c r="E373" i="9" s="1"/>
  <c r="C615" i="1"/>
  <c r="E372" i="9"/>
  <c r="F499" i="1"/>
  <c r="F517" i="1"/>
  <c r="H505" i="1"/>
  <c r="F505" i="1"/>
  <c r="H501" i="1"/>
  <c r="F501" i="1"/>
  <c r="I372" i="9" l="1"/>
  <c r="E28" i="4"/>
  <c r="C575" i="1"/>
  <c r="I380" i="9"/>
  <c r="BY78" i="1"/>
  <c r="G350" i="9" s="1"/>
  <c r="BL78" i="1"/>
  <c r="H286" i="9" s="1"/>
  <c r="AV78" i="1"/>
  <c r="F222" i="9" s="1"/>
  <c r="AN78" i="1"/>
  <c r="E190" i="9" s="1"/>
  <c r="AF78" i="1"/>
  <c r="D158" i="9" s="1"/>
  <c r="P78" i="1"/>
  <c r="I62" i="9" s="1"/>
  <c r="H78" i="1"/>
  <c r="H30" i="9" s="1"/>
  <c r="BI78" i="1"/>
  <c r="E286" i="9" s="1"/>
  <c r="AL78" i="1"/>
  <c r="C190" i="9" s="1"/>
  <c r="V78" i="1"/>
  <c r="H94" i="9" s="1"/>
  <c r="K78" i="1"/>
  <c r="D62" i="9" s="1"/>
  <c r="CA78" i="1"/>
  <c r="I350" i="9" s="1"/>
  <c r="BA78" i="1"/>
  <c r="D254" i="9" s="1"/>
  <c r="Z78" i="1"/>
  <c r="E126" i="9" s="1"/>
  <c r="J78" i="1"/>
  <c r="C62" i="9" s="1"/>
  <c r="AO78" i="1"/>
  <c r="F190" i="9" s="1"/>
  <c r="I78" i="1"/>
  <c r="I30" i="9" s="1"/>
  <c r="BX78" i="1"/>
  <c r="F350" i="9" s="1"/>
  <c r="BK78" i="1"/>
  <c r="G286" i="9" s="1"/>
  <c r="AU78" i="1"/>
  <c r="E222" i="9" s="1"/>
  <c r="AM78" i="1"/>
  <c r="D190" i="9" s="1"/>
  <c r="AE78" i="1"/>
  <c r="C158" i="9" s="1"/>
  <c r="O78" i="1"/>
  <c r="H62" i="9" s="1"/>
  <c r="G78" i="1"/>
  <c r="G30" i="9" s="1"/>
  <c r="BW78" i="1"/>
  <c r="E350" i="9" s="1"/>
  <c r="AT78" i="1"/>
  <c r="D222" i="9" s="1"/>
  <c r="AD78" i="1"/>
  <c r="I126" i="9" s="1"/>
  <c r="N78" i="1"/>
  <c r="G62" i="9" s="1"/>
  <c r="F78" i="1"/>
  <c r="F30" i="9" s="1"/>
  <c r="AR78" i="1"/>
  <c r="I190" i="9" s="1"/>
  <c r="T78" i="1"/>
  <c r="F94" i="9" s="1"/>
  <c r="D78" i="1"/>
  <c r="D30" i="9" s="1"/>
  <c r="BT78" i="1"/>
  <c r="I318" i="9" s="1"/>
  <c r="BB78" i="1"/>
  <c r="E254" i="9" s="1"/>
  <c r="S78" i="1"/>
  <c r="E94" i="9" s="1"/>
  <c r="AP78" i="1"/>
  <c r="G190" i="9" s="1"/>
  <c r="BZ78" i="1"/>
  <c r="H350" i="9" s="1"/>
  <c r="AW78" i="1"/>
  <c r="G222" i="9" s="1"/>
  <c r="Q78" i="1"/>
  <c r="C94" i="9" s="1"/>
  <c r="BV78" i="1"/>
  <c r="D350" i="9" s="1"/>
  <c r="BH78" i="1"/>
  <c r="D286" i="9" s="1"/>
  <c r="AS78" i="1"/>
  <c r="C222" i="9" s="1"/>
  <c r="AK78" i="1"/>
  <c r="I158" i="9" s="1"/>
  <c r="AC78" i="1"/>
  <c r="H126" i="9" s="1"/>
  <c r="M78" i="1"/>
  <c r="F62" i="9" s="1"/>
  <c r="BU78" i="1"/>
  <c r="C350" i="9" s="1"/>
  <c r="BC78" i="1"/>
  <c r="F254" i="9" s="1"/>
  <c r="L78" i="1"/>
  <c r="E62" i="9" s="1"/>
  <c r="CB78" i="1"/>
  <c r="C382" i="9" s="1"/>
  <c r="C78" i="1"/>
  <c r="BS78" i="1"/>
  <c r="H318" i="9" s="1"/>
  <c r="R78" i="1"/>
  <c r="D94" i="9" s="1"/>
  <c r="BM78" i="1"/>
  <c r="I286" i="9" s="1"/>
  <c r="AG78" i="1"/>
  <c r="E158" i="9" s="1"/>
  <c r="AQ78" i="1"/>
  <c r="H190" i="9" s="1"/>
  <c r="AH78" i="1"/>
  <c r="F158" i="9" s="1"/>
  <c r="Y78" i="1"/>
  <c r="D126" i="9" s="1"/>
  <c r="AB78" i="1"/>
  <c r="G126" i="9" s="1"/>
  <c r="W78" i="1"/>
  <c r="I94" i="9" s="1"/>
  <c r="AI78" i="1"/>
  <c r="G158" i="9" s="1"/>
  <c r="U78" i="1"/>
  <c r="G94" i="9" s="1"/>
  <c r="X78" i="1"/>
  <c r="C126" i="9" s="1"/>
  <c r="AA78" i="1"/>
  <c r="F126" i="9" s="1"/>
  <c r="AJ78" i="1"/>
  <c r="H158" i="9" s="1"/>
  <c r="E78" i="1"/>
  <c r="E30" i="9" s="1"/>
  <c r="F15" i="6"/>
  <c r="D330" i="1"/>
  <c r="C86" i="8" s="1"/>
  <c r="C84" i="8"/>
  <c r="D32" i="6"/>
  <c r="F12" i="6"/>
  <c r="B440" i="1"/>
  <c r="B441" i="1"/>
  <c r="D5" i="7"/>
  <c r="D428" i="1"/>
  <c r="F10" i="4"/>
  <c r="G28" i="4"/>
  <c r="F19" i="4"/>
  <c r="C417" i="1"/>
  <c r="B10" i="4"/>
  <c r="C10" i="4"/>
  <c r="I362" i="9"/>
  <c r="I381" i="9"/>
  <c r="CF77" i="1"/>
  <c r="G612" i="1"/>
  <c r="C440" i="1"/>
  <c r="G122" i="9"/>
  <c r="I90" i="9"/>
  <c r="I370" i="9"/>
  <c r="C432" i="1"/>
  <c r="CF76" i="1"/>
  <c r="BD52" i="1" s="1"/>
  <c r="BD67" i="1" s="1"/>
  <c r="D612" i="1"/>
  <c r="C430" i="1"/>
  <c r="I366" i="9"/>
  <c r="BD48" i="1"/>
  <c r="BD62" i="1" s="1"/>
  <c r="AU48" i="1"/>
  <c r="AU62" i="1" s="1"/>
  <c r="BU48" i="1"/>
  <c r="BU62" i="1" s="1"/>
  <c r="C332" i="9" s="1"/>
  <c r="R48" i="1"/>
  <c r="R62" i="1" s="1"/>
  <c r="BN48" i="1"/>
  <c r="BN62" i="1" s="1"/>
  <c r="AA48" i="1"/>
  <c r="AA62" i="1" s="1"/>
  <c r="F108" i="9" s="1"/>
  <c r="BQ48" i="1"/>
  <c r="BQ62" i="1" s="1"/>
  <c r="F300" i="9" s="1"/>
  <c r="AH48" i="1"/>
  <c r="AH62" i="1" s="1"/>
  <c r="F140" i="9" s="1"/>
  <c r="BY48" i="1"/>
  <c r="BY62" i="1" s="1"/>
  <c r="BO48" i="1"/>
  <c r="BO62" i="1" s="1"/>
  <c r="D300" i="9" s="1"/>
  <c r="AT48" i="1"/>
  <c r="AT62" i="1" s="1"/>
  <c r="AG48" i="1"/>
  <c r="AG62" i="1" s="1"/>
  <c r="E140" i="9" s="1"/>
  <c r="AM48" i="1"/>
  <c r="AM62" i="1" s="1"/>
  <c r="X48" i="1"/>
  <c r="X62" i="1" s="1"/>
  <c r="V48" i="1"/>
  <c r="V62" i="1" s="1"/>
  <c r="AL48" i="1"/>
  <c r="AL62" i="1" s="1"/>
  <c r="AV48" i="1"/>
  <c r="AV62" i="1" s="1"/>
  <c r="BF48" i="1"/>
  <c r="BF62" i="1" s="1"/>
  <c r="BR48" i="1"/>
  <c r="BR62" i="1" s="1"/>
  <c r="CA48" i="1"/>
  <c r="CA62" i="1" s="1"/>
  <c r="BC48" i="1"/>
  <c r="BC62" i="1" s="1"/>
  <c r="N48" i="1"/>
  <c r="N62" i="1" s="1"/>
  <c r="G44" i="9" s="1"/>
  <c r="AF48" i="1"/>
  <c r="AF62" i="1" s="1"/>
  <c r="D140" i="9" s="1"/>
  <c r="AP48" i="1"/>
  <c r="AP62" i="1" s="1"/>
  <c r="BB48" i="1"/>
  <c r="BB62" i="1" s="1"/>
  <c r="BL48" i="1"/>
  <c r="BL62" i="1" s="1"/>
  <c r="H268" i="9" s="1"/>
  <c r="BV48" i="1"/>
  <c r="BV62" i="1" s="1"/>
  <c r="S48" i="1"/>
  <c r="S62" i="1" s="1"/>
  <c r="BG48" i="1"/>
  <c r="BG62" i="1" s="1"/>
  <c r="C268" i="9" s="1"/>
  <c r="Q48" i="1"/>
  <c r="Q62" i="1" s="1"/>
  <c r="BM48" i="1"/>
  <c r="BM62" i="1" s="1"/>
  <c r="BA48" i="1"/>
  <c r="BA62" i="1" s="1"/>
  <c r="BI48" i="1"/>
  <c r="BI62" i="1" s="1"/>
  <c r="E268" i="9" s="1"/>
  <c r="M48" i="1"/>
  <c r="M62" i="1" s="1"/>
  <c r="F44" i="9" s="1"/>
  <c r="P48" i="1"/>
  <c r="P62" i="1" s="1"/>
  <c r="C48" i="1"/>
  <c r="C62" i="1" s="1"/>
  <c r="C12" i="9" s="1"/>
  <c r="AI48" i="1"/>
  <c r="AI62" i="1" s="1"/>
  <c r="CC48" i="1"/>
  <c r="CC62" i="1" s="1"/>
  <c r="AO48" i="1"/>
  <c r="AO62" i="1" s="1"/>
  <c r="E48" i="1"/>
  <c r="E62" i="1" s="1"/>
  <c r="AC48" i="1"/>
  <c r="AC62" i="1" s="1"/>
  <c r="H108" i="9" s="1"/>
  <c r="H48" i="1"/>
  <c r="H62" i="1" s="1"/>
  <c r="AB48" i="1"/>
  <c r="AB62" i="1" s="1"/>
  <c r="F48" i="1"/>
  <c r="F62" i="1" s="1"/>
  <c r="AD48" i="1"/>
  <c r="AD62" i="1" s="1"/>
  <c r="AN48" i="1"/>
  <c r="AN62" i="1" s="1"/>
  <c r="AX48" i="1"/>
  <c r="AX62" i="1" s="1"/>
  <c r="H204" i="9" s="1"/>
  <c r="BJ48" i="1"/>
  <c r="BJ62" i="1" s="1"/>
  <c r="BT48" i="1"/>
  <c r="BT62" i="1" s="1"/>
  <c r="I300" i="9" s="1"/>
  <c r="AY48" i="1"/>
  <c r="AY62" i="1" s="1"/>
  <c r="I48" i="1"/>
  <c r="I62" i="1" s="1"/>
  <c r="AW48" i="1"/>
  <c r="AW62" i="1" s="1"/>
  <c r="AK48" i="1"/>
  <c r="AK62" i="1" s="1"/>
  <c r="C427" i="1"/>
  <c r="AE48" i="1"/>
  <c r="AE62" i="1" s="1"/>
  <c r="G48" i="1"/>
  <c r="G62" i="1" s="1"/>
  <c r="G12" i="9" s="1"/>
  <c r="L48" i="1"/>
  <c r="L62" i="1" s="1"/>
  <c r="I363" i="9"/>
  <c r="W48" i="1"/>
  <c r="W62" i="1" s="1"/>
  <c r="J48" i="1"/>
  <c r="J62" i="1" s="1"/>
  <c r="Z48" i="1"/>
  <c r="Z62" i="1" s="1"/>
  <c r="AJ48" i="1"/>
  <c r="AJ62" i="1" s="1"/>
  <c r="AR48" i="1"/>
  <c r="AR62" i="1" s="1"/>
  <c r="AZ48" i="1"/>
  <c r="AZ62" i="1" s="1"/>
  <c r="BH48" i="1"/>
  <c r="BH62" i="1" s="1"/>
  <c r="BP48" i="1"/>
  <c r="BP62" i="1" s="1"/>
  <c r="E300" i="9" s="1"/>
  <c r="BX48" i="1"/>
  <c r="BX62" i="1" s="1"/>
  <c r="CB48" i="1"/>
  <c r="CB62" i="1" s="1"/>
  <c r="C364" i="9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G76" i="9" s="1"/>
  <c r="O48" i="1"/>
  <c r="O62" i="1" s="1"/>
  <c r="H44" i="9" s="1"/>
  <c r="BS48" i="1"/>
  <c r="BS62" i="1" s="1"/>
  <c r="BZ48" i="1"/>
  <c r="BZ62" i="1" s="1"/>
  <c r="H332" i="9" s="1"/>
  <c r="D48" i="1"/>
  <c r="D62" i="1" s="1"/>
  <c r="D12" i="9" s="1"/>
  <c r="T48" i="1"/>
  <c r="T62" i="1" s="1"/>
  <c r="AS48" i="1"/>
  <c r="AS62" i="1" s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C30" i="9" l="1"/>
  <c r="CE78" i="1"/>
  <c r="D339" i="1"/>
  <c r="I140" i="9"/>
  <c r="D52" i="1"/>
  <c r="D67" i="1" s="1"/>
  <c r="D71" i="1" s="1"/>
  <c r="C497" i="1" s="1"/>
  <c r="BM52" i="1"/>
  <c r="BM67" i="1" s="1"/>
  <c r="I273" i="9" s="1"/>
  <c r="BN52" i="1"/>
  <c r="BN67" i="1" s="1"/>
  <c r="BN71" i="1" s="1"/>
  <c r="C309" i="9" s="1"/>
  <c r="G52" i="1"/>
  <c r="G67" i="1" s="1"/>
  <c r="G17" i="9" s="1"/>
  <c r="BQ52" i="1"/>
  <c r="BQ67" i="1" s="1"/>
  <c r="AX52" i="1"/>
  <c r="AX67" i="1" s="1"/>
  <c r="BF52" i="1"/>
  <c r="BF67" i="1" s="1"/>
  <c r="I241" i="9" s="1"/>
  <c r="BY52" i="1"/>
  <c r="BY67" i="1" s="1"/>
  <c r="AV52" i="1"/>
  <c r="AV67" i="1" s="1"/>
  <c r="BZ52" i="1"/>
  <c r="BZ67" i="1" s="1"/>
  <c r="BZ71" i="1" s="1"/>
  <c r="C646" i="1" s="1"/>
  <c r="BV52" i="1"/>
  <c r="BV67" i="1" s="1"/>
  <c r="BV71" i="1" s="1"/>
  <c r="C642" i="1" s="1"/>
  <c r="T52" i="1"/>
  <c r="T67" i="1" s="1"/>
  <c r="AY52" i="1"/>
  <c r="AY67" i="1" s="1"/>
  <c r="AB52" i="1"/>
  <c r="AB67" i="1" s="1"/>
  <c r="G113" i="9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G209" i="9" s="1"/>
  <c r="AM52" i="1"/>
  <c r="AM67" i="1" s="1"/>
  <c r="AM71" i="1" s="1"/>
  <c r="C532" i="1" s="1"/>
  <c r="G532" i="1" s="1"/>
  <c r="BR52" i="1"/>
  <c r="BR67" i="1" s="1"/>
  <c r="BR71" i="1" s="1"/>
  <c r="G309" i="9" s="1"/>
  <c r="AA52" i="1"/>
  <c r="AA67" i="1" s="1"/>
  <c r="AA71" i="1" s="1"/>
  <c r="F117" i="9" s="1"/>
  <c r="M52" i="1"/>
  <c r="M67" i="1" s="1"/>
  <c r="CB52" i="1"/>
  <c r="CB67" i="1" s="1"/>
  <c r="F52" i="1"/>
  <c r="F67" i="1" s="1"/>
  <c r="F17" i="9" s="1"/>
  <c r="BC52" i="1"/>
  <c r="BC67" i="1" s="1"/>
  <c r="BC71" i="1" s="1"/>
  <c r="AO52" i="1"/>
  <c r="AO67" i="1" s="1"/>
  <c r="AO71" i="1" s="1"/>
  <c r="F181" i="9" s="1"/>
  <c r="O52" i="1"/>
  <c r="O67" i="1" s="1"/>
  <c r="O71" i="1" s="1"/>
  <c r="C680" i="1" s="1"/>
  <c r="CA52" i="1"/>
  <c r="CA67" i="1" s="1"/>
  <c r="CA71" i="1" s="1"/>
  <c r="X52" i="1"/>
  <c r="X67" i="1" s="1"/>
  <c r="X71" i="1" s="1"/>
  <c r="BK52" i="1"/>
  <c r="BK67" i="1" s="1"/>
  <c r="U52" i="1"/>
  <c r="U67" i="1" s="1"/>
  <c r="P52" i="1"/>
  <c r="P67" i="1" s="1"/>
  <c r="P71" i="1" s="1"/>
  <c r="I52" i="1"/>
  <c r="I67" i="1" s="1"/>
  <c r="I71" i="1" s="1"/>
  <c r="C674" i="1" s="1"/>
  <c r="Q52" i="1"/>
  <c r="Q67" i="1" s="1"/>
  <c r="Q71" i="1" s="1"/>
  <c r="C510" i="1" s="1"/>
  <c r="G510" i="1" s="1"/>
  <c r="L52" i="1"/>
  <c r="L67" i="1" s="1"/>
  <c r="L71" i="1" s="1"/>
  <c r="E52" i="1"/>
  <c r="E67" i="1" s="1"/>
  <c r="AJ52" i="1"/>
  <c r="AJ67" i="1" s="1"/>
  <c r="AJ71" i="1" s="1"/>
  <c r="BG52" i="1"/>
  <c r="BG67" i="1" s="1"/>
  <c r="BG71" i="1" s="1"/>
  <c r="C552" i="1" s="1"/>
  <c r="J52" i="1"/>
  <c r="J67" i="1" s="1"/>
  <c r="BU52" i="1"/>
  <c r="BU67" i="1" s="1"/>
  <c r="AT52" i="1"/>
  <c r="AT67" i="1" s="1"/>
  <c r="AT71" i="1" s="1"/>
  <c r="C711" i="1" s="1"/>
  <c r="CC52" i="1"/>
  <c r="CC67" i="1" s="1"/>
  <c r="CC71" i="1" s="1"/>
  <c r="D373" i="9" s="1"/>
  <c r="AE52" i="1"/>
  <c r="AE67" i="1" s="1"/>
  <c r="AE71" i="1" s="1"/>
  <c r="C524" i="1" s="1"/>
  <c r="G524" i="1" s="1"/>
  <c r="AH52" i="1"/>
  <c r="AH67" i="1" s="1"/>
  <c r="AQ52" i="1"/>
  <c r="AQ67" i="1" s="1"/>
  <c r="AQ71" i="1" s="1"/>
  <c r="H181" i="9" s="1"/>
  <c r="BS52" i="1"/>
  <c r="BS67" i="1" s="1"/>
  <c r="BS71" i="1" s="1"/>
  <c r="BL52" i="1"/>
  <c r="BL67" i="1" s="1"/>
  <c r="BL71" i="1" s="1"/>
  <c r="C637" i="1" s="1"/>
  <c r="R52" i="1"/>
  <c r="R67" i="1" s="1"/>
  <c r="R71" i="1" s="1"/>
  <c r="D85" i="9" s="1"/>
  <c r="AU52" i="1"/>
  <c r="AU67" i="1" s="1"/>
  <c r="N52" i="1"/>
  <c r="N67" i="1" s="1"/>
  <c r="N71" i="1" s="1"/>
  <c r="G53" i="9" s="1"/>
  <c r="AG52" i="1"/>
  <c r="AG67" i="1" s="1"/>
  <c r="AG71" i="1" s="1"/>
  <c r="C698" i="1" s="1"/>
  <c r="BP52" i="1"/>
  <c r="BP67" i="1" s="1"/>
  <c r="BP71" i="1" s="1"/>
  <c r="AD52" i="1"/>
  <c r="AD67" i="1" s="1"/>
  <c r="AD71" i="1" s="1"/>
  <c r="C695" i="1" s="1"/>
  <c r="BO52" i="1"/>
  <c r="BO67" i="1" s="1"/>
  <c r="BO71" i="1" s="1"/>
  <c r="C627" i="1" s="1"/>
  <c r="AR52" i="1"/>
  <c r="AR67" i="1" s="1"/>
  <c r="BA52" i="1"/>
  <c r="BA67" i="1" s="1"/>
  <c r="BA71" i="1" s="1"/>
  <c r="C546" i="1" s="1"/>
  <c r="G546" i="1" s="1"/>
  <c r="AF52" i="1"/>
  <c r="AF67" i="1" s="1"/>
  <c r="AF71" i="1" s="1"/>
  <c r="C525" i="1" s="1"/>
  <c r="G525" i="1" s="1"/>
  <c r="BW52" i="1"/>
  <c r="BW67" i="1" s="1"/>
  <c r="AN52" i="1"/>
  <c r="AN67" i="1" s="1"/>
  <c r="AN71" i="1" s="1"/>
  <c r="C533" i="1" s="1"/>
  <c r="G533" i="1" s="1"/>
  <c r="H52" i="1"/>
  <c r="H67" i="1" s="1"/>
  <c r="V52" i="1"/>
  <c r="V67" i="1" s="1"/>
  <c r="V71" i="1" s="1"/>
  <c r="C687" i="1" s="1"/>
  <c r="BB52" i="1"/>
  <c r="BB67" i="1" s="1"/>
  <c r="BB71" i="1" s="1"/>
  <c r="C632" i="1" s="1"/>
  <c r="C52" i="1"/>
  <c r="AP52" i="1"/>
  <c r="AP67" i="1" s="1"/>
  <c r="AP71" i="1" s="1"/>
  <c r="S52" i="1"/>
  <c r="S67" i="1" s="1"/>
  <c r="AL52" i="1"/>
  <c r="AL67" i="1" s="1"/>
  <c r="AL71" i="1" s="1"/>
  <c r="AI52" i="1"/>
  <c r="AI67" i="1" s="1"/>
  <c r="AI71" i="1" s="1"/>
  <c r="C700" i="1" s="1"/>
  <c r="BJ52" i="1"/>
  <c r="BJ67" i="1" s="1"/>
  <c r="BT52" i="1"/>
  <c r="BT67" i="1" s="1"/>
  <c r="BT71" i="1" s="1"/>
  <c r="BX52" i="1"/>
  <c r="BX67" i="1" s="1"/>
  <c r="AC52" i="1"/>
  <c r="AC67" i="1" s="1"/>
  <c r="AC71" i="1" s="1"/>
  <c r="C694" i="1" s="1"/>
  <c r="BI52" i="1"/>
  <c r="BI67" i="1" s="1"/>
  <c r="Y52" i="1"/>
  <c r="Y67" i="1" s="1"/>
  <c r="Y71" i="1" s="1"/>
  <c r="AS52" i="1"/>
  <c r="AS67" i="1" s="1"/>
  <c r="AS71" i="1" s="1"/>
  <c r="K52" i="1"/>
  <c r="K67" i="1" s="1"/>
  <c r="K71" i="1" s="1"/>
  <c r="D53" i="9" s="1"/>
  <c r="Z52" i="1"/>
  <c r="Z67" i="1" s="1"/>
  <c r="W52" i="1"/>
  <c r="W67" i="1" s="1"/>
  <c r="W71" i="1" s="1"/>
  <c r="C516" i="1" s="1"/>
  <c r="G516" i="1" s="1"/>
  <c r="AZ52" i="1"/>
  <c r="AZ67" i="1" s="1"/>
  <c r="AZ71" i="1" s="1"/>
  <c r="C545" i="1" s="1"/>
  <c r="G545" i="1" s="1"/>
  <c r="BH52" i="1"/>
  <c r="BH67" i="1" s="1"/>
  <c r="BH71" i="1" s="1"/>
  <c r="C636" i="1" s="1"/>
  <c r="F71" i="1"/>
  <c r="F21" i="9" s="1"/>
  <c r="I268" i="9"/>
  <c r="D332" i="9"/>
  <c r="G236" i="9"/>
  <c r="BD71" i="1"/>
  <c r="G245" i="9" s="1"/>
  <c r="I108" i="9"/>
  <c r="D172" i="9"/>
  <c r="H140" i="9"/>
  <c r="E12" i="9"/>
  <c r="G332" i="9"/>
  <c r="C300" i="9"/>
  <c r="D44" i="9"/>
  <c r="I332" i="9"/>
  <c r="E204" i="9"/>
  <c r="C172" i="9"/>
  <c r="G172" i="9"/>
  <c r="D204" i="9"/>
  <c r="C108" i="9"/>
  <c r="I236" i="9"/>
  <c r="E172" i="9"/>
  <c r="C44" i="9"/>
  <c r="D236" i="9"/>
  <c r="G300" i="9"/>
  <c r="H76" i="9"/>
  <c r="F172" i="9"/>
  <c r="F76" i="9"/>
  <c r="G108" i="9"/>
  <c r="D364" i="9"/>
  <c r="I204" i="9"/>
  <c r="H12" i="9"/>
  <c r="C76" i="9"/>
  <c r="D76" i="9"/>
  <c r="G140" i="9"/>
  <c r="F204" i="9"/>
  <c r="I172" i="9"/>
  <c r="F236" i="9"/>
  <c r="E236" i="9"/>
  <c r="I76" i="9"/>
  <c r="F12" i="9"/>
  <c r="F268" i="9"/>
  <c r="E76" i="9"/>
  <c r="E44" i="9"/>
  <c r="G204" i="9"/>
  <c r="E332" i="9"/>
  <c r="C140" i="9"/>
  <c r="I12" i="9"/>
  <c r="I44" i="9"/>
  <c r="D108" i="9"/>
  <c r="E108" i="9"/>
  <c r="D268" i="9"/>
  <c r="C236" i="9"/>
  <c r="F332" i="9"/>
  <c r="CE48" i="1"/>
  <c r="CE62" i="1"/>
  <c r="C428" i="1" s="1"/>
  <c r="C204" i="9"/>
  <c r="H172" i="9"/>
  <c r="H300" i="9"/>
  <c r="D27" i="7"/>
  <c r="B448" i="1"/>
  <c r="F544" i="1"/>
  <c r="H536" i="1"/>
  <c r="F536" i="1"/>
  <c r="F528" i="1"/>
  <c r="F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G241" i="9"/>
  <c r="I612" i="1" l="1"/>
  <c r="I382" i="9"/>
  <c r="C369" i="9"/>
  <c r="BM71" i="1"/>
  <c r="C638" i="1" s="1"/>
  <c r="D17" i="9"/>
  <c r="BF71" i="1"/>
  <c r="C629" i="1" s="1"/>
  <c r="G305" i="9"/>
  <c r="G71" i="1"/>
  <c r="G21" i="9" s="1"/>
  <c r="C305" i="9"/>
  <c r="BQ71" i="1"/>
  <c r="F309" i="9" s="1"/>
  <c r="D337" i="9"/>
  <c r="AX71" i="1"/>
  <c r="C616" i="1" s="1"/>
  <c r="AB71" i="1"/>
  <c r="C521" i="1" s="1"/>
  <c r="G521" i="1" s="1"/>
  <c r="CB71" i="1"/>
  <c r="C373" i="9" s="1"/>
  <c r="D177" i="9"/>
  <c r="F305" i="9"/>
  <c r="G337" i="9"/>
  <c r="H241" i="9"/>
  <c r="T71" i="1"/>
  <c r="C685" i="1" s="1"/>
  <c r="C559" i="1"/>
  <c r="C619" i="1"/>
  <c r="BY71" i="1"/>
  <c r="C645" i="1" s="1"/>
  <c r="C692" i="1"/>
  <c r="F113" i="9"/>
  <c r="C520" i="1"/>
  <c r="G520" i="1" s="1"/>
  <c r="AY71" i="1"/>
  <c r="C544" i="1" s="1"/>
  <c r="G544" i="1" s="1"/>
  <c r="I209" i="9"/>
  <c r="AW71" i="1"/>
  <c r="C542" i="1" s="1"/>
  <c r="F209" i="9"/>
  <c r="AV71" i="1"/>
  <c r="F49" i="9"/>
  <c r="F81" i="9"/>
  <c r="H209" i="9"/>
  <c r="C702" i="1"/>
  <c r="I149" i="9"/>
  <c r="M71" i="1"/>
  <c r="F53" i="9" s="1"/>
  <c r="I145" i="9"/>
  <c r="H337" i="9"/>
  <c r="C181" i="9"/>
  <c r="C531" i="1"/>
  <c r="G531" i="1" s="1"/>
  <c r="C571" i="1"/>
  <c r="C706" i="1"/>
  <c r="C626" i="1"/>
  <c r="C563" i="1"/>
  <c r="C640" i="1"/>
  <c r="C565" i="1"/>
  <c r="I309" i="9"/>
  <c r="C535" i="1"/>
  <c r="G535" i="1" s="1"/>
  <c r="C707" i="1"/>
  <c r="G181" i="9"/>
  <c r="C561" i="1"/>
  <c r="C621" i="1"/>
  <c r="I341" i="9"/>
  <c r="C647" i="1"/>
  <c r="C572" i="1"/>
  <c r="D117" i="9"/>
  <c r="C518" i="1"/>
  <c r="G518" i="1" s="1"/>
  <c r="C690" i="1"/>
  <c r="C701" i="1"/>
  <c r="H149" i="9"/>
  <c r="C529" i="1"/>
  <c r="G529" i="1" s="1"/>
  <c r="E273" i="9"/>
  <c r="H17" i="9"/>
  <c r="D81" i="9"/>
  <c r="E17" i="9"/>
  <c r="E71" i="1"/>
  <c r="C703" i="1"/>
  <c r="C502" i="1"/>
  <c r="G502" i="1" s="1"/>
  <c r="C499" i="1"/>
  <c r="H71" i="1"/>
  <c r="C501" i="1" s="1"/>
  <c r="G501" i="1" s="1"/>
  <c r="D273" i="9"/>
  <c r="D49" i="9"/>
  <c r="H113" i="9"/>
  <c r="G145" i="9"/>
  <c r="C67" i="1"/>
  <c r="CE52" i="1"/>
  <c r="E177" i="9"/>
  <c r="I177" i="9"/>
  <c r="E145" i="9"/>
  <c r="H273" i="9"/>
  <c r="C145" i="9"/>
  <c r="C49" i="9"/>
  <c r="E49" i="9"/>
  <c r="G81" i="9"/>
  <c r="H49" i="9"/>
  <c r="AR71" i="1"/>
  <c r="E113" i="9"/>
  <c r="F273" i="9"/>
  <c r="D241" i="9"/>
  <c r="F145" i="9"/>
  <c r="I49" i="9"/>
  <c r="C517" i="1"/>
  <c r="C117" i="9"/>
  <c r="BI71" i="1"/>
  <c r="E277" i="9" s="1"/>
  <c r="I21" i="9"/>
  <c r="C671" i="1"/>
  <c r="BJ71" i="1"/>
  <c r="C617" i="1" s="1"/>
  <c r="C241" i="9"/>
  <c r="C209" i="9"/>
  <c r="F337" i="9"/>
  <c r="C177" i="9"/>
  <c r="E241" i="9"/>
  <c r="E337" i="9"/>
  <c r="D305" i="9"/>
  <c r="G49" i="9"/>
  <c r="H305" i="9"/>
  <c r="D369" i="9"/>
  <c r="C273" i="9"/>
  <c r="C81" i="9"/>
  <c r="G273" i="9"/>
  <c r="BK71" i="1"/>
  <c r="F177" i="9"/>
  <c r="BX71" i="1"/>
  <c r="J71" i="1"/>
  <c r="G177" i="9"/>
  <c r="E305" i="9"/>
  <c r="C337" i="9"/>
  <c r="I337" i="9"/>
  <c r="C689" i="1"/>
  <c r="AH71" i="1"/>
  <c r="C699" i="1" s="1"/>
  <c r="BU71" i="1"/>
  <c r="C566" i="1" s="1"/>
  <c r="Z71" i="1"/>
  <c r="E117" i="9" s="1"/>
  <c r="I81" i="9"/>
  <c r="D113" i="9"/>
  <c r="I305" i="9"/>
  <c r="E81" i="9"/>
  <c r="H81" i="9"/>
  <c r="D145" i="9"/>
  <c r="I113" i="9"/>
  <c r="E209" i="9"/>
  <c r="H177" i="9"/>
  <c r="D209" i="9"/>
  <c r="H145" i="9"/>
  <c r="I17" i="9"/>
  <c r="C113" i="9"/>
  <c r="F241" i="9"/>
  <c r="AU71" i="1"/>
  <c r="S71" i="1"/>
  <c r="U71" i="1"/>
  <c r="BW71" i="1"/>
  <c r="C574" i="1"/>
  <c r="C630" i="1"/>
  <c r="C504" i="1"/>
  <c r="G504" i="1" s="1"/>
  <c r="C549" i="1"/>
  <c r="C547" i="1"/>
  <c r="C624" i="1"/>
  <c r="D245" i="9"/>
  <c r="E245" i="9"/>
  <c r="D309" i="9"/>
  <c r="C560" i="1"/>
  <c r="C676" i="1"/>
  <c r="C526" i="1"/>
  <c r="G526" i="1" s="1"/>
  <c r="C567" i="1"/>
  <c r="I85" i="9"/>
  <c r="C704" i="1"/>
  <c r="D181" i="9"/>
  <c r="C507" i="1"/>
  <c r="G507" i="1" s="1"/>
  <c r="C528" i="1"/>
  <c r="G528" i="1" s="1"/>
  <c r="C697" i="1"/>
  <c r="C85" i="9"/>
  <c r="I117" i="9"/>
  <c r="H277" i="9"/>
  <c r="C523" i="1"/>
  <c r="G523" i="1" s="1"/>
  <c r="C557" i="1"/>
  <c r="C669" i="1"/>
  <c r="C614" i="1"/>
  <c r="D615" i="1" s="1"/>
  <c r="D277" i="9"/>
  <c r="C679" i="1"/>
  <c r="C508" i="1"/>
  <c r="G508" i="1" s="1"/>
  <c r="C708" i="1"/>
  <c r="D149" i="9"/>
  <c r="C682" i="1"/>
  <c r="E149" i="9"/>
  <c r="C522" i="1"/>
  <c r="G522" i="1" s="1"/>
  <c r="H341" i="9"/>
  <c r="H524" i="1"/>
  <c r="D341" i="9"/>
  <c r="C688" i="1"/>
  <c r="C620" i="1"/>
  <c r="C683" i="1"/>
  <c r="C553" i="1"/>
  <c r="C149" i="9"/>
  <c r="C550" i="1"/>
  <c r="G550" i="1" s="1"/>
  <c r="C696" i="1"/>
  <c r="C618" i="1"/>
  <c r="C534" i="1"/>
  <c r="G534" i="1" s="1"/>
  <c r="C539" i="1"/>
  <c r="G539" i="1" s="1"/>
  <c r="D213" i="9"/>
  <c r="H85" i="9"/>
  <c r="C705" i="1"/>
  <c r="C515" i="1"/>
  <c r="E181" i="9"/>
  <c r="D21" i="9"/>
  <c r="C511" i="1"/>
  <c r="H511" i="1" s="1"/>
  <c r="E309" i="9"/>
  <c r="H53" i="9"/>
  <c r="G149" i="9"/>
  <c r="C633" i="1"/>
  <c r="F245" i="9"/>
  <c r="C548" i="1"/>
  <c r="H117" i="9"/>
  <c r="C277" i="9"/>
  <c r="C677" i="1"/>
  <c r="E53" i="9"/>
  <c r="C505" i="1"/>
  <c r="G505" i="1" s="1"/>
  <c r="I53" i="9"/>
  <c r="C509" i="1"/>
  <c r="G509" i="1" s="1"/>
  <c r="C681" i="1"/>
  <c r="C536" i="1"/>
  <c r="G536" i="1" s="1"/>
  <c r="C245" i="9"/>
  <c r="C628" i="1"/>
  <c r="I364" i="9"/>
  <c r="C639" i="1"/>
  <c r="C564" i="1"/>
  <c r="H309" i="9"/>
  <c r="C710" i="1"/>
  <c r="C213" i="9"/>
  <c r="C538" i="1"/>
  <c r="G538" i="1" s="1"/>
  <c r="H516" i="1"/>
  <c r="G497" i="1"/>
  <c r="H497" i="1"/>
  <c r="F522" i="1"/>
  <c r="F510" i="1"/>
  <c r="H510" i="1" s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I277" i="9" l="1"/>
  <c r="C558" i="1"/>
  <c r="C672" i="1"/>
  <c r="C551" i="1"/>
  <c r="I245" i="9"/>
  <c r="C500" i="1"/>
  <c r="G500" i="1" s="1"/>
  <c r="H213" i="9"/>
  <c r="C543" i="1"/>
  <c r="C623" i="1"/>
  <c r="C562" i="1"/>
  <c r="I213" i="9"/>
  <c r="C622" i="1"/>
  <c r="H544" i="1"/>
  <c r="C693" i="1"/>
  <c r="C573" i="1"/>
  <c r="C625" i="1"/>
  <c r="G117" i="9"/>
  <c r="F85" i="9"/>
  <c r="C513" i="1"/>
  <c r="G513" i="1" s="1"/>
  <c r="C631" i="1"/>
  <c r="F277" i="9"/>
  <c r="C555" i="1"/>
  <c r="G341" i="9"/>
  <c r="C570" i="1"/>
  <c r="G213" i="9"/>
  <c r="C506" i="1"/>
  <c r="G506" i="1" s="1"/>
  <c r="H520" i="1"/>
  <c r="C678" i="1"/>
  <c r="C713" i="1"/>
  <c r="F213" i="9"/>
  <c r="C541" i="1"/>
  <c r="G499" i="1"/>
  <c r="H499" i="1" s="1"/>
  <c r="H518" i="1"/>
  <c r="C673" i="1"/>
  <c r="H21" i="9"/>
  <c r="C527" i="1"/>
  <c r="G527" i="1" s="1"/>
  <c r="C554" i="1"/>
  <c r="C540" i="1"/>
  <c r="G540" i="1" s="1"/>
  <c r="C712" i="1"/>
  <c r="E213" i="9"/>
  <c r="C537" i="1"/>
  <c r="G537" i="1" s="1"/>
  <c r="C709" i="1"/>
  <c r="I181" i="9"/>
  <c r="C17" i="9"/>
  <c r="C71" i="1"/>
  <c r="CE67" i="1"/>
  <c r="C634" i="1"/>
  <c r="C568" i="1"/>
  <c r="C643" i="1"/>
  <c r="E341" i="9"/>
  <c r="C691" i="1"/>
  <c r="C519" i="1"/>
  <c r="G519" i="1" s="1"/>
  <c r="C503" i="1"/>
  <c r="C53" i="9"/>
  <c r="C675" i="1"/>
  <c r="C635" i="1"/>
  <c r="C556" i="1"/>
  <c r="G277" i="9"/>
  <c r="G517" i="1"/>
  <c r="H517" i="1" s="1"/>
  <c r="C498" i="1"/>
  <c r="E21" i="9"/>
  <c r="C670" i="1"/>
  <c r="C512" i="1"/>
  <c r="C684" i="1"/>
  <c r="E85" i="9"/>
  <c r="F149" i="9"/>
  <c r="C514" i="1"/>
  <c r="G85" i="9"/>
  <c r="C686" i="1"/>
  <c r="C641" i="1"/>
  <c r="C341" i="9"/>
  <c r="C569" i="1"/>
  <c r="F341" i="9"/>
  <c r="C644" i="1"/>
  <c r="H526" i="1"/>
  <c r="H528" i="1"/>
  <c r="H522" i="1"/>
  <c r="G515" i="1"/>
  <c r="H515" i="1" s="1"/>
  <c r="G511" i="1"/>
  <c r="H550" i="1"/>
  <c r="H509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H545" i="1"/>
  <c r="F545" i="1"/>
  <c r="H525" i="1"/>
  <c r="F525" i="1"/>
  <c r="H529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F523" i="1"/>
  <c r="H523" i="1"/>
  <c r="F537" i="1"/>
  <c r="F531" i="1"/>
  <c r="H531" i="1"/>
  <c r="E623" i="1" l="1"/>
  <c r="E716" i="1" s="1"/>
  <c r="C648" i="1"/>
  <c r="M716" i="1" s="1"/>
  <c r="H537" i="1"/>
  <c r="H519" i="1"/>
  <c r="H513" i="1"/>
  <c r="G498" i="1"/>
  <c r="H498" i="1" s="1"/>
  <c r="G503" i="1"/>
  <c r="H503" i="1" s="1"/>
  <c r="I369" i="9"/>
  <c r="C433" i="1"/>
  <c r="C441" i="1" s="1"/>
  <c r="CE71" i="1"/>
  <c r="G514" i="1"/>
  <c r="H514" i="1" s="1"/>
  <c r="G512" i="1"/>
  <c r="H512" i="1"/>
  <c r="C496" i="1"/>
  <c r="C21" i="9"/>
  <c r="C668" i="1"/>
  <c r="D715" i="1"/>
  <c r="I373" i="9" l="1"/>
  <c r="C716" i="1"/>
  <c r="E612" i="1"/>
  <c r="C715" i="1"/>
  <c r="G496" i="1"/>
  <c r="H496" i="1" s="1"/>
  <c r="E704" i="1" l="1"/>
  <c r="E671" i="1"/>
  <c r="E702" i="1"/>
  <c r="E686" i="1"/>
  <c r="E626" i="1"/>
  <c r="E641" i="1"/>
  <c r="E638" i="1"/>
  <c r="E685" i="1"/>
  <c r="E682" i="1"/>
  <c r="E708" i="1"/>
  <c r="E668" i="1"/>
  <c r="E694" i="1"/>
  <c r="E628" i="1"/>
  <c r="E673" i="1"/>
  <c r="E646" i="1"/>
  <c r="E712" i="1"/>
  <c r="E642" i="1"/>
  <c r="E678" i="1"/>
  <c r="E691" i="1"/>
  <c r="E647" i="1"/>
  <c r="E672" i="1"/>
  <c r="E692" i="1"/>
  <c r="E632" i="1"/>
  <c r="E643" i="1"/>
  <c r="E687" i="1"/>
  <c r="E669" i="1"/>
  <c r="E713" i="1"/>
  <c r="E675" i="1"/>
  <c r="E700" i="1"/>
  <c r="E676" i="1"/>
  <c r="E689" i="1"/>
  <c r="E625" i="1"/>
  <c r="E639" i="1"/>
  <c r="E703" i="1"/>
  <c r="E709" i="1"/>
  <c r="E677" i="1"/>
  <c r="E680" i="1"/>
  <c r="E635" i="1"/>
  <c r="E627" i="1"/>
  <c r="E711" i="1"/>
  <c r="E645" i="1"/>
  <c r="E696" i="1"/>
  <c r="E637" i="1"/>
  <c r="E644" i="1"/>
  <c r="E633" i="1"/>
  <c r="E640" i="1"/>
  <c r="E710" i="1"/>
  <c r="E688" i="1"/>
  <c r="E705" i="1"/>
  <c r="E681" i="1"/>
  <c r="E683" i="1"/>
  <c r="E706" i="1"/>
  <c r="E674" i="1"/>
  <c r="E634" i="1"/>
  <c r="E690" i="1"/>
  <c r="E670" i="1"/>
  <c r="E636" i="1"/>
  <c r="E629" i="1"/>
  <c r="E679" i="1"/>
  <c r="E693" i="1"/>
  <c r="E707" i="1"/>
  <c r="E624" i="1"/>
  <c r="F624" i="1" s="1"/>
  <c r="E701" i="1"/>
  <c r="E631" i="1"/>
  <c r="E697" i="1"/>
  <c r="E698" i="1"/>
  <c r="E699" i="1"/>
  <c r="E695" i="1"/>
  <c r="E684" i="1"/>
  <c r="E630" i="1"/>
  <c r="F638" i="1" l="1"/>
  <c r="F677" i="1"/>
  <c r="F710" i="1"/>
  <c r="F636" i="1"/>
  <c r="F670" i="1"/>
  <c r="F631" i="1"/>
  <c r="F687" i="1"/>
  <c r="F690" i="1"/>
  <c r="F639" i="1"/>
  <c r="F696" i="1"/>
  <c r="F640" i="1"/>
  <c r="F646" i="1"/>
  <c r="F712" i="1"/>
  <c r="F685" i="1"/>
  <c r="F698" i="1"/>
  <c r="F686" i="1"/>
  <c r="F695" i="1"/>
  <c r="F644" i="1"/>
  <c r="F632" i="1"/>
  <c r="F675" i="1"/>
  <c r="F678" i="1"/>
  <c r="F691" i="1"/>
  <c r="F634" i="1"/>
  <c r="F682" i="1"/>
  <c r="F668" i="1"/>
  <c r="F628" i="1"/>
  <c r="F716" i="1"/>
  <c r="F635" i="1"/>
  <c r="F705" i="1"/>
  <c r="F707" i="1"/>
  <c r="F629" i="1"/>
  <c r="F697" i="1"/>
  <c r="F709" i="1"/>
  <c r="F672" i="1"/>
  <c r="F701" i="1"/>
  <c r="F674" i="1"/>
  <c r="F689" i="1"/>
  <c r="F688" i="1"/>
  <c r="F700" i="1"/>
  <c r="F711" i="1"/>
  <c r="F679" i="1"/>
  <c r="F626" i="1"/>
  <c r="F669" i="1"/>
  <c r="F673" i="1"/>
  <c r="F702" i="1"/>
  <c r="F643" i="1"/>
  <c r="F630" i="1"/>
  <c r="F713" i="1"/>
  <c r="F641" i="1"/>
  <c r="F633" i="1"/>
  <c r="F676" i="1"/>
  <c r="F681" i="1"/>
  <c r="F645" i="1"/>
  <c r="F627" i="1"/>
  <c r="F637" i="1"/>
  <c r="F625" i="1"/>
  <c r="G625" i="1" s="1"/>
  <c r="F671" i="1"/>
  <c r="F693" i="1"/>
  <c r="F706" i="1"/>
  <c r="F708" i="1"/>
  <c r="F642" i="1"/>
  <c r="F704" i="1"/>
  <c r="F703" i="1"/>
  <c r="F699" i="1"/>
  <c r="F680" i="1"/>
  <c r="F684" i="1"/>
  <c r="F683" i="1"/>
  <c r="F694" i="1"/>
  <c r="F692" i="1"/>
  <c r="F647" i="1"/>
  <c r="E715" i="1"/>
  <c r="G688" i="1" l="1"/>
  <c r="G716" i="1"/>
  <c r="G672" i="1"/>
  <c r="G627" i="1"/>
  <c r="G702" i="1"/>
  <c r="G711" i="1"/>
  <c r="G712" i="1"/>
  <c r="G683" i="1"/>
  <c r="G637" i="1"/>
  <c r="G700" i="1"/>
  <c r="G669" i="1"/>
  <c r="G670" i="1"/>
  <c r="G674" i="1"/>
  <c r="G697" i="1"/>
  <c r="G639" i="1"/>
  <c r="G706" i="1"/>
  <c r="G677" i="1"/>
  <c r="G685" i="1"/>
  <c r="G687" i="1"/>
  <c r="G645" i="1"/>
  <c r="G626" i="1"/>
  <c r="G629" i="1"/>
  <c r="G680" i="1"/>
  <c r="G695" i="1"/>
  <c r="G693" i="1"/>
  <c r="G628" i="1"/>
  <c r="G633" i="1"/>
  <c r="G682" i="1"/>
  <c r="G640" i="1"/>
  <c r="G631" i="1"/>
  <c r="G686" i="1"/>
  <c r="G675" i="1"/>
  <c r="G709" i="1"/>
  <c r="G690" i="1"/>
  <c r="G642" i="1"/>
  <c r="G696" i="1"/>
  <c r="G699" i="1"/>
  <c r="G694" i="1"/>
  <c r="G698" i="1"/>
  <c r="G703" i="1"/>
  <c r="G644" i="1"/>
  <c r="G635" i="1"/>
  <c r="G684" i="1"/>
  <c r="G646" i="1"/>
  <c r="G691" i="1"/>
  <c r="G705" i="1"/>
  <c r="G668" i="1"/>
  <c r="G689" i="1"/>
  <c r="G701" i="1"/>
  <c r="G643" i="1"/>
  <c r="G710" i="1"/>
  <c r="G630" i="1"/>
  <c r="G671" i="1"/>
  <c r="G704" i="1"/>
  <c r="G632" i="1"/>
  <c r="G676" i="1"/>
  <c r="G708" i="1"/>
  <c r="G634" i="1"/>
  <c r="G692" i="1"/>
  <c r="G681" i="1"/>
  <c r="G713" i="1"/>
  <c r="G638" i="1"/>
  <c r="G679" i="1"/>
  <c r="G678" i="1"/>
  <c r="G707" i="1"/>
  <c r="G636" i="1"/>
  <c r="G673" i="1"/>
  <c r="G647" i="1"/>
  <c r="G641" i="1"/>
  <c r="F715" i="1"/>
  <c r="H628" i="1" l="1"/>
  <c r="H681" i="1" s="1"/>
  <c r="G715" i="1"/>
  <c r="H704" i="1" l="1"/>
  <c r="H689" i="1"/>
  <c r="H634" i="1"/>
  <c r="H673" i="1"/>
  <c r="H690" i="1"/>
  <c r="H682" i="1"/>
  <c r="H643" i="1"/>
  <c r="H710" i="1"/>
  <c r="H647" i="1"/>
  <c r="H632" i="1"/>
  <c r="H711" i="1"/>
  <c r="H708" i="1"/>
  <c r="H672" i="1"/>
  <c r="H686" i="1"/>
  <c r="H639" i="1"/>
  <c r="H693" i="1"/>
  <c r="H670" i="1"/>
  <c r="H646" i="1"/>
  <c r="H671" i="1"/>
  <c r="H640" i="1"/>
  <c r="H674" i="1"/>
  <c r="H669" i="1"/>
  <c r="H631" i="1"/>
  <c r="H642" i="1"/>
  <c r="H638" i="1"/>
  <c r="H707" i="1"/>
  <c r="H635" i="1"/>
  <c r="H633" i="1"/>
  <c r="H696" i="1"/>
  <c r="H636" i="1"/>
  <c r="H684" i="1"/>
  <c r="H644" i="1"/>
  <c r="H629" i="1"/>
  <c r="H645" i="1"/>
  <c r="H697" i="1"/>
  <c r="H687" i="1"/>
  <c r="H668" i="1"/>
  <c r="H685" i="1"/>
  <c r="H713" i="1"/>
  <c r="H695" i="1"/>
  <c r="H692" i="1"/>
  <c r="H675" i="1"/>
  <c r="H694" i="1"/>
  <c r="H637" i="1"/>
  <c r="H676" i="1"/>
  <c r="H698" i="1"/>
  <c r="H702" i="1"/>
  <c r="H701" i="1"/>
  <c r="H683" i="1"/>
  <c r="H680" i="1"/>
  <c r="H716" i="1"/>
  <c r="H700" i="1"/>
  <c r="H679" i="1"/>
  <c r="H712" i="1"/>
  <c r="H688" i="1"/>
  <c r="H705" i="1"/>
  <c r="H699" i="1"/>
  <c r="H677" i="1"/>
  <c r="H703" i="1"/>
  <c r="H691" i="1"/>
  <c r="H709" i="1"/>
  <c r="H630" i="1"/>
  <c r="H706" i="1"/>
  <c r="H641" i="1"/>
  <c r="H678" i="1"/>
  <c r="H715" i="1" l="1"/>
  <c r="I629" i="1"/>
  <c r="I646" i="1" s="1"/>
  <c r="I683" i="1" l="1"/>
  <c r="I643" i="1"/>
  <c r="I710" i="1"/>
  <c r="I671" i="1"/>
  <c r="I689" i="1"/>
  <c r="I677" i="1"/>
  <c r="I634" i="1"/>
  <c r="I709" i="1"/>
  <c r="I688" i="1"/>
  <c r="I703" i="1"/>
  <c r="I698" i="1"/>
  <c r="I690" i="1"/>
  <c r="I641" i="1"/>
  <c r="I716" i="1"/>
  <c r="I704" i="1"/>
  <c r="I679" i="1"/>
  <c r="I694" i="1"/>
  <c r="I639" i="1"/>
  <c r="I697" i="1"/>
  <c r="I713" i="1"/>
  <c r="I687" i="1"/>
  <c r="I708" i="1"/>
  <c r="I695" i="1"/>
  <c r="I693" i="1"/>
  <c r="I682" i="1"/>
  <c r="I637" i="1"/>
  <c r="I674" i="1"/>
  <c r="I701" i="1"/>
  <c r="I645" i="1"/>
  <c r="I680" i="1"/>
  <c r="I647" i="1"/>
  <c r="I642" i="1"/>
  <c r="I640" i="1"/>
  <c r="I684" i="1"/>
  <c r="I672" i="1"/>
  <c r="I700" i="1"/>
  <c r="I635" i="1"/>
  <c r="I633" i="1"/>
  <c r="I673" i="1"/>
  <c r="I711" i="1"/>
  <c r="I638" i="1"/>
  <c r="I706" i="1"/>
  <c r="I712" i="1"/>
  <c r="I670" i="1"/>
  <c r="I632" i="1"/>
  <c r="I678" i="1"/>
  <c r="I702" i="1"/>
  <c r="I681" i="1"/>
  <c r="I675" i="1"/>
  <c r="I686" i="1"/>
  <c r="I631" i="1"/>
  <c r="I707" i="1"/>
  <c r="I691" i="1"/>
  <c r="I644" i="1"/>
  <c r="I705" i="1"/>
  <c r="I630" i="1"/>
  <c r="J630" i="1" s="1"/>
  <c r="I685" i="1"/>
  <c r="I668" i="1"/>
  <c r="I636" i="1"/>
  <c r="I692" i="1"/>
  <c r="I699" i="1"/>
  <c r="I696" i="1"/>
  <c r="I669" i="1"/>
  <c r="I676" i="1"/>
  <c r="I715" i="1" l="1"/>
  <c r="J646" i="1"/>
  <c r="J632" i="1"/>
  <c r="J693" i="1"/>
  <c r="J647" i="1"/>
  <c r="J637" i="1"/>
  <c r="J711" i="1"/>
  <c r="J639" i="1"/>
  <c r="J635" i="1"/>
  <c r="J700" i="1"/>
  <c r="J706" i="1"/>
  <c r="J631" i="1"/>
  <c r="J645" i="1"/>
  <c r="J689" i="1"/>
  <c r="J703" i="1"/>
  <c r="J680" i="1"/>
  <c r="J679" i="1"/>
  <c r="J705" i="1"/>
  <c r="J684" i="1"/>
  <c r="J673" i="1"/>
  <c r="J707" i="1"/>
  <c r="J681" i="1"/>
  <c r="J709" i="1"/>
  <c r="J697" i="1"/>
  <c r="J638" i="1"/>
  <c r="J688" i="1"/>
  <c r="J672" i="1"/>
  <c r="J701" i="1"/>
  <c r="J634" i="1"/>
  <c r="J699" i="1"/>
  <c r="J695" i="1"/>
  <c r="J712" i="1"/>
  <c r="J685" i="1"/>
  <c r="J716" i="1"/>
  <c r="J698" i="1"/>
  <c r="J676" i="1"/>
  <c r="J670" i="1"/>
  <c r="J687" i="1"/>
  <c r="J710" i="1"/>
  <c r="J696" i="1"/>
  <c r="J694" i="1"/>
  <c r="J633" i="1"/>
  <c r="J708" i="1"/>
  <c r="J671" i="1"/>
  <c r="J668" i="1"/>
  <c r="J669" i="1"/>
  <c r="J674" i="1"/>
  <c r="J636" i="1"/>
  <c r="J644" i="1"/>
  <c r="J713" i="1"/>
  <c r="J641" i="1"/>
  <c r="J678" i="1"/>
  <c r="J682" i="1"/>
  <c r="J691" i="1"/>
  <c r="J643" i="1"/>
  <c r="J640" i="1"/>
  <c r="J683" i="1"/>
  <c r="J690" i="1"/>
  <c r="J686" i="1"/>
  <c r="J692" i="1"/>
  <c r="J704" i="1"/>
  <c r="J675" i="1"/>
  <c r="J642" i="1"/>
  <c r="J677" i="1"/>
  <c r="J702" i="1"/>
  <c r="L647" i="1" l="1"/>
  <c r="L668" i="1" s="1"/>
  <c r="K644" i="1"/>
  <c r="K669" i="1" s="1"/>
  <c r="J715" i="1"/>
  <c r="L710" i="1" l="1"/>
  <c r="L707" i="1"/>
  <c r="L678" i="1"/>
  <c r="L683" i="1"/>
  <c r="L676" i="1"/>
  <c r="L682" i="1"/>
  <c r="L691" i="1"/>
  <c r="L670" i="1"/>
  <c r="L680" i="1"/>
  <c r="L706" i="1"/>
  <c r="L699" i="1"/>
  <c r="L704" i="1"/>
  <c r="L703" i="1"/>
  <c r="L701" i="1"/>
  <c r="L685" i="1"/>
  <c r="L679" i="1"/>
  <c r="L693" i="1"/>
  <c r="L698" i="1"/>
  <c r="L690" i="1"/>
  <c r="L674" i="1"/>
  <c r="L688" i="1"/>
  <c r="L686" i="1"/>
  <c r="L694" i="1"/>
  <c r="L695" i="1"/>
  <c r="L705" i="1"/>
  <c r="L675" i="1"/>
  <c r="L677" i="1"/>
  <c r="L692" i="1"/>
  <c r="L687" i="1"/>
  <c r="L716" i="1"/>
  <c r="L708" i="1"/>
  <c r="L709" i="1"/>
  <c r="L700" i="1"/>
  <c r="L681" i="1"/>
  <c r="L713" i="1"/>
  <c r="K692" i="1"/>
  <c r="K693" i="1"/>
  <c r="M693" i="1" s="1"/>
  <c r="K710" i="1"/>
  <c r="K704" i="1"/>
  <c r="K684" i="1"/>
  <c r="L672" i="1"/>
  <c r="L702" i="1"/>
  <c r="L697" i="1"/>
  <c r="L711" i="1"/>
  <c r="L689" i="1"/>
  <c r="L673" i="1"/>
  <c r="L712" i="1"/>
  <c r="L684" i="1"/>
  <c r="L696" i="1"/>
  <c r="L669" i="1"/>
  <c r="M669" i="1" s="1"/>
  <c r="L671" i="1"/>
  <c r="K699" i="1"/>
  <c r="K677" i="1"/>
  <c r="K686" i="1"/>
  <c r="M686" i="1" s="1"/>
  <c r="K700" i="1"/>
  <c r="K705" i="1"/>
  <c r="K701" i="1"/>
  <c r="K691" i="1"/>
  <c r="K706" i="1"/>
  <c r="K674" i="1"/>
  <c r="M674" i="1" s="1"/>
  <c r="I23" i="9" s="1"/>
  <c r="K697" i="1"/>
  <c r="K681" i="1"/>
  <c r="M681" i="1" s="1"/>
  <c r="K672" i="1"/>
  <c r="K679" i="1"/>
  <c r="M679" i="1" s="1"/>
  <c r="K687" i="1"/>
  <c r="M687" i="1" s="1"/>
  <c r="K689" i="1"/>
  <c r="K670" i="1"/>
  <c r="K690" i="1"/>
  <c r="K696" i="1"/>
  <c r="M696" i="1" s="1"/>
  <c r="K713" i="1"/>
  <c r="K688" i="1"/>
  <c r="K695" i="1"/>
  <c r="M695" i="1" s="1"/>
  <c r="K673" i="1"/>
  <c r="K671" i="1"/>
  <c r="K683" i="1"/>
  <c r="K707" i="1"/>
  <c r="K668" i="1"/>
  <c r="M668" i="1" s="1"/>
  <c r="K712" i="1"/>
  <c r="K680" i="1"/>
  <c r="K678" i="1"/>
  <c r="K703" i="1"/>
  <c r="M703" i="1" s="1"/>
  <c r="K708" i="1"/>
  <c r="K711" i="1"/>
  <c r="K709" i="1"/>
  <c r="M709" i="1" s="1"/>
  <c r="K698" i="1"/>
  <c r="K702" i="1"/>
  <c r="K716" i="1"/>
  <c r="K682" i="1"/>
  <c r="K675" i="1"/>
  <c r="K694" i="1"/>
  <c r="K676" i="1"/>
  <c r="K685" i="1"/>
  <c r="L715" i="1" l="1"/>
  <c r="M692" i="1"/>
  <c r="M675" i="1"/>
  <c r="M698" i="1"/>
  <c r="M682" i="1"/>
  <c r="M707" i="1"/>
  <c r="G183" i="9" s="1"/>
  <c r="M705" i="1"/>
  <c r="M676" i="1"/>
  <c r="D55" i="9" s="1"/>
  <c r="M680" i="1"/>
  <c r="H55" i="9" s="1"/>
  <c r="M672" i="1"/>
  <c r="M706" i="1"/>
  <c r="M685" i="1"/>
  <c r="F87" i="9" s="1"/>
  <c r="M701" i="1"/>
  <c r="M678" i="1"/>
  <c r="M690" i="1"/>
  <c r="M699" i="1"/>
  <c r="F151" i="9" s="1"/>
  <c r="M694" i="1"/>
  <c r="M708" i="1"/>
  <c r="H183" i="9" s="1"/>
  <c r="M691" i="1"/>
  <c r="M677" i="1"/>
  <c r="M688" i="1"/>
  <c r="I87" i="9" s="1"/>
  <c r="M700" i="1"/>
  <c r="M710" i="1"/>
  <c r="C215" i="9" s="1"/>
  <c r="M683" i="1"/>
  <c r="D87" i="9" s="1"/>
  <c r="M670" i="1"/>
  <c r="E23" i="9" s="1"/>
  <c r="M704" i="1"/>
  <c r="M712" i="1"/>
  <c r="E215" i="9" s="1"/>
  <c r="M713" i="1"/>
  <c r="F215" i="9" s="1"/>
  <c r="M689" i="1"/>
  <c r="C119" i="9" s="1"/>
  <c r="M671" i="1"/>
  <c r="F23" i="9" s="1"/>
  <c r="M702" i="1"/>
  <c r="M697" i="1"/>
  <c r="M711" i="1"/>
  <c r="D215" i="9" s="1"/>
  <c r="M684" i="1"/>
  <c r="H87" i="9"/>
  <c r="G87" i="9"/>
  <c r="D23" i="9"/>
  <c r="I119" i="9"/>
  <c r="G119" i="9"/>
  <c r="M673" i="1"/>
  <c r="H23" i="9" s="1"/>
  <c r="I183" i="9"/>
  <c r="C151" i="9"/>
  <c r="I55" i="9"/>
  <c r="C183" i="9"/>
  <c r="G55" i="9"/>
  <c r="K715" i="1"/>
  <c r="C23" i="9"/>
  <c r="F119" i="9" l="1"/>
  <c r="D119" i="9"/>
  <c r="M715" i="1"/>
  <c r="E151" i="9"/>
  <c r="F183" i="9"/>
  <c r="E119" i="9"/>
  <c r="E183" i="9"/>
  <c r="C55" i="9"/>
  <c r="C87" i="9"/>
  <c r="G23" i="9"/>
  <c r="I151" i="9"/>
  <c r="D183" i="9"/>
  <c r="G151" i="9"/>
  <c r="F55" i="9"/>
  <c r="H119" i="9"/>
  <c r="H151" i="9"/>
  <c r="E55" i="9"/>
  <c r="E87" i="9"/>
  <c r="D151" i="9"/>
</calcChain>
</file>

<file path=xl/sharedStrings.xml><?xml version="1.0" encoding="utf-8"?>
<sst xmlns="http://schemas.openxmlformats.org/spreadsheetml/2006/main" count="4678" uniqueCount="1286">
  <si>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</si>
  <si>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</si>
  <si>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</si>
  <si>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</si>
  <si>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</si>
  <si>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</si>
  <si>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</si>
  <si>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</si>
  <si>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</si>
  <si>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</si>
  <si>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</si>
  <si>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</si>
  <si>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</si>
  <si>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</si>
  <si>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</si>
  <si>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</si>
  <si>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</si>
  <si>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</si>
  <si>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</si>
  <si>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</si>
  <si>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</si>
  <si>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</si>
  <si>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</si>
  <si>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</si>
  <si>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</si>
  <si>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</si>
  <si>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</si>
  <si>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</si>
  <si>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</si>
  <si>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</si>
  <si>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</si>
  <si>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</si>
  <si>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</si>
  <si>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</si>
  <si>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</si>
  <si>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</si>
  <si>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</si>
  <si>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</si>
  <si>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</si>
  <si>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</si>
  <si>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</si>
  <si>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</si>
  <si>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</si>
  <si>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</si>
  <si>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</si>
  <si>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</si>
  <si>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</si>
  <si>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</si>
  <si>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</si>
  <si>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</si>
  <si>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</si>
  <si>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</si>
  <si>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</si>
  <si>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</si>
  <si>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</si>
  <si>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</si>
  <si>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</si>
  <si>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</si>
  <si>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</si>
  <si>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</si>
  <si>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</si>
  <si>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</si>
  <si>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</si>
  <si>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</si>
  <si>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</si>
  <si>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</si>
  <si>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</si>
  <si>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</si>
  <si>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</si>
  <si>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</si>
  <si>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</si>
  <si>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</si>
  <si>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</si>
  <si>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</si>
  <si>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</si>
  <si>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</si>
  <si>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</si>
  <si>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</si>
  <si>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</si>
  <si>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</si>
  <si>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</si>
  <si>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</si>
  <si>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</si>
  <si>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</si>
  <si>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</si>
  <si>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</si>
  <si>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</si>
  <si>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</si>
  <si>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</si>
  <si>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</si>
  <si>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</si>
  <si>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</si>
  <si>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</si>
  <si>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</si>
  <si>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</si>
  <si>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</si>
  <si>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</si>
  <si>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</si>
  <si>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</si>
  <si>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</si>
  <si>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</si>
  <si>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</si>
  <si>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</si>
  <si>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</si>
  <si>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</si>
  <si>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</si>
  <si>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</si>
  <si>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</si>
  <si>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</si>
  <si>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</si>
  <si>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</si>
  <si>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</si>
  <si>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</si>
  <si>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</si>
  <si>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</si>
  <si>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</si>
  <si>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</si>
  <si>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</si>
  <si>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</si>
  <si>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</si>
  <si>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</si>
  <si>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</si>
  <si>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</si>
  <si>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</si>
  <si>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</si>
  <si>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</si>
  <si>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</si>
  <si>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</si>
  <si>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</si>
  <si>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</si>
  <si>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</si>
  <si>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</si>
  <si>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</si>
  <si>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</si>
  <si>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</si>
  <si>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</si>
  <si>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</si>
  <si>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</si>
  <si>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</si>
  <si>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</si>
  <si>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</si>
  <si>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</si>
  <si>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</si>
  <si>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</si>
  <si>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</si>
  <si>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</si>
  <si>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</si>
  <si>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</si>
  <si>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</si>
  <si>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</si>
  <si>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</si>
  <si>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</si>
  <si>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</si>
  <si>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</si>
  <si>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</si>
  <si>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</si>
  <si>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</si>
  <si>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</si>
  <si>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</si>
  <si>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</si>
  <si>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</si>
  <si>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</si>
  <si>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</si>
  <si>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</si>
  <si>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</si>
  <si>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</si>
  <si>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</si>
  <si>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</si>
  <si>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</si>
  <si>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</si>
  <si>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</si>
  <si>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</si>
  <si>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</si>
  <si>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</si>
  <si>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</si>
  <si>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</si>
  <si>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</si>
  <si>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</si>
  <si>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</si>
  <si>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</si>
  <si>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</si>
  <si>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</si>
  <si>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</si>
  <si>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</si>
  <si>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</si>
  <si>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</si>
  <si>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</si>
  <si>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</si>
  <si>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</si>
  <si>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</si>
  <si>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</si>
  <si>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</si>
  <si>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</si>
  <si>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</si>
  <si>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</si>
  <si>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</si>
  <si>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</si>
  <si>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</si>
  <si>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</si>
  <si>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</si>
  <si>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</si>
  <si>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</si>
  <si>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</si>
  <si>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</si>
  <si>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</si>
  <si>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</si>
  <si>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</si>
  <si>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</si>
  <si>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</si>
  <si>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</si>
  <si>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</si>
  <si>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</si>
  <si>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</si>
  <si>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</si>
  <si>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</si>
  <si>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</si>
  <si>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</si>
  <si>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</si>
  <si>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</si>
  <si>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</si>
  <si>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</si>
  <si>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</si>
  <si>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</si>
  <si>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</si>
  <si>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</si>
  <si>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</si>
  <si>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</si>
  <si>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</si>
  <si>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</si>
  <si>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</si>
  <si>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</si>
  <si>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</si>
  <si>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</si>
  <si>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</si>
  <si>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</si>
  <si>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</si>
  <si>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</si>
  <si>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</si>
  <si>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</si>
  <si>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</si>
  <si>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</si>
  <si>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</si>
  <si>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</si>
  <si>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</si>
  <si>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</si>
  <si>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</si>
  <si>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</si>
  <si>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</si>
  <si>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</si>
  <si>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</si>
  <si>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</si>
  <si>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</si>
  <si>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</si>
  <si>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</si>
  <si>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</si>
  <si>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</si>
  <si>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</si>
  <si>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</si>
  <si>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</si>
  <si>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</si>
  <si>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</si>
  <si>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</si>
  <si>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</si>
  <si>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</si>
  <si>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</si>
  <si>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</si>
  <si>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</si>
  <si>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</si>
  <si>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</si>
  <si>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</si>
  <si>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</si>
  <si>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</si>
  <si>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</si>
  <si>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</si>
  <si>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</si>
  <si>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</si>
  <si>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</si>
  <si>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</si>
  <si>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</si>
  <si>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</si>
  <si>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</si>
  <si>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</si>
  <si>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</si>
  <si>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</si>
  <si>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</si>
  <si>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</si>
  <si>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</si>
  <si>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</si>
  <si>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</si>
  <si>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</si>
  <si>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</si>
  <si>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</si>
  <si>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</si>
  <si>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</si>
  <si>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</si>
  <si>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</si>
  <si>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</si>
  <si>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</si>
  <si>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</si>
  <si>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</si>
  <si>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</si>
  <si>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</si>
  <si>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</si>
  <si>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</si>
  <si>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</si>
  <si>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</si>
  <si>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</si>
  <si>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</si>
  <si>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</si>
  <si>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</si>
  <si>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</si>
  <si>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</si>
  <si>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</si>
  <si>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</si>
  <si>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</si>
  <si>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</si>
  <si>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</si>
  <si>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</si>
  <si>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</si>
  <si>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</si>
  <si>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</si>
  <si>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</si>
  <si>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</si>
  <si>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</si>
  <si>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</si>
  <si>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</si>
  <si>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</si>
  <si>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</si>
  <si>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</si>
  <si>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</si>
  <si>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</si>
  <si>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</si>
  <si>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</si>
  <si>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</si>
  <si>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</si>
  <si>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</si>
  <si>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</si>
  <si>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</si>
  <si>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</si>
  <si>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</si>
  <si>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</si>
  <si>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</si>
  <si>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</si>
  <si>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</si>
  <si>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</si>
  <si>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</si>
  <si>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</si>
  <si>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</si>
  <si>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</si>
  <si>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</si>
  <si>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</si>
  <si>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</si>
  <si>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</si>
  <si>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</si>
  <si>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</si>
  <si>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</si>
  <si>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</si>
  <si>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</si>
  <si>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</si>
  <si>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</si>
  <si>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</si>
  <si>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</si>
  <si>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</si>
  <si>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</si>
  <si>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</si>
  <si>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</si>
  <si>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</si>
  <si>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</si>
  <si>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</si>
  <si>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</si>
  <si>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</si>
  <si>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</si>
  <si>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</si>
  <si>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</si>
  <si>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</si>
  <si>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</si>
  <si>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</si>
  <si>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</si>
  <si>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</si>
  <si>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</si>
  <si>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</si>
  <si>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</si>
  <si>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</si>
  <si>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</si>
  <si>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</si>
  <si>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</si>
  <si>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</si>
  <si>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</si>
  <si>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</si>
  <si>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</si>
  <si>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</si>
  <si>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</si>
  <si>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</si>
  <si>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</si>
  <si>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</si>
  <si>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</si>
  <si>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</si>
  <si>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</si>
  <si>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</si>
  <si>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</si>
  <si>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</si>
  <si>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</si>
  <si>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</si>
  <si>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</si>
  <si>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</si>
  <si>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</si>
  <si>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</si>
  <si>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</si>
  <si>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</si>
  <si>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</si>
  <si>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</si>
  <si>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</si>
  <si>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</si>
  <si>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</si>
  <si>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</si>
  <si>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</si>
  <si>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</si>
  <si>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</si>
  <si>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</si>
  <si>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</si>
  <si>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</si>
  <si>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</si>
  <si>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</si>
  <si>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</si>
  <si>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</si>
  <si>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</si>
  <si>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</si>
  <si>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</si>
  <si>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</si>
  <si>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</si>
  <si>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</si>
  <si>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</si>
  <si>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</si>
  <si>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</si>
  <si>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</si>
  <si>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</si>
  <si>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</si>
  <si>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</si>
  <si>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</si>
  <si>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</si>
  <si>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</si>
  <si>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</si>
  <si>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</si>
  <si>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</si>
  <si>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</si>
  <si>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</si>
  <si>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</si>
  <si>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</si>
  <si>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</si>
  <si>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</si>
  <si>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</si>
  <si>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</si>
  <si>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</si>
  <si>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</si>
  <si>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</si>
  <si>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</si>
  <si>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</si>
  <si>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</si>
  <si>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</si>
  <si>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</si>
  <si>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</si>
  <si>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</si>
  <si>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</si>
  <si>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</si>
  <si>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</si>
  <si>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</si>
  <si>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</si>
  <si>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</si>
  <si>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</si>
  <si>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</si>
  <si>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</si>
  <si>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</si>
  <si>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</si>
  <si>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</si>
  <si>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</si>
  <si>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</si>
  <si>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</si>
  <si>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</si>
  <si>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</si>
  <si>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</si>
  <si>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</si>
  <si>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</si>
  <si>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</si>
  <si>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</si>
  <si>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</si>
  <si>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</si>
  <si>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</si>
  <si>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</si>
  <si>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</si>
  <si>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</si>
  <si>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</si>
  <si>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</si>
  <si>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</si>
  <si>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</si>
  <si>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</si>
  <si>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</si>
  <si>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</si>
  <si>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</si>
  <si>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</si>
  <si>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</si>
  <si>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</si>
  <si>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</si>
  <si>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</si>
  <si>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</si>
  <si>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</si>
  <si>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</si>
  <si>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</si>
  <si>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</si>
  <si>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</si>
  <si>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</si>
  <si>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</si>
  <si>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</si>
  <si>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</si>
  <si>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</si>
  <si>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</si>
  <si>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</si>
  <si>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</si>
  <si>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</si>
  <si>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</si>
  <si>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</si>
  <si>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</si>
  <si>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</si>
  <si>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</si>
  <si>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</si>
  <si>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</si>
  <si>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</si>
  <si>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</si>
  <si>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</si>
  <si>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</si>
  <si>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</si>
  <si>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</si>
  <si>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</si>
  <si>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</si>
  <si>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</si>
  <si>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</si>
  <si>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</si>
  <si>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</si>
  <si>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</si>
  <si>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</si>
  <si>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</si>
  <si>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</si>
  <si>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</si>
  <si>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</si>
  <si>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</si>
  <si>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</si>
  <si>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</si>
  <si>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</si>
  <si>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</si>
  <si>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</si>
  <si>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</si>
  <si>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</si>
  <si>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</si>
  <si>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</si>
  <si>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</si>
  <si>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</si>
  <si>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</si>
  <si>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</si>
  <si>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</si>
  <si>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</si>
  <si>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</si>
  <si>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</si>
  <si>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</si>
  <si>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</si>
  <si>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</si>
  <si>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</si>
  <si>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</si>
  <si>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</si>
  <si>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</si>
  <si>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</si>
  <si>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</si>
  <si>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</si>
  <si>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</si>
  <si>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</si>
  <si>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</si>
  <si>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</si>
  <si>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</si>
  <si>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</si>
  <si>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</si>
  <si>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</si>
  <si>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</si>
  <si>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</si>
  <si>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</si>
  <si>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</si>
  <si>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</si>
  <si>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</si>
  <si>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</si>
  <si>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</si>
  <si>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</si>
  <si>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</si>
  <si>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</si>
  <si>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</si>
  <si>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</si>
  <si>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</si>
  <si>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</si>
  <si>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</si>
  <si>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</si>
  <si>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</si>
  <si>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</si>
  <si>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</si>
  <si>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</si>
  <si>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</si>
  <si>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</si>
  <si>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</si>
  <si>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</si>
  <si>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</si>
  <si>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</si>
  <si>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</si>
  <si>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</si>
  <si>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</si>
  <si>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</si>
  <si>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</si>
  <si>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</si>
  <si>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</si>
  <si>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</si>
  <si>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</si>
  <si>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</si>
  <si>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</si>
  <si>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</si>
  <si>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</si>
  <si>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</si>
  <si>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</si>
  <si>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</si>
  <si>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</si>
  <si>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</si>
  <si>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</si>
  <si>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</si>
  <si>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</si>
  <si>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</si>
  <si>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</si>
  <si>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</si>
  <si>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</si>
  <si>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</si>
  <si>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</si>
  <si>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</si>
  <si>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</si>
  <si>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</si>
  <si>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</si>
  <si>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</si>
  <si>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</si>
  <si>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</si>
  <si>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</si>
  <si>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</si>
  <si>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</si>
  <si>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</si>
  <si>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</si>
  <si>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</si>
  <si>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</si>
  <si>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</si>
  <si>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</si>
  <si>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</si>
  <si>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</si>
  <si>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</si>
  <si>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</si>
  <si>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</si>
  <si>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</si>
  <si>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</si>
  <si>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</si>
  <si>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</si>
  <si>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</si>
  <si>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</si>
  <si>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</si>
  <si>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</si>
  <si>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</si>
  <si>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</si>
  <si>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</si>
  <si>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</si>
  <si>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</si>
  <si>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</si>
  <si>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</si>
  <si>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</si>
  <si>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</si>
  <si>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</si>
  <si>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</si>
  <si>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</si>
  <si>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</si>
  <si>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</si>
  <si>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</si>
  <si>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</si>
  <si>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</si>
  <si>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</si>
  <si>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</si>
  <si>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</si>
  <si>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</si>
  <si>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</si>
  <si>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</si>
  <si>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</si>
  <si>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</si>
  <si>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</si>
  <si>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</si>
  <si>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</si>
  <si>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</si>
  <si>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</si>
  <si>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</si>
  <si>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</si>
  <si>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</si>
  <si>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</si>
  <si>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</si>
  <si>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</si>
  <si>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</si>
  <si>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</si>
  <si>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</si>
  <si>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</si>
  <si>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</si>
  <si>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</si>
  <si>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</si>
  <si>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</si>
  <si>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</si>
  <si>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</si>
  <si>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</si>
  <si>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</si>
  <si>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</si>
  <si>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</si>
  <si>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</si>
  <si>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</si>
  <si>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</si>
  <si>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</si>
  <si>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</si>
  <si>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</si>
  <si>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</si>
  <si>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</si>
  <si>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</si>
  <si>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</si>
  <si>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</si>
  <si>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</si>
  <si>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</si>
  <si>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</si>
  <si>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</si>
  <si>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</si>
  <si>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</si>
  <si>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</si>
  <si>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</si>
  <si>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</si>
  <si>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</si>
  <si>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</si>
  <si>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</si>
  <si>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</si>
  <si>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</si>
  <si>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</si>
  <si>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</si>
  <si>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</si>
  <si>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</si>
  <si>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</si>
  <si>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</si>
  <si>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</si>
  <si>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</si>
  <si>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</si>
  <si>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</si>
  <si>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</si>
  <si>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</si>
  <si>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</si>
  <si>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</si>
  <si>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</si>
  <si>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</si>
  <si>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</si>
  <si>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</si>
  <si>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</si>
  <si>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</si>
  <si>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</si>
  <si>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</si>
  <si>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</si>
  <si>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</si>
  <si>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</si>
  <si>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</si>
  <si>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</si>
  <si>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</si>
  <si>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</si>
  <si>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</si>
  <si>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</si>
  <si>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</si>
  <si>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</si>
  <si>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</si>
  <si>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</si>
  <si>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</si>
  <si>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</si>
  <si>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</si>
  <si>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</si>
  <si>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</si>
  <si>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</si>
  <si>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</si>
  <si>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</si>
  <si>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</si>
  <si>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</si>
  <si>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</si>
  <si>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</si>
  <si>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</si>
  <si>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</si>
  <si>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</si>
  <si>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</si>
  <si>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</si>
  <si>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</si>
  <si>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</si>
  <si>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</si>
  <si>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</si>
  <si>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</si>
  <si>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</si>
  <si>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</si>
  <si>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</si>
  <si>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</si>
  <si>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</si>
  <si>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</si>
  <si>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</si>
  <si>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</si>
  <si>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</si>
  <si>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</si>
  <si>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</si>
  <si>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</si>
  <si>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</si>
  <si>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</si>
  <si>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</si>
  <si>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</si>
  <si>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</si>
  <si>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</si>
  <si>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</si>
  <si>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</si>
  <si>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</si>
  <si>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</si>
  <si>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</si>
  <si>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</si>
  <si>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</si>
  <si>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</si>
  <si>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</si>
  <si>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</si>
  <si>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</si>
  <si>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</si>
  <si>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</si>
  <si>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</si>
  <si>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</si>
  <si>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</si>
  <si>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</si>
  <si>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</si>
  <si>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</si>
  <si>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</si>
  <si>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</si>
  <si>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</si>
  <si>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</si>
  <si>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</si>
  <si>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</si>
  <si>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</si>
  <si>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</si>
  <si>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</si>
  <si>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</si>
  <si>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</si>
  <si>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</si>
  <si>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</si>
  <si>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</si>
  <si>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</si>
  <si>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</si>
  <si>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</si>
  <si>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</si>
  <si>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</si>
  <si>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</si>
  <si>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</si>
  <si>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</si>
  <si>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</si>
  <si>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</si>
  <si>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</si>
  <si>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</si>
  <si>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</si>
  <si>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</si>
  <si>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</si>
  <si>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</si>
  <si>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</si>
  <si>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</si>
  <si>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</si>
  <si>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</si>
  <si>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</si>
  <si>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</si>
  <si>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</si>
  <si>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</si>
  <si>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</si>
  <si>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</si>
  <si>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</si>
  <si>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</si>
  <si>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</si>
  <si>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</si>
  <si>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</si>
  <si>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</si>
  <si>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</si>
  <si>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</si>
  <si>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</si>
  <si>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</si>
  <si>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</si>
  <si>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</si>
  <si>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</si>
  <si>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</si>
  <si>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</si>
  <si>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</si>
  <si>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</si>
  <si>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</si>
  <si>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</si>
  <si>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</si>
  <si>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</si>
  <si>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</si>
  <si>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</si>
  <si>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</si>
  <si>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</si>
  <si>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</si>
  <si>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</si>
  <si>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</si>
  <si>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</si>
  <si>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</si>
  <si>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</si>
  <si>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</si>
  <si>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</si>
  <si>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</si>
  <si>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</si>
  <si>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</si>
  <si>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</si>
  <si>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</si>
  <si>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</si>
  <si>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</si>
  <si>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</si>
  <si>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</si>
  <si>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</si>
  <si>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</si>
  <si>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</si>
  <si>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</si>
  <si>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</si>
  <si>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</si>
  <si>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</si>
  <si>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</si>
  <si>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</si>
  <si>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</si>
  <si>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</si>
  <si>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</si>
  <si>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</si>
  <si>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</si>
  <si>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</si>
  <si>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</si>
  <si>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</si>
  <si>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</si>
  <si>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</si>
  <si>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</si>
  <si>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</si>
  <si>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</si>
  <si>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</si>
  <si>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</si>
  <si>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</si>
  <si>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</si>
  <si>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</si>
  <si>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</si>
  <si>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</si>
  <si>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</si>
  <si>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</si>
  <si>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</si>
  <si>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</si>
  <si>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</si>
  <si>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</si>
  <si>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</si>
  <si>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</si>
  <si>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</si>
  <si>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</si>
  <si>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</si>
  <si>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</si>
  <si>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</si>
  <si>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</si>
  <si>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</si>
  <si>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</si>
  <si>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</si>
  <si>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</si>
  <si>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</si>
  <si>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</si>
  <si>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</si>
  <si>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</si>
  <si>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</si>
  <si>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</si>
  <si>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</si>
  <si>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</si>
  <si>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</si>
  <si>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</si>
  <si>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</si>
  <si>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</si>
  <si>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</si>
  <si>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</si>
  <si>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</si>
  <si>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</si>
  <si>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</si>
  <si>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</si>
  <si>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</si>
  <si>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</si>
  <si>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</si>
  <si>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</si>
  <si>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</si>
  <si>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</si>
  <si>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</si>
  <si>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</si>
  <si>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</si>
  <si>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</si>
  <si>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</si>
  <si>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</si>
  <si>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</si>
  <si>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</si>
  <si>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</si>
  <si>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</si>
  <si>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</si>
  <si>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</si>
  <si>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</si>
  <si>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</si>
  <si>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</si>
  <si>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</si>
  <si>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</si>
  <si>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</si>
  <si>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</si>
  <si>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</si>
  <si>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</si>
  <si>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</si>
  <si>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</si>
  <si>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</si>
  <si>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</si>
  <si>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</si>
  <si>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</si>
  <si>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</si>
  <si>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</si>
  <si>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</si>
  <si>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</si>
  <si>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</si>
  <si>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</si>
  <si>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</si>
  <si>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</si>
  <si>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</si>
  <si>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</si>
  <si>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</si>
  <si>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</si>
  <si>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</si>
  <si>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</si>
  <si>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</si>
  <si>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</si>
  <si>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</si>
  <si>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</si>
  <si>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</si>
  <si>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</si>
  <si>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</si>
  <si>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</si>
  <si>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</si>
  <si>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</si>
  <si>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</si>
  <si>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</si>
  <si>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</si>
  <si>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</si>
  <si>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</si>
  <si>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</si>
  <si>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</si>
  <si>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</si>
  <si>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</si>
  <si>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</si>
  <si>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</si>
  <si>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</si>
  <si>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</si>
  <si>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</si>
  <si>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</si>
  <si>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</si>
  <si>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</si>
  <si>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</si>
  <si>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</si>
  <si>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</si>
  <si>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</si>
  <si>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</si>
  <si>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</si>
  <si>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</si>
  <si>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</si>
  <si>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</si>
  <si>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</si>
  <si>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</si>
  <si>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</si>
  <si>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</si>
  <si>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</si>
  <si>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</si>
  <si>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</si>
  <si>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</si>
  <si>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</si>
  <si>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</si>
  <si>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</si>
  <si>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</si>
  <si>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</si>
  <si>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</si>
  <si>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</si>
  <si>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</si>
  <si>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</si>
  <si>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</si>
  <si>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</si>
  <si>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</si>
  <si>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</si>
  <si>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</si>
  <si>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</si>
  <si>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</si>
  <si>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</si>
  <si>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</si>
  <si>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</si>
  <si>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</si>
  <si>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</si>
  <si>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</si>
  <si>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</si>
  <si>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</si>
  <si>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</si>
  <si>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</si>
  <si>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</si>
  <si>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</si>
  <si>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</si>
  <si>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</si>
  <si>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</si>
  <si>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</si>
  <si>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</si>
  <si>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</si>
  <si>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</si>
  <si>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</si>
  <si>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</si>
  <si>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</si>
  <si>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</si>
  <si>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</si>
  <si>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</si>
  <si>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</si>
  <si>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</si>
  <si>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</si>
  <si>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</si>
  <si>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</si>
  <si>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</si>
  <si>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</si>
  <si>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</si>
  <si>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</si>
  <si>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</si>
  <si>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</si>
  <si>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</si>
  <si>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</si>
  <si>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</si>
  <si>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</si>
  <si>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</si>
  <si>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</si>
  <si>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</si>
  <si>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</si>
  <si>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</si>
  <si>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</si>
  <si>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</si>
  <si>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</si>
  <si>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</si>
  <si>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</si>
  <si>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</si>
  <si>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</si>
  <si>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</si>
  <si>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</si>
  <si>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</si>
  <si>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</si>
  <si>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</si>
  <si>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</si>
  <si>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</si>
  <si>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</si>
  <si>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</si>
  <si>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</si>
  <si>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</si>
  <si>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</si>
  <si>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</si>
  <si>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</si>
  <si>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</si>
  <si>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</si>
  <si>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</si>
  <si>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</si>
  <si>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</si>
  <si>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</si>
  <si>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</si>
  <si>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</si>
  <si>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</si>
  <si>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</si>
  <si>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</si>
  <si>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</si>
  <si>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</si>
  <si>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</si>
  <si>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</si>
  <si>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</si>
  <si>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</si>
  <si>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</si>
  <si>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</si>
  <si>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</si>
  <si>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</si>
  <si>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</si>
  <si>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</si>
  <si>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</si>
  <si>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</si>
  <si>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</si>
  <si>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</si>
  <si>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</si>
  <si>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</si>
  <si>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</si>
  <si>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</si>
  <si>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</si>
  <si>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</si>
  <si>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</si>
  <si>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</si>
  <si>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</si>
  <si>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</si>
  <si>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</si>
  <si>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</si>
  <si>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</si>
  <si>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</si>
  <si>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</si>
  <si>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</si>
  <si>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</si>
  <si>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</si>
  <si>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</si>
  <si>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</si>
  <si>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</si>
  <si>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</si>
  <si>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</si>
  <si>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</si>
  <si>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</si>
  <si>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</si>
  <si>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</si>
  <si>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</si>
  <si>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</si>
  <si>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</si>
  <si>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</si>
  <si>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</si>
  <si>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</si>
  <si>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</si>
  <si>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</si>
  <si>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</si>
  <si>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</si>
  <si>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</si>
  <si>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</si>
  <si>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</si>
  <si>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</si>
  <si>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</si>
  <si>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</si>
  <si>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</si>
  <si>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</si>
  <si>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</si>
  <si>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</si>
  <si>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</si>
  <si>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</si>
  <si>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</si>
  <si>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</si>
  <si>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</si>
  <si>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</si>
  <si>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</si>
  <si>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</si>
  <si>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</si>
  <si>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</si>
  <si>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</si>
  <si>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</si>
  <si>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</si>
  <si>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</si>
  <si>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</si>
  <si>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</si>
  <si>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</si>
  <si>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</si>
  <si>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</si>
  <si>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</si>
  <si>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</si>
  <si>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</si>
  <si>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</si>
  <si>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</si>
  <si>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</si>
  <si>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</si>
  <si>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</si>
  <si>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</si>
  <si>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</si>
  <si>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</si>
  <si>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</si>
  <si>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</si>
  <si>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</si>
  <si>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</si>
  <si>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</si>
  <si>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</si>
  <si>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</si>
  <si>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</si>
  <si>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</si>
  <si>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</si>
  <si>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</si>
  <si>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</si>
  <si>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</si>
  <si>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039</t>
  </si>
  <si>
    <t>Kennewick General Hospital</t>
  </si>
  <si>
    <t>900 South Auburn Street</t>
  </si>
  <si>
    <t>P.O. Box 6128</t>
  </si>
  <si>
    <t>Kennewick , WA 99336</t>
  </si>
  <si>
    <t>Benton</t>
  </si>
  <si>
    <t>Scott Landrum</t>
  </si>
  <si>
    <t>Thomas Marshall</t>
  </si>
  <si>
    <t>Marvin Kinney</t>
  </si>
  <si>
    <t>(509) 586-6111</t>
  </si>
  <si>
    <t>(509) 586-5892</t>
  </si>
  <si>
    <t>3730 Plaza Way</t>
  </si>
  <si>
    <t>Kennewick , WA 99338</t>
  </si>
  <si>
    <t>John Solheim</t>
  </si>
  <si>
    <t>Charlie Pearce</t>
  </si>
  <si>
    <t>509-221-7000</t>
  </si>
  <si>
    <t>509-221-5892</t>
  </si>
  <si>
    <t>RCCH Trios Health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</si>
</sst>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16981745</v>
      </c>
      <c r="C48" s="245">
        <f>ROUND(((B48/CE61)*C61),0)</f>
        <v>537099</v>
      </c>
      <c r="D48" s="245">
        <f>ROUND(((B48/CE61)*D61),0)</f>
        <v>283</v>
      </c>
      <c r="E48" s="195">
        <f>ROUND(((B48/CE61)*E61),0)</f>
        <v>1116624</v>
      </c>
      <c r="F48" s="195">
        <f>ROUND(((B48/CE61)*F61),0)</f>
        <v>991600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266227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386925</v>
      </c>
      <c r="Q48" s="195">
        <f>ROUND(((B48/CE61)*Q61),0)</f>
        <v>131716</v>
      </c>
      <c r="R48" s="195">
        <f>ROUND(((B48/CE61)*R61),0)</f>
        <v>29273</v>
      </c>
      <c r="S48" s="195">
        <f>ROUND(((B48/CE61)*S61),0)</f>
        <v>76433</v>
      </c>
      <c r="T48" s="195">
        <f>ROUND(((B48/CE61)*T61),0)</f>
        <v>286</v>
      </c>
      <c r="U48" s="195">
        <f>ROUND(((B48/CE61)*U61),0)</f>
        <v>357683</v>
      </c>
      <c r="V48" s="195">
        <f>ROUND(((B48/CE61)*V61),0)</f>
        <v>12750</v>
      </c>
      <c r="W48" s="195">
        <f>ROUND(((B48/CE61)*W61),0)</f>
        <v>69920</v>
      </c>
      <c r="X48" s="195">
        <f>ROUND(((B48/CE61)*X61),0)</f>
        <v>112515</v>
      </c>
      <c r="Y48" s="195">
        <f>ROUND(((B48/CE61)*Y61),0)</f>
        <v>693023</v>
      </c>
      <c r="Z48" s="195">
        <f>ROUND(((B48/CE61)*Z61),0)</f>
        <v>150</v>
      </c>
      <c r="AA48" s="195">
        <f>ROUND(((B48/CE61)*AA61),0)</f>
        <v>68215</v>
      </c>
      <c r="AB48" s="195">
        <f>ROUND(((B48/CE61)*AB61),0)</f>
        <v>395810</v>
      </c>
      <c r="AC48" s="195">
        <f>ROUND(((B48/CE61)*AC61),0)</f>
        <v>265832</v>
      </c>
      <c r="AD48" s="195">
        <f>ROUND(((B48/CE61)*AD61),0)</f>
        <v>0</v>
      </c>
      <c r="AE48" s="195">
        <f>ROUND(((B48/CE61)*AE61),0)</f>
        <v>144668</v>
      </c>
      <c r="AF48" s="195">
        <f>ROUND(((B48/CE61)*AF61),0)</f>
        <v>0</v>
      </c>
      <c r="AG48" s="195">
        <f>ROUND(((B48/CE61)*AG61),0)</f>
        <v>1643702</v>
      </c>
      <c r="AH48" s="195">
        <f>ROUND(((B48/CE61)*AH61),0)</f>
        <v>0</v>
      </c>
      <c r="AI48" s="195">
        <f>ROUND(((B48/CE61)*AI61),0)</f>
        <v>379283</v>
      </c>
      <c r="AJ48" s="195">
        <f>ROUND(((B48/CE61)*AJ61),0)</f>
        <v>209622</v>
      </c>
      <c r="AK48" s="195">
        <f>ROUND(((B48/CE61)*AK61),0)</f>
        <v>0</v>
      </c>
      <c r="AL48" s="195">
        <f>ROUND(((B48/CE61)*AL61),0)</f>
        <v>22413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5473710</v>
      </c>
      <c r="AQ48" s="195">
        <f>ROUND(((B48/CE61)*AQ61),0)</f>
        <v>0</v>
      </c>
      <c r="AR48" s="195">
        <f>ROUND(((B48/CE61)*AR61),0)</f>
        <v>210678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442342</v>
      </c>
      <c r="AX48" s="195">
        <f>ROUND(((B48/CE61)*AX61),0)</f>
        <v>0</v>
      </c>
      <c r="AY48" s="195">
        <f>ROUND(((B48/CE61)*AY61),0)</f>
        <v>208153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89486</v>
      </c>
      <c r="BE48" s="195">
        <f>ROUND(((B48/CE61)*BE61),0)</f>
        <v>159685</v>
      </c>
      <c r="BF48" s="195">
        <f>ROUND(((B48/CE61)*BF61),0)</f>
        <v>351947</v>
      </c>
      <c r="BG48" s="195">
        <f>ROUND(((B48/CE61)*BG61),0)</f>
        <v>49579</v>
      </c>
      <c r="BH48" s="195">
        <f>ROUND(((B48/CE61)*BH61),0)</f>
        <v>350762</v>
      </c>
      <c r="BI48" s="195">
        <f>ROUND(((B48/CE61)*BI61),0)</f>
        <v>0</v>
      </c>
      <c r="BJ48" s="195">
        <f>ROUND(((B48/CE61)*BJ61),0)</f>
        <v>100632</v>
      </c>
      <c r="BK48" s="195">
        <f>ROUND(((B48/CE61)*BK61),0)</f>
        <v>191888</v>
      </c>
      <c r="BL48" s="195">
        <f>ROUND(((B48/CE61)*BL61),0)</f>
        <v>165547</v>
      </c>
      <c r="BM48" s="195">
        <f>ROUND(((B48/CE61)*BM61),0)</f>
        <v>0</v>
      </c>
      <c r="BN48" s="195">
        <f>ROUND(((B48/CE61)*BN61),0)</f>
        <v>264731</v>
      </c>
      <c r="BO48" s="195">
        <f>ROUND(((B48/CE61)*BO61),0)</f>
        <v>20962</v>
      </c>
      <c r="BP48" s="195">
        <f>ROUND(((B48/CE61)*BP61),0)</f>
        <v>39314</v>
      </c>
      <c r="BQ48" s="195">
        <f>ROUND(((B48/CE61)*BQ61),0)</f>
        <v>0</v>
      </c>
      <c r="BR48" s="195">
        <f>ROUND(((B48/CE61)*BR61),0)</f>
        <v>81431</v>
      </c>
      <c r="BS48" s="195">
        <f>ROUND(((B48/CE61)*BS61),0)</f>
        <v>49898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139268</v>
      </c>
      <c r="BW48" s="195">
        <f>ROUND(((B48/CE61)*BW61),0)</f>
        <v>46978</v>
      </c>
      <c r="BX48" s="195">
        <f>ROUND(((B48/CE61)*BX61),0)</f>
        <v>272201</v>
      </c>
      <c r="BY48" s="195">
        <f>ROUND(((B48/CE61)*BY61),0)</f>
        <v>303339</v>
      </c>
      <c r="BZ48" s="195">
        <f>ROUND(((B48/CE61)*BZ61),0)</f>
        <v>0</v>
      </c>
      <c r="CA48" s="195">
        <f>ROUND(((B48/CE61)*CA61),0)</f>
        <v>44634</v>
      </c>
      <c r="CB48" s="195">
        <f>ROUND(((B48/CE61)*CB61),0)</f>
        <v>7129</v>
      </c>
      <c r="CC48" s="195">
        <f>ROUND(((B48/CE61)*CC61),0)</f>
        <v>5397</v>
      </c>
      <c r="CD48" s="195"/>
      <c r="CE48" s="195">
        <f>SUM(C48:CD48)</f>
        <v>16981743</v>
      </c>
    </row>
    <row r="49" spans="1:84" ht="12.6" customHeight="1" x14ac:dyDescent="0.25">
      <c r="A49" s="175" t="s">
        <v>206</v>
      </c>
      <c r="B49" s="195">
        <f>B47+B48</f>
        <v>16981745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9954951.6899999995</v>
      </c>
      <c r="C52" s="195">
        <f>ROUND((B52/(CE76+CF76)*C76),0)</f>
        <v>136032</v>
      </c>
      <c r="D52" s="195">
        <f>ROUND((B52/(CE76+CF76)*D76),0)</f>
        <v>0</v>
      </c>
      <c r="E52" s="195">
        <f>ROUND((B52/(CE76+CF76)*E76),0)</f>
        <v>549729</v>
      </c>
      <c r="F52" s="195">
        <f>ROUND((B52/(CE76+CF76)*F76),0)</f>
        <v>218160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55953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371129</v>
      </c>
      <c r="Q52" s="195">
        <f>ROUND((B52/(CE76+CF76)*Q76),0)</f>
        <v>55523</v>
      </c>
      <c r="R52" s="195">
        <f>ROUND((B52/(CE76+CF76)*R76),0)</f>
        <v>10344</v>
      </c>
      <c r="S52" s="195">
        <f>ROUND((B52/(CE76+CF76)*S76),0)</f>
        <v>80393</v>
      </c>
      <c r="T52" s="195">
        <f>ROUND((B52/(CE76+CF76)*T76),0)</f>
        <v>0</v>
      </c>
      <c r="U52" s="195">
        <f>ROUND((B52/(CE76+CF76)*U76),0)</f>
        <v>256497</v>
      </c>
      <c r="V52" s="195">
        <f>ROUND((B52/(CE76+CF76)*V76),0)</f>
        <v>4511</v>
      </c>
      <c r="W52" s="195">
        <f>ROUND((B52/(CE76+CF76)*W76),0)</f>
        <v>105279</v>
      </c>
      <c r="X52" s="195">
        <f>ROUND((B52/(CE76+CF76)*X76),0)</f>
        <v>60398</v>
      </c>
      <c r="Y52" s="195">
        <f>ROUND((B52/(CE76+CF76)*Y76),0)</f>
        <v>395404</v>
      </c>
      <c r="Z52" s="195">
        <f>ROUND((B52/(CE76+CF76)*Z76),0)</f>
        <v>0</v>
      </c>
      <c r="AA52" s="195">
        <f>ROUND((B52/(CE76+CF76)*AA76),0)</f>
        <v>104883</v>
      </c>
      <c r="AB52" s="195">
        <f>ROUND((B52/(CE76+CF76)*AB76),0)</f>
        <v>116714</v>
      </c>
      <c r="AC52" s="195">
        <f>ROUND((B52/(CE76+CF76)*AC76),0)</f>
        <v>79236</v>
      </c>
      <c r="AD52" s="195">
        <f>ROUND((B52/(CE76+CF76)*AD76),0)</f>
        <v>0</v>
      </c>
      <c r="AE52" s="195">
        <f>ROUND((B52/(CE76+CF76)*AE76),0)</f>
        <v>148210</v>
      </c>
      <c r="AF52" s="195">
        <f>ROUND((B52/(CE76+CF76)*AF76),0)</f>
        <v>0</v>
      </c>
      <c r="AG52" s="195">
        <f>ROUND((B52/(CE76+CF76)*AG76),0)</f>
        <v>206758</v>
      </c>
      <c r="AH52" s="195">
        <f>ROUND((B52/(CE76+CF76)*AH76),0)</f>
        <v>0</v>
      </c>
      <c r="AI52" s="195">
        <f>ROUND((B52/(CE76+CF76)*AI76),0)</f>
        <v>418208</v>
      </c>
      <c r="AJ52" s="195">
        <f>ROUND((B52/(CE76+CF76)*AJ76),0)</f>
        <v>150623</v>
      </c>
      <c r="AK52" s="195">
        <f>ROUND((B52/(CE76+CF76)*AK76),0)</f>
        <v>0</v>
      </c>
      <c r="AL52" s="195">
        <f>ROUND((B52/(CE76+CF76)*AL76),0)</f>
        <v>3305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1764628</v>
      </c>
      <c r="AQ52" s="195">
        <f>ROUND((B52/(CE76+CF76)*AQ76),0)</f>
        <v>0</v>
      </c>
      <c r="AR52" s="195">
        <f>ROUND((B52/(CE76+CF76)*AR76),0)</f>
        <v>70048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23052</v>
      </c>
      <c r="AX52" s="195">
        <f>ROUND((B52/(CE76+CF76)*AX76),0)</f>
        <v>0</v>
      </c>
      <c r="AY52" s="195">
        <f>ROUND((B52/(CE76+CF76)*AY76),0)</f>
        <v>171841</v>
      </c>
      <c r="AZ52" s="195">
        <f>ROUND((B52/(CE76+CF76)*AZ76),0)</f>
        <v>0</v>
      </c>
      <c r="BA52" s="195">
        <f>ROUND((B52/(CE76+CF76)*BA76),0)</f>
        <v>28257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131107</v>
      </c>
      <c r="BE52" s="195">
        <f>ROUND((B52/(CE76+CF76)*BE76),0)</f>
        <v>843654</v>
      </c>
      <c r="BF52" s="195">
        <f>ROUND((B52/(CE76+CF76)*BF76),0)</f>
        <v>46021</v>
      </c>
      <c r="BG52" s="195">
        <f>ROUND((B52/(CE76+CF76)*BG76),0)</f>
        <v>27811</v>
      </c>
      <c r="BH52" s="195">
        <f>ROUND((B52/(CE76+CF76)*BH76),0)</f>
        <v>133156</v>
      </c>
      <c r="BI52" s="195">
        <f>ROUND((B52/(CE76+CF76)*BI76),0)</f>
        <v>0</v>
      </c>
      <c r="BJ52" s="195">
        <f>ROUND((B52/(CE76+CF76)*BJ76),0)</f>
        <v>42138</v>
      </c>
      <c r="BK52" s="195">
        <f>ROUND((B52/(CE76+CF76)*BK76),0)</f>
        <v>98719</v>
      </c>
      <c r="BL52" s="195">
        <f>ROUND((B52/(CE76+CF76)*BL76),0)</f>
        <v>96769</v>
      </c>
      <c r="BM52" s="195">
        <f>ROUND((B52/(CE76+CF76)*BM76),0)</f>
        <v>0</v>
      </c>
      <c r="BN52" s="195">
        <f>ROUND((B52/(CE76+CF76)*BN76),0)</f>
        <v>91332</v>
      </c>
      <c r="BO52" s="195">
        <f>ROUND((B52/(CE76+CF76)*BO76),0)</f>
        <v>3487</v>
      </c>
      <c r="BP52" s="195">
        <f>ROUND((B52/(CE76+CF76)*BP76),0)</f>
        <v>21780</v>
      </c>
      <c r="BQ52" s="195">
        <f>ROUND((B52/(CE76+CF76)*BQ76),0)</f>
        <v>0</v>
      </c>
      <c r="BR52" s="195">
        <f>ROUND((B52/(CE76+CF76)*BR76),0)</f>
        <v>56349</v>
      </c>
      <c r="BS52" s="195">
        <f>ROUND((B52/(CE76+CF76)*BS76),0)</f>
        <v>79765</v>
      </c>
      <c r="BT52" s="195">
        <f>ROUND((B52/(CE76+CF76)*BT76),0)</f>
        <v>14261</v>
      </c>
      <c r="BU52" s="195">
        <f>ROUND((B52/(CE76+CF76)*BU76),0)</f>
        <v>0</v>
      </c>
      <c r="BV52" s="195">
        <f>ROUND((B52/(CE76+CF76)*BV76),0)</f>
        <v>14872</v>
      </c>
      <c r="BW52" s="195">
        <f>ROUND((B52/(CE76+CF76)*BW76),0)</f>
        <v>62579</v>
      </c>
      <c r="BX52" s="195">
        <f>ROUND((B52/(CE76+CF76)*BX76),0)</f>
        <v>11700</v>
      </c>
      <c r="BY52" s="195">
        <f>ROUND((B52/(CE76+CF76)*BY76),0)</f>
        <v>53722</v>
      </c>
      <c r="BZ52" s="195">
        <f>ROUND((B52/(CE76+CF76)*BZ76),0)</f>
        <v>0</v>
      </c>
      <c r="CA52" s="195">
        <f>ROUND((B52/(CE76+CF76)*CA76),0)</f>
        <v>36387</v>
      </c>
      <c r="CB52" s="195">
        <f>ROUND((B52/(CE76+CF76)*CB76),0)</f>
        <v>5106</v>
      </c>
      <c r="CC52" s="195">
        <f>ROUND((B52/(CE76+CF76)*CC76),0)</f>
        <v>2499120</v>
      </c>
      <c r="CD52" s="195"/>
      <c r="CE52" s="195">
        <f>SUM(C52:CD52)</f>
        <v>9954950</v>
      </c>
    </row>
    <row r="53" spans="1:84" ht="12.6" customHeight="1" x14ac:dyDescent="0.25">
      <c r="A53" s="175" t="s">
        <v>206</v>
      </c>
      <c r="B53" s="195">
        <f>B51+B52</f>
        <v>9954951.6899999995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2703</v>
      </c>
      <c r="D59" s="184"/>
      <c r="E59" s="184">
        <f>7656+4324+16</f>
        <v>11996</v>
      </c>
      <c r="F59" s="184">
        <v>3043</v>
      </c>
      <c r="G59" s="184"/>
      <c r="H59" s="184"/>
      <c r="I59" s="184"/>
      <c r="J59" s="184">
        <f>1423+1935</f>
        <v>3358</v>
      </c>
      <c r="K59" s="184"/>
      <c r="L59" s="184"/>
      <c r="M59" s="184"/>
      <c r="N59" s="184"/>
      <c r="O59" s="184"/>
      <c r="P59" s="185">
        <v>287949</v>
      </c>
      <c r="Q59" s="185">
        <v>130439</v>
      </c>
      <c r="R59" s="185"/>
      <c r="S59" s="248"/>
      <c r="T59" s="248"/>
      <c r="U59" s="224">
        <f>292154+37582+10142</f>
        <v>339878</v>
      </c>
      <c r="V59" s="185">
        <v>466</v>
      </c>
      <c r="W59" s="185">
        <f>1098+1547</f>
        <v>2645</v>
      </c>
      <c r="X59" s="185">
        <f>8741+2557+221</f>
        <v>11519</v>
      </c>
      <c r="Y59" s="185">
        <f>18869+89+11809+973+7612+4120+7724</f>
        <v>51196</v>
      </c>
      <c r="Z59" s="185">
        <v>468114</v>
      </c>
      <c r="AA59" s="185">
        <f>1670+177</f>
        <v>1847</v>
      </c>
      <c r="AB59" s="248"/>
      <c r="AC59" s="185">
        <v>63081</v>
      </c>
      <c r="AD59" s="185"/>
      <c r="AE59" s="185">
        <f>4587+16571</f>
        <v>21158</v>
      </c>
      <c r="AF59" s="185"/>
      <c r="AG59" s="185">
        <v>27043</v>
      </c>
      <c r="AH59" s="185"/>
      <c r="AI59" s="185">
        <f>15376+11719</f>
        <v>27095</v>
      </c>
      <c r="AJ59" s="185">
        <f>1768+2494+4525</f>
        <v>8787</v>
      </c>
      <c r="AK59" s="185"/>
      <c r="AL59" s="185">
        <v>3311</v>
      </c>
      <c r="AM59" s="185"/>
      <c r="AN59" s="185"/>
      <c r="AO59" s="185"/>
      <c r="AP59" s="185">
        <f>842+196262+7270+4042</f>
        <v>208416</v>
      </c>
      <c r="AQ59" s="185"/>
      <c r="AR59" s="185">
        <v>11432</v>
      </c>
      <c r="AS59" s="185"/>
      <c r="AT59" s="185"/>
      <c r="AU59" s="185"/>
      <c r="AV59" s="248"/>
      <c r="AW59" s="248"/>
      <c r="AX59" s="248"/>
      <c r="AY59" s="185">
        <v>333727</v>
      </c>
      <c r="AZ59" s="185"/>
      <c r="BA59" s="248"/>
      <c r="BB59" s="248"/>
      <c r="BC59" s="248"/>
      <c r="BD59" s="248"/>
      <c r="BE59" s="185">
        <v>602427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f>24.4+4.2</f>
        <v>28.599999999999998</v>
      </c>
      <c r="D60" s="187"/>
      <c r="E60" s="187">
        <f>36.5+24.75</f>
        <v>61.25</v>
      </c>
      <c r="F60" s="223">
        <v>46.48</v>
      </c>
      <c r="G60" s="187"/>
      <c r="H60" s="187"/>
      <c r="I60" s="187"/>
      <c r="J60" s="223">
        <v>12.9</v>
      </c>
      <c r="K60" s="187"/>
      <c r="L60" s="187"/>
      <c r="M60" s="187"/>
      <c r="N60" s="187"/>
      <c r="O60" s="187"/>
      <c r="P60" s="221">
        <v>27</v>
      </c>
      <c r="Q60" s="221">
        <v>6</v>
      </c>
      <c r="R60" s="221">
        <v>1</v>
      </c>
      <c r="S60" s="221">
        <v>7</v>
      </c>
      <c r="T60" s="221"/>
      <c r="U60" s="221">
        <f>23.95+0.8+3</f>
        <v>27.75</v>
      </c>
      <c r="V60" s="221">
        <v>1</v>
      </c>
      <c r="W60" s="221">
        <v>3</v>
      </c>
      <c r="X60" s="221">
        <v>5</v>
      </c>
      <c r="Y60" s="221">
        <f>16.9+8+5+2</f>
        <v>31.9</v>
      </c>
      <c r="Z60" s="221"/>
      <c r="AA60" s="221">
        <v>3</v>
      </c>
      <c r="AB60" s="221">
        <v>13.25</v>
      </c>
      <c r="AC60" s="221">
        <v>13.5</v>
      </c>
      <c r="AD60" s="221"/>
      <c r="AE60" s="221">
        <f>2.6+4.6</f>
        <v>7.1999999999999993</v>
      </c>
      <c r="AF60" s="221"/>
      <c r="AG60" s="221">
        <f>29.73+11.5+1.5+1.5+1</f>
        <v>45.230000000000004</v>
      </c>
      <c r="AH60" s="221"/>
      <c r="AI60" s="221">
        <f>13.53+6.2</f>
        <v>19.73</v>
      </c>
      <c r="AJ60" s="221">
        <f>1.5+6.9+3.7</f>
        <v>12.100000000000001</v>
      </c>
      <c r="AK60" s="221"/>
      <c r="AL60" s="221"/>
      <c r="AM60" s="221"/>
      <c r="AN60" s="221"/>
      <c r="AO60" s="221"/>
      <c r="AP60" s="221">
        <f>180.98+7+2.8+2</f>
        <v>192.78</v>
      </c>
      <c r="AQ60" s="221"/>
      <c r="AR60" s="221"/>
      <c r="AS60" s="221"/>
      <c r="AT60" s="221"/>
      <c r="AU60" s="221"/>
      <c r="AV60" s="221"/>
      <c r="AW60" s="221">
        <v>26.7</v>
      </c>
      <c r="AX60" s="221"/>
      <c r="AY60" s="221">
        <v>24.33</v>
      </c>
      <c r="AZ60" s="221"/>
      <c r="BA60" s="221"/>
      <c r="BB60" s="221"/>
      <c r="BC60" s="221"/>
      <c r="BD60" s="221">
        <v>6.4</v>
      </c>
      <c r="BE60" s="221">
        <v>7.45</v>
      </c>
      <c r="BF60" s="221">
        <v>37.4</v>
      </c>
      <c r="BG60" s="221">
        <v>3</v>
      </c>
      <c r="BH60" s="221">
        <v>19.600000000000001</v>
      </c>
      <c r="BI60" s="221"/>
      <c r="BJ60" s="221">
        <v>6</v>
      </c>
      <c r="BK60" s="221">
        <f>15.5+2</f>
        <v>17.5</v>
      </c>
      <c r="BL60" s="221">
        <v>19.07</v>
      </c>
      <c r="BM60" s="221"/>
      <c r="BN60" s="221">
        <v>3</v>
      </c>
      <c r="BO60" s="221">
        <v>1</v>
      </c>
      <c r="BP60" s="221"/>
      <c r="BQ60" s="221"/>
      <c r="BR60" s="221">
        <v>4</v>
      </c>
      <c r="BS60" s="221">
        <v>1</v>
      </c>
      <c r="BT60" s="221"/>
      <c r="BU60" s="221"/>
      <c r="BV60" s="221">
        <v>5</v>
      </c>
      <c r="BW60" s="221">
        <v>2</v>
      </c>
      <c r="BX60" s="221">
        <f>5+3</f>
        <v>8</v>
      </c>
      <c r="BY60" s="221">
        <v>14.9</v>
      </c>
      <c r="BZ60" s="221"/>
      <c r="CA60" s="221">
        <v>2</v>
      </c>
      <c r="CB60" s="221">
        <v>1</v>
      </c>
      <c r="CC60" s="221"/>
      <c r="CD60" s="249" t="s">
        <v>221</v>
      </c>
      <c r="CE60" s="251">
        <f t="shared" ref="CE60:CE70" si="0">SUM(C60:CD60)</f>
        <v>775.02000000000021</v>
      </c>
    </row>
    <row r="61" spans="1:84" ht="12.6" customHeight="1" x14ac:dyDescent="0.25">
      <c r="A61" s="171" t="s">
        <v>235</v>
      </c>
      <c r="B61" s="175"/>
      <c r="C61" s="184">
        <f>2087354.13+231719.34+44392.31</f>
        <v>2363465.7799999998</v>
      </c>
      <c r="D61" s="184">
        <v>1244.23</v>
      </c>
      <c r="E61" s="184">
        <f>3010621.81+1900376.32+2623.66</f>
        <v>4913621.79</v>
      </c>
      <c r="F61" s="185">
        <v>4363464.29</v>
      </c>
      <c r="G61" s="184"/>
      <c r="H61" s="184"/>
      <c r="I61" s="185"/>
      <c r="J61" s="185">
        <v>1171513.1100000001</v>
      </c>
      <c r="K61" s="185"/>
      <c r="L61" s="185"/>
      <c r="M61" s="184"/>
      <c r="N61" s="184"/>
      <c r="O61" s="184"/>
      <c r="P61" s="185">
        <f>1697504.77+5130.19</f>
        <v>1702634.96</v>
      </c>
      <c r="Q61" s="185">
        <v>579607.69999999995</v>
      </c>
      <c r="R61" s="185">
        <v>128814.13</v>
      </c>
      <c r="S61" s="185">
        <v>336337.94</v>
      </c>
      <c r="T61" s="185">
        <v>1257.52</v>
      </c>
      <c r="U61" s="185">
        <f>1112165.28+228557.81+184006.56+49230.23</f>
        <v>1573959.8800000001</v>
      </c>
      <c r="V61" s="185">
        <v>56103.51</v>
      </c>
      <c r="W61" s="185">
        <f>204978.15+102700.84</f>
        <v>307678.99</v>
      </c>
      <c r="X61" s="185">
        <f>391782.13+66357.19+36976.14</f>
        <v>495115.46</v>
      </c>
      <c r="Y61" s="185">
        <f>1003734.13+254.13+740119.88+478967.57+231459.09+154380.73+181505.83+259175.11</f>
        <v>3049596.4699999997</v>
      </c>
      <c r="Z61" s="185">
        <v>662</v>
      </c>
      <c r="AA61" s="185">
        <f>274131.98+26043.76</f>
        <v>300175.74</v>
      </c>
      <c r="AB61" s="185">
        <f>1545264.36+196469.42</f>
        <v>1741733.78</v>
      </c>
      <c r="AC61" s="185">
        <v>1169776.0900000001</v>
      </c>
      <c r="AD61" s="185"/>
      <c r="AE61" s="185">
        <v>636599.9</v>
      </c>
      <c r="AF61" s="185"/>
      <c r="AG61" s="185">
        <f>3006091.46+2709488.51+705948.68+683568.89+118544.35+9350</f>
        <v>7232991.8899999987</v>
      </c>
      <c r="AH61" s="185"/>
      <c r="AI61" s="185">
        <f>3526.12+1269340.15+396140.31</f>
        <v>1669006.58</v>
      </c>
      <c r="AJ61" s="185">
        <f>120520.88+509374.17+292348.66+180.63</f>
        <v>922424.34</v>
      </c>
      <c r="AK61" s="185"/>
      <c r="AL61" s="185">
        <v>98626.3</v>
      </c>
      <c r="AM61" s="185"/>
      <c r="AN61" s="185"/>
      <c r="AO61" s="185"/>
      <c r="AP61" s="185">
        <f>406114.58+242240.76+1098494.88+2399982.04+1420627.77+269267.54+1633158.34+3117567.31+4796624.71+1756564.01+578195.3+2895342.86+2697326.41+409488.66+3357.86+184664.63+173273.46+188+4182</f>
        <v>24086661.120000001</v>
      </c>
      <c r="AQ61" s="185"/>
      <c r="AR61" s="185">
        <v>927074.43</v>
      </c>
      <c r="AS61" s="185"/>
      <c r="AT61" s="185"/>
      <c r="AU61" s="185"/>
      <c r="AV61" s="185"/>
      <c r="AW61" s="185">
        <v>1946495.24</v>
      </c>
      <c r="AX61" s="185"/>
      <c r="AY61" s="185">
        <v>915963.58</v>
      </c>
      <c r="AZ61" s="185"/>
      <c r="BA61" s="185"/>
      <c r="BB61" s="185"/>
      <c r="BC61" s="185"/>
      <c r="BD61" s="185">
        <v>393776.59</v>
      </c>
      <c r="BE61" s="185">
        <f>660504.09+11802.51+30374.85</f>
        <v>702681.45</v>
      </c>
      <c r="BF61" s="185">
        <v>1548715</v>
      </c>
      <c r="BG61" s="185">
        <v>218166.79</v>
      </c>
      <c r="BH61" s="185">
        <v>1543502.37</v>
      </c>
      <c r="BI61" s="185"/>
      <c r="BJ61" s="185">
        <v>442825.01</v>
      </c>
      <c r="BK61" s="185">
        <f>389576.66+454810.66</f>
        <v>844387.32</v>
      </c>
      <c r="BL61" s="185">
        <v>728476.51</v>
      </c>
      <c r="BM61" s="185"/>
      <c r="BN61" s="185">
        <f>1146800.77+18130.56</f>
        <v>1164931.33</v>
      </c>
      <c r="BO61" s="185">
        <v>92243.37</v>
      </c>
      <c r="BP61" s="185">
        <v>172999.58</v>
      </c>
      <c r="BQ61" s="185"/>
      <c r="BR61" s="185">
        <f>313791.45+44540</f>
        <v>358331.45</v>
      </c>
      <c r="BS61" s="185">
        <f>69131.56+150439.32</f>
        <v>219570.88</v>
      </c>
      <c r="BT61" s="185"/>
      <c r="BU61" s="185"/>
      <c r="BV61" s="185">
        <v>612839.38</v>
      </c>
      <c r="BW61" s="185">
        <v>206722.82</v>
      </c>
      <c r="BX61" s="185">
        <f>593.68+233.73+105.04+559957.67+2178.09+634732.56</f>
        <v>1197800.77</v>
      </c>
      <c r="BY61" s="185">
        <v>1334823.27</v>
      </c>
      <c r="BZ61" s="185"/>
      <c r="CA61" s="185">
        <v>196407.23</v>
      </c>
      <c r="CB61" s="185">
        <v>31368.639999999999</v>
      </c>
      <c r="CC61" s="185">
        <v>23750</v>
      </c>
      <c r="CD61" s="249" t="s">
        <v>221</v>
      </c>
      <c r="CE61" s="195">
        <f t="shared" si="0"/>
        <v>74726926.50999999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537099</v>
      </c>
      <c r="D62" s="195">
        <f t="shared" si="1"/>
        <v>283</v>
      </c>
      <c r="E62" s="195">
        <f t="shared" si="1"/>
        <v>1116624</v>
      </c>
      <c r="F62" s="195">
        <f t="shared" si="1"/>
        <v>991600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266227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386925</v>
      </c>
      <c r="Q62" s="195">
        <f t="shared" si="1"/>
        <v>131716</v>
      </c>
      <c r="R62" s="195">
        <f t="shared" si="1"/>
        <v>29273</v>
      </c>
      <c r="S62" s="195">
        <f t="shared" si="1"/>
        <v>76433</v>
      </c>
      <c r="T62" s="195">
        <f t="shared" si="1"/>
        <v>286</v>
      </c>
      <c r="U62" s="195">
        <f t="shared" si="1"/>
        <v>357683</v>
      </c>
      <c r="V62" s="195">
        <f t="shared" si="1"/>
        <v>12750</v>
      </c>
      <c r="W62" s="195">
        <f t="shared" si="1"/>
        <v>69920</v>
      </c>
      <c r="X62" s="195">
        <f t="shared" si="1"/>
        <v>112515</v>
      </c>
      <c r="Y62" s="195">
        <f t="shared" si="1"/>
        <v>693023</v>
      </c>
      <c r="Z62" s="195">
        <f t="shared" si="1"/>
        <v>150</v>
      </c>
      <c r="AA62" s="195">
        <f t="shared" si="1"/>
        <v>68215</v>
      </c>
      <c r="AB62" s="195">
        <f t="shared" si="1"/>
        <v>395810</v>
      </c>
      <c r="AC62" s="195">
        <f t="shared" si="1"/>
        <v>265832</v>
      </c>
      <c r="AD62" s="195">
        <f t="shared" si="1"/>
        <v>0</v>
      </c>
      <c r="AE62" s="195">
        <f t="shared" si="1"/>
        <v>144668</v>
      </c>
      <c r="AF62" s="195">
        <f t="shared" si="1"/>
        <v>0</v>
      </c>
      <c r="AG62" s="195">
        <f t="shared" si="1"/>
        <v>1643702</v>
      </c>
      <c r="AH62" s="195">
        <f t="shared" si="1"/>
        <v>0</v>
      </c>
      <c r="AI62" s="195">
        <f t="shared" si="1"/>
        <v>379283</v>
      </c>
      <c r="AJ62" s="195">
        <f t="shared" si="1"/>
        <v>209622</v>
      </c>
      <c r="AK62" s="195">
        <f t="shared" si="1"/>
        <v>0</v>
      </c>
      <c r="AL62" s="195">
        <f t="shared" si="1"/>
        <v>22413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5473710</v>
      </c>
      <c r="AQ62" s="195">
        <f t="shared" si="1"/>
        <v>0</v>
      </c>
      <c r="AR62" s="195">
        <f t="shared" si="1"/>
        <v>210678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442342</v>
      </c>
      <c r="AX62" s="195">
        <f t="shared" si="1"/>
        <v>0</v>
      </c>
      <c r="AY62" s="195">
        <f>ROUND(AY47+AY48,0)</f>
        <v>208153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89486</v>
      </c>
      <c r="BE62" s="195">
        <f t="shared" si="1"/>
        <v>159685</v>
      </c>
      <c r="BF62" s="195">
        <f t="shared" si="1"/>
        <v>351947</v>
      </c>
      <c r="BG62" s="195">
        <f t="shared" si="1"/>
        <v>49579</v>
      </c>
      <c r="BH62" s="195">
        <f t="shared" si="1"/>
        <v>350762</v>
      </c>
      <c r="BI62" s="195">
        <f t="shared" si="1"/>
        <v>0</v>
      </c>
      <c r="BJ62" s="195">
        <f t="shared" si="1"/>
        <v>100632</v>
      </c>
      <c r="BK62" s="195">
        <f t="shared" si="1"/>
        <v>191888</v>
      </c>
      <c r="BL62" s="195">
        <f t="shared" si="1"/>
        <v>165547</v>
      </c>
      <c r="BM62" s="195">
        <f t="shared" si="1"/>
        <v>0</v>
      </c>
      <c r="BN62" s="195">
        <f t="shared" si="1"/>
        <v>264731</v>
      </c>
      <c r="BO62" s="195">
        <f t="shared" ref="BO62:CC62" si="2">ROUND(BO47+BO48,0)</f>
        <v>20962</v>
      </c>
      <c r="BP62" s="195">
        <f t="shared" si="2"/>
        <v>39314</v>
      </c>
      <c r="BQ62" s="195">
        <f t="shared" si="2"/>
        <v>0</v>
      </c>
      <c r="BR62" s="195">
        <f t="shared" si="2"/>
        <v>81431</v>
      </c>
      <c r="BS62" s="195">
        <f t="shared" si="2"/>
        <v>49898</v>
      </c>
      <c r="BT62" s="195">
        <f t="shared" si="2"/>
        <v>0</v>
      </c>
      <c r="BU62" s="195">
        <f t="shared" si="2"/>
        <v>0</v>
      </c>
      <c r="BV62" s="195">
        <f t="shared" si="2"/>
        <v>139268</v>
      </c>
      <c r="BW62" s="195">
        <f t="shared" si="2"/>
        <v>46978</v>
      </c>
      <c r="BX62" s="195">
        <f t="shared" si="2"/>
        <v>272201</v>
      </c>
      <c r="BY62" s="195">
        <f t="shared" si="2"/>
        <v>303339</v>
      </c>
      <c r="BZ62" s="195">
        <f t="shared" si="2"/>
        <v>0</v>
      </c>
      <c r="CA62" s="195">
        <f t="shared" si="2"/>
        <v>44634</v>
      </c>
      <c r="CB62" s="195">
        <f t="shared" si="2"/>
        <v>7129</v>
      </c>
      <c r="CC62" s="195">
        <f t="shared" si="2"/>
        <v>5397</v>
      </c>
      <c r="CD62" s="249" t="s">
        <v>221</v>
      </c>
      <c r="CE62" s="195">
        <f t="shared" si="0"/>
        <v>16981743</v>
      </c>
      <c r="CF62" s="252"/>
    </row>
    <row r="63" spans="1:84" ht="12.6" customHeight="1" x14ac:dyDescent="0.25">
      <c r="A63" s="171" t="s">
        <v>236</v>
      </c>
      <c r="B63" s="175"/>
      <c r="C63" s="184">
        <v>68622.320000000007</v>
      </c>
      <c r="D63" s="184"/>
      <c r="E63" s="184">
        <f>33948+25283</f>
        <v>59231</v>
      </c>
      <c r="F63" s="185">
        <v>229539.37</v>
      </c>
      <c r="G63" s="184"/>
      <c r="H63" s="184"/>
      <c r="I63" s="185"/>
      <c r="J63" s="185">
        <f>3000+152217</f>
        <v>155217</v>
      </c>
      <c r="K63" s="185"/>
      <c r="L63" s="185"/>
      <c r="M63" s="184"/>
      <c r="N63" s="184"/>
      <c r="O63" s="184"/>
      <c r="P63" s="185"/>
      <c r="Q63" s="185"/>
      <c r="R63" s="185">
        <v>1692831</v>
      </c>
      <c r="S63" s="185">
        <v>60950</v>
      </c>
      <c r="T63" s="185"/>
      <c r="U63" s="185">
        <f>196882.79+160065.64+298817.49</f>
        <v>655765.92000000004</v>
      </c>
      <c r="V63" s="185">
        <v>26600</v>
      </c>
      <c r="W63" s="185"/>
      <c r="X63" s="185"/>
      <c r="Y63" s="185">
        <f>478478.81+300000+366050.47</f>
        <v>1144529.28</v>
      </c>
      <c r="Z63" s="185"/>
      <c r="AA63" s="185"/>
      <c r="AB63" s="185"/>
      <c r="AC63" s="185">
        <f>39864+62024.73</f>
        <v>101888.73000000001</v>
      </c>
      <c r="AD63" s="185"/>
      <c r="AE63" s="185"/>
      <c r="AF63" s="185"/>
      <c r="AG63" s="185">
        <f>250115.57-655775.61-157304.05-250616.29+8800+293154.85+59623.18</f>
        <v>-452002.35000000003</v>
      </c>
      <c r="AH63" s="185"/>
      <c r="AI63" s="185"/>
      <c r="AJ63" s="185">
        <v>464003.79</v>
      </c>
      <c r="AK63" s="185"/>
      <c r="AL63" s="185">
        <v>30685.53</v>
      </c>
      <c r="AM63" s="185"/>
      <c r="AN63" s="185"/>
      <c r="AO63" s="185"/>
      <c r="AP63" s="185">
        <f>245729.74+1603.2+42013.41+900000+10878.12+1715.82-357517.33+5000+171837.93+72487.5+130159.86</f>
        <v>1223908.2500000002</v>
      </c>
      <c r="AQ63" s="185"/>
      <c r="AR63" s="185">
        <v>902.62</v>
      </c>
      <c r="AS63" s="185"/>
      <c r="AT63" s="185"/>
      <c r="AU63" s="185"/>
      <c r="AV63" s="185"/>
      <c r="AW63" s="185">
        <f>13200+14.63</f>
        <v>13214.63</v>
      </c>
      <c r="AX63" s="185"/>
      <c r="AY63" s="185">
        <f>27566.15+5119.06</f>
        <v>32685.210000000003</v>
      </c>
      <c r="AZ63" s="185"/>
      <c r="BA63" s="185"/>
      <c r="BB63" s="185"/>
      <c r="BC63" s="185"/>
      <c r="BD63" s="185">
        <v>79675.58</v>
      </c>
      <c r="BE63" s="185">
        <v>14369.67</v>
      </c>
      <c r="BF63" s="185"/>
      <c r="BG63" s="185"/>
      <c r="BH63" s="185"/>
      <c r="BI63" s="185"/>
      <c r="BJ63" s="185">
        <f>138488.71+9644</f>
        <v>148132.71</v>
      </c>
      <c r="BK63" s="185">
        <v>881455.82</v>
      </c>
      <c r="BL63" s="185"/>
      <c r="BM63" s="185"/>
      <c r="BN63" s="185">
        <f>4878282.81+166312.41</f>
        <v>5044595.22</v>
      </c>
      <c r="BO63" s="185"/>
      <c r="BP63" s="185"/>
      <c r="BQ63" s="185"/>
      <c r="BR63" s="185">
        <v>25162.41</v>
      </c>
      <c r="BS63" s="185"/>
      <c r="BT63" s="185"/>
      <c r="BU63" s="185"/>
      <c r="BV63" s="185"/>
      <c r="BW63" s="185">
        <v>83750</v>
      </c>
      <c r="BX63" s="185">
        <f>15038.17+30600</f>
        <v>45638.17</v>
      </c>
      <c r="BY63" s="185"/>
      <c r="BZ63" s="185"/>
      <c r="CA63" s="185"/>
      <c r="CB63" s="185"/>
      <c r="CC63" s="185">
        <v>82632.69</v>
      </c>
      <c r="CD63" s="249" t="s">
        <v>221</v>
      </c>
      <c r="CE63" s="195">
        <f t="shared" si="0"/>
        <v>11913984.57</v>
      </c>
      <c r="CF63" s="252"/>
    </row>
    <row r="64" spans="1:84" ht="12.6" customHeight="1" x14ac:dyDescent="0.25">
      <c r="A64" s="171" t="s">
        <v>237</v>
      </c>
      <c r="B64" s="175"/>
      <c r="C64" s="184">
        <f>255509.76+3907.49+69994.31+1</f>
        <v>329412.56</v>
      </c>
      <c r="D64" s="184"/>
      <c r="E64" s="185">
        <f>326108.02+215313.81+33.25</f>
        <v>541455.08000000007</v>
      </c>
      <c r="F64" s="185">
        <v>511534.71</v>
      </c>
      <c r="G64" s="184"/>
      <c r="H64" s="184"/>
      <c r="I64" s="185"/>
      <c r="J64" s="185">
        <v>126836.38</v>
      </c>
      <c r="K64" s="185"/>
      <c r="L64" s="185"/>
      <c r="M64" s="184"/>
      <c r="N64" s="184"/>
      <c r="O64" s="184"/>
      <c r="P64" s="185">
        <f>7199329.43+5408.53</f>
        <v>7204737.96</v>
      </c>
      <c r="Q64" s="185">
        <v>21322.16</v>
      </c>
      <c r="R64" s="185">
        <v>306223.53000000003</v>
      </c>
      <c r="S64" s="185">
        <v>723659.65</v>
      </c>
      <c r="T64" s="185">
        <v>885153.35</v>
      </c>
      <c r="U64" s="185">
        <f>1488285.98+201477.85+140459.04</f>
        <v>1830222.87</v>
      </c>
      <c r="V64" s="185">
        <v>959.82</v>
      </c>
      <c r="W64" s="185">
        <f>3680.53+3193.08</f>
        <v>6873.6100000000006</v>
      </c>
      <c r="X64" s="185">
        <f>224561.58+15117.25+110798.62</f>
        <v>350477.44999999995</v>
      </c>
      <c r="Y64" s="185">
        <f>18362.48+76453.93+800443.36+3962.6+6639.03</f>
        <v>905861.4</v>
      </c>
      <c r="Z64" s="185">
        <f>7244641.19+7409.87+4915+1356.91</f>
        <v>7258322.9700000007</v>
      </c>
      <c r="AA64" s="185">
        <f>409880.75+19173.25</f>
        <v>429054</v>
      </c>
      <c r="AB64" s="185">
        <f>3287134.27+397065.86</f>
        <v>3684200.13</v>
      </c>
      <c r="AC64" s="185">
        <v>214132.15</v>
      </c>
      <c r="AD64" s="185"/>
      <c r="AE64" s="185">
        <v>321.8</v>
      </c>
      <c r="AF64" s="185"/>
      <c r="AG64" s="185">
        <f>533675.71+1587.63+462</f>
        <v>535725.34</v>
      </c>
      <c r="AH64" s="185"/>
      <c r="AI64" s="185">
        <f>5502.32+193006.53+135525.7+59602.37+206379.56</f>
        <v>600016.48</v>
      </c>
      <c r="AJ64" s="185">
        <v>139.34</v>
      </c>
      <c r="AK64" s="185"/>
      <c r="AL64" s="185">
        <v>345.17</v>
      </c>
      <c r="AM64" s="185"/>
      <c r="AN64" s="185"/>
      <c r="AO64" s="185"/>
      <c r="AP64" s="185">
        <f>916854.94+2</f>
        <v>916856.94</v>
      </c>
      <c r="AQ64" s="185"/>
      <c r="AR64" s="185">
        <v>31378.3</v>
      </c>
      <c r="AS64" s="185"/>
      <c r="AT64" s="185"/>
      <c r="AU64" s="185"/>
      <c r="AV64" s="185"/>
      <c r="AW64" s="185">
        <f>28306.67+1960</f>
        <v>30266.67</v>
      </c>
      <c r="AX64" s="185"/>
      <c r="AY64" s="185">
        <v>545407.63</v>
      </c>
      <c r="AZ64" s="185"/>
      <c r="BA64" s="185">
        <v>73266.7</v>
      </c>
      <c r="BB64" s="185"/>
      <c r="BC64" s="185"/>
      <c r="BD64" s="185">
        <v>10642.21</v>
      </c>
      <c r="BE64" s="185">
        <v>15337.07</v>
      </c>
      <c r="BF64" s="185">
        <v>157619.97</v>
      </c>
      <c r="BG64" s="185">
        <v>9063.5</v>
      </c>
      <c r="BH64" s="185">
        <v>88271.89</v>
      </c>
      <c r="BI64" s="185"/>
      <c r="BJ64" s="185">
        <v>4120.8500000000004</v>
      </c>
      <c r="BK64" s="185">
        <v>6298.9</v>
      </c>
      <c r="BL64" s="185">
        <v>26847.8</v>
      </c>
      <c r="BM64" s="185"/>
      <c r="BN64" s="185">
        <v>11881.72</v>
      </c>
      <c r="BO64" s="185">
        <v>9004.7800000000007</v>
      </c>
      <c r="BP64" s="185">
        <v>7253.81</v>
      </c>
      <c r="BQ64" s="185"/>
      <c r="BR64" s="185">
        <v>7745.05</v>
      </c>
      <c r="BS64" s="185">
        <f>12700.47+1301</f>
        <v>14001.47</v>
      </c>
      <c r="BT64" s="185"/>
      <c r="BU64" s="185"/>
      <c r="BV64" s="185">
        <v>4476.41</v>
      </c>
      <c r="BW64" s="185">
        <v>53136.57</v>
      </c>
      <c r="BX64" s="185">
        <f>1903.38+501+194+1507.5</f>
        <v>4105.88</v>
      </c>
      <c r="BY64" s="185">
        <f>705.42+228</f>
        <v>933.42</v>
      </c>
      <c r="BZ64" s="185"/>
      <c r="CA64" s="185">
        <v>12053.59</v>
      </c>
      <c r="CB64" s="185">
        <f>251+5682.28</f>
        <v>5933.28</v>
      </c>
      <c r="CC64" s="185">
        <v>1219.4100000000001</v>
      </c>
      <c r="CD64" s="249" t="s">
        <v>221</v>
      </c>
      <c r="CE64" s="195">
        <f t="shared" si="0"/>
        <v>28514111.730000004</v>
      </c>
      <c r="CF64" s="252"/>
    </row>
    <row r="65" spans="1:84" ht="12.6" customHeight="1" x14ac:dyDescent="0.25">
      <c r="A65" s="171" t="s">
        <v>238</v>
      </c>
      <c r="B65" s="175"/>
      <c r="C65" s="184">
        <v>759</v>
      </c>
      <c r="D65" s="184"/>
      <c r="E65" s="184">
        <v>759</v>
      </c>
      <c r="F65" s="184">
        <v>1518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>
        <v>759</v>
      </c>
      <c r="AD65" s="185"/>
      <c r="AE65" s="185">
        <v>759</v>
      </c>
      <c r="AF65" s="185"/>
      <c r="AG65" s="185">
        <f>483+5040+840+660</f>
        <v>7023</v>
      </c>
      <c r="AH65" s="185"/>
      <c r="AI65" s="185"/>
      <c r="AJ65" s="185">
        <v>276</v>
      </c>
      <c r="AK65" s="185"/>
      <c r="AL65" s="185"/>
      <c r="AM65" s="185"/>
      <c r="AN65" s="185"/>
      <c r="AO65" s="185"/>
      <c r="AP65" s="185">
        <f>10846.35+12872.49+18167.81+7762.98+56550.03+44531.67+111749.65+10233.64</f>
        <v>272714.62</v>
      </c>
      <c r="AQ65" s="185">
        <f>9750.87+7826.54+11882.68+11799.74+17896.5+3960.46+2832.97+6564+47326.49+6708.63</f>
        <v>126548.88</v>
      </c>
      <c r="AR65" s="185">
        <f>745+10783.81</f>
        <v>11528.81</v>
      </c>
      <c r="AS65" s="185"/>
      <c r="AT65" s="185"/>
      <c r="AU65" s="185"/>
      <c r="AV65" s="185"/>
      <c r="AW65" s="185">
        <f>360+201.38</f>
        <v>561.38</v>
      </c>
      <c r="AX65" s="185"/>
      <c r="AY65" s="185"/>
      <c r="AZ65" s="185"/>
      <c r="BA65" s="185"/>
      <c r="BB65" s="185"/>
      <c r="BC65" s="185"/>
      <c r="BD65" s="185">
        <f>21535.42+3263.33+0</f>
        <v>24798.75</v>
      </c>
      <c r="BE65" s="185">
        <f>1326471.26+483+6056.41+6204.22+1229.34</f>
        <v>1340444.23</v>
      </c>
      <c r="BF65" s="185">
        <v>108196.33</v>
      </c>
      <c r="BG65" s="185">
        <v>2001</v>
      </c>
      <c r="BH65" s="185">
        <f>299320.93+949.43</f>
        <v>300270.36</v>
      </c>
      <c r="BI65" s="185"/>
      <c r="BJ65" s="185">
        <f>1518+8344.75</f>
        <v>9862.75</v>
      </c>
      <c r="BK65" s="185">
        <v>171.77</v>
      </c>
      <c r="BL65" s="185">
        <v>3599.1</v>
      </c>
      <c r="BM65" s="185"/>
      <c r="BN65" s="185">
        <v>552</v>
      </c>
      <c r="BO65" s="185">
        <v>0</v>
      </c>
      <c r="BP65" s="185">
        <v>483</v>
      </c>
      <c r="BQ65" s="185"/>
      <c r="BR65" s="185">
        <v>21971.119999999999</v>
      </c>
      <c r="BS65" s="185">
        <v>483</v>
      </c>
      <c r="BT65" s="185"/>
      <c r="BU65" s="185"/>
      <c r="BV65" s="185"/>
      <c r="BW65" s="185"/>
      <c r="BX65" s="185"/>
      <c r="BY65" s="185">
        <v>1242</v>
      </c>
      <c r="BZ65" s="185"/>
      <c r="CA65" s="185"/>
      <c r="CB65" s="185"/>
      <c r="CC65" s="185">
        <v>759</v>
      </c>
      <c r="CD65" s="249" t="s">
        <v>221</v>
      </c>
      <c r="CE65" s="195">
        <f t="shared" si="0"/>
        <v>2238041.1</v>
      </c>
      <c r="CF65" s="252"/>
    </row>
    <row r="66" spans="1:84" ht="12.6" customHeight="1" x14ac:dyDescent="0.25">
      <c r="A66" s="171" t="s">
        <v>239</v>
      </c>
      <c r="B66" s="175"/>
      <c r="C66" s="184">
        <f>7638.31+2279</f>
        <v>9917.3100000000013</v>
      </c>
      <c r="D66" s="184"/>
      <c r="E66" s="184">
        <f>506092.11+950.51</f>
        <v>507042.62</v>
      </c>
      <c r="F66" s="184">
        <v>7212.87</v>
      </c>
      <c r="G66" s="184"/>
      <c r="H66" s="184"/>
      <c r="I66" s="184"/>
      <c r="J66" s="184">
        <v>375</v>
      </c>
      <c r="K66" s="185"/>
      <c r="L66" s="185"/>
      <c r="M66" s="184"/>
      <c r="N66" s="184"/>
      <c r="O66" s="185"/>
      <c r="P66" s="185">
        <f>448186.24+23919.55</f>
        <v>472105.79</v>
      </c>
      <c r="Q66" s="185">
        <v>481.77</v>
      </c>
      <c r="R66" s="185">
        <v>569.45000000000005</v>
      </c>
      <c r="S66" s="184">
        <v>75133.149999999994</v>
      </c>
      <c r="T66" s="184">
        <v>11932</v>
      </c>
      <c r="U66" s="185">
        <f>949787.86+134859.35+211145.58</f>
        <v>1295792.79</v>
      </c>
      <c r="V66" s="185">
        <v>5241</v>
      </c>
      <c r="W66" s="185">
        <v>282814.12</v>
      </c>
      <c r="X66" s="185">
        <v>264117.13</v>
      </c>
      <c r="Y66" s="185">
        <f>24571.24+622774.08+6628.2-206562.48+235390.63+8712.37+119381.26+1599.83+76545.82</f>
        <v>889040.95</v>
      </c>
      <c r="Z66" s="185">
        <v>497.25</v>
      </c>
      <c r="AA66" s="185">
        <f>55802.81+154.28</f>
        <v>55957.09</v>
      </c>
      <c r="AB66" s="185">
        <f>396260.45+8637.13</f>
        <v>404897.58</v>
      </c>
      <c r="AC66" s="185">
        <v>1863.39</v>
      </c>
      <c r="AD66" s="185"/>
      <c r="AE66" s="185">
        <v>5451.8</v>
      </c>
      <c r="AF66" s="185"/>
      <c r="AG66" s="185">
        <f>162752.29+21144.03+9187.08+7770.59</f>
        <v>200853.99</v>
      </c>
      <c r="AH66" s="185"/>
      <c r="AI66" s="185">
        <f>497.25+1084.5+6505.53</f>
        <v>8087.28</v>
      </c>
      <c r="AJ66" s="185">
        <f>1877.91+11689.74+5537.74</f>
        <v>19105.39</v>
      </c>
      <c r="AK66" s="185"/>
      <c r="AL66" s="185">
        <v>194.87</v>
      </c>
      <c r="AM66" s="185"/>
      <c r="AN66" s="185"/>
      <c r="AO66" s="185"/>
      <c r="AP66" s="185">
        <f>10442.11+20426.62+1328071.81+24219.07+23044.22+40532.24+16221.82+35828.07+37818.52+8316.73+2997.69+235860.62+25859.38+482.1+706.29+2278.59+6023.29+50985.87+5276.62</f>
        <v>1875391.6600000004</v>
      </c>
      <c r="AQ66" s="185"/>
      <c r="AR66" s="185">
        <f>80341.21+2763.8</f>
        <v>83105.010000000009</v>
      </c>
      <c r="AS66" s="185"/>
      <c r="AT66" s="185"/>
      <c r="AU66" s="185"/>
      <c r="AV66" s="185"/>
      <c r="AW66" s="185">
        <f>9523.04+5879.88</f>
        <v>15402.920000000002</v>
      </c>
      <c r="AX66" s="185"/>
      <c r="AY66" s="185">
        <v>59313.18</v>
      </c>
      <c r="AZ66" s="185"/>
      <c r="BA66" s="185">
        <v>248249.39</v>
      </c>
      <c r="BB66" s="185"/>
      <c r="BC66" s="185"/>
      <c r="BD66" s="185">
        <v>29091.56</v>
      </c>
      <c r="BE66" s="185">
        <f>689995.03+405609.16+15908.17+1169.31+1751.44+225.88+184.89</f>
        <v>1114843.8799999997</v>
      </c>
      <c r="BF66" s="185">
        <v>42001.53</v>
      </c>
      <c r="BG66" s="185">
        <v>87783.6</v>
      </c>
      <c r="BH66" s="185">
        <v>2299867.21</v>
      </c>
      <c r="BI66" s="185"/>
      <c r="BJ66" s="185">
        <f>147960.44+7258</f>
        <v>155218.44</v>
      </c>
      <c r="BK66" s="185">
        <v>-212084.57</v>
      </c>
      <c r="BL66" s="185">
        <v>2438.0700000000002</v>
      </c>
      <c r="BM66" s="185"/>
      <c r="BN66" s="185">
        <v>674811.44</v>
      </c>
      <c r="BO66" s="185">
        <v>108308.45</v>
      </c>
      <c r="BP66" s="185">
        <v>185156.52</v>
      </c>
      <c r="BQ66" s="185"/>
      <c r="BR66" s="185">
        <f>288578.33+1238.41</f>
        <v>289816.74</v>
      </c>
      <c r="BS66" s="185">
        <f>99.09+120.32+67193.32</f>
        <v>67412.73000000001</v>
      </c>
      <c r="BT66" s="185"/>
      <c r="BU66" s="185"/>
      <c r="BV66" s="185">
        <v>880610.56</v>
      </c>
      <c r="BW66" s="185">
        <v>96923.53</v>
      </c>
      <c r="BX66" s="185">
        <f>33994.58+272847.11+5308.5+29278.49</f>
        <v>341428.68</v>
      </c>
      <c r="BY66" s="185">
        <f>40123.72+450+5100</f>
        <v>45673.72</v>
      </c>
      <c r="BZ66" s="185"/>
      <c r="CA66" s="185">
        <v>4970.79</v>
      </c>
      <c r="CB66" s="185">
        <v>215746.58</v>
      </c>
      <c r="CC66" s="185">
        <v>100593.77</v>
      </c>
      <c r="CD66" s="249" t="s">
        <v>221</v>
      </c>
      <c r="CE66" s="195">
        <f t="shared" si="0"/>
        <v>13330759.979999995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136032</v>
      </c>
      <c r="D67" s="195">
        <f>ROUND(D51+D52,0)</f>
        <v>0</v>
      </c>
      <c r="E67" s="195">
        <f t="shared" ref="E67:BP67" si="3">ROUND(E51+E52,0)</f>
        <v>549729</v>
      </c>
      <c r="F67" s="195">
        <f t="shared" si="3"/>
        <v>218160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55953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371129</v>
      </c>
      <c r="Q67" s="195">
        <f t="shared" si="3"/>
        <v>55523</v>
      </c>
      <c r="R67" s="195">
        <f t="shared" si="3"/>
        <v>10344</v>
      </c>
      <c r="S67" s="195">
        <f t="shared" si="3"/>
        <v>80393</v>
      </c>
      <c r="T67" s="195">
        <f t="shared" si="3"/>
        <v>0</v>
      </c>
      <c r="U67" s="195">
        <f t="shared" si="3"/>
        <v>256497</v>
      </c>
      <c r="V67" s="195">
        <f t="shared" si="3"/>
        <v>4511</v>
      </c>
      <c r="W67" s="195">
        <f t="shared" si="3"/>
        <v>105279</v>
      </c>
      <c r="X67" s="195">
        <f t="shared" si="3"/>
        <v>60398</v>
      </c>
      <c r="Y67" s="195">
        <f t="shared" si="3"/>
        <v>395404</v>
      </c>
      <c r="Z67" s="195">
        <f t="shared" si="3"/>
        <v>0</v>
      </c>
      <c r="AA67" s="195">
        <f t="shared" si="3"/>
        <v>104883</v>
      </c>
      <c r="AB67" s="195">
        <f t="shared" si="3"/>
        <v>116714</v>
      </c>
      <c r="AC67" s="195">
        <f t="shared" si="3"/>
        <v>79236</v>
      </c>
      <c r="AD67" s="195">
        <f t="shared" si="3"/>
        <v>0</v>
      </c>
      <c r="AE67" s="195">
        <f t="shared" si="3"/>
        <v>148210</v>
      </c>
      <c r="AF67" s="195">
        <f t="shared" si="3"/>
        <v>0</v>
      </c>
      <c r="AG67" s="195">
        <f t="shared" si="3"/>
        <v>206758</v>
      </c>
      <c r="AH67" s="195">
        <f t="shared" si="3"/>
        <v>0</v>
      </c>
      <c r="AI67" s="195">
        <f t="shared" si="3"/>
        <v>418208</v>
      </c>
      <c r="AJ67" s="195">
        <f t="shared" si="3"/>
        <v>150623</v>
      </c>
      <c r="AK67" s="195">
        <f t="shared" si="3"/>
        <v>0</v>
      </c>
      <c r="AL67" s="195">
        <f t="shared" si="3"/>
        <v>3305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1764628</v>
      </c>
      <c r="AQ67" s="195">
        <f t="shared" si="3"/>
        <v>0</v>
      </c>
      <c r="AR67" s="195">
        <f t="shared" si="3"/>
        <v>70048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23052</v>
      </c>
      <c r="AX67" s="195">
        <f t="shared" si="3"/>
        <v>0</v>
      </c>
      <c r="AY67" s="195">
        <f t="shared" si="3"/>
        <v>171841</v>
      </c>
      <c r="AZ67" s="195">
        <f>ROUND(AZ51+AZ52,0)</f>
        <v>0</v>
      </c>
      <c r="BA67" s="195">
        <f>ROUND(BA51+BA52,0)</f>
        <v>28257</v>
      </c>
      <c r="BB67" s="195">
        <f t="shared" si="3"/>
        <v>0</v>
      </c>
      <c r="BC67" s="195">
        <f t="shared" si="3"/>
        <v>0</v>
      </c>
      <c r="BD67" s="195">
        <f t="shared" si="3"/>
        <v>131107</v>
      </c>
      <c r="BE67" s="195">
        <f t="shared" si="3"/>
        <v>843654</v>
      </c>
      <c r="BF67" s="195">
        <f t="shared" si="3"/>
        <v>46021</v>
      </c>
      <c r="BG67" s="195">
        <f t="shared" si="3"/>
        <v>27811</v>
      </c>
      <c r="BH67" s="195">
        <f t="shared" si="3"/>
        <v>133156</v>
      </c>
      <c r="BI67" s="195">
        <f t="shared" si="3"/>
        <v>0</v>
      </c>
      <c r="BJ67" s="195">
        <f t="shared" si="3"/>
        <v>42138</v>
      </c>
      <c r="BK67" s="195">
        <f t="shared" si="3"/>
        <v>98719</v>
      </c>
      <c r="BL67" s="195">
        <f t="shared" si="3"/>
        <v>96769</v>
      </c>
      <c r="BM67" s="195">
        <f t="shared" si="3"/>
        <v>0</v>
      </c>
      <c r="BN67" s="195">
        <f t="shared" si="3"/>
        <v>91332</v>
      </c>
      <c r="BO67" s="195">
        <f t="shared" si="3"/>
        <v>3487</v>
      </c>
      <c r="BP67" s="195">
        <f t="shared" si="3"/>
        <v>21780</v>
      </c>
      <c r="BQ67" s="195">
        <f t="shared" ref="BQ67:CC67" si="4">ROUND(BQ51+BQ52,0)</f>
        <v>0</v>
      </c>
      <c r="BR67" s="195">
        <f t="shared" si="4"/>
        <v>56349</v>
      </c>
      <c r="BS67" s="195">
        <f t="shared" si="4"/>
        <v>79765</v>
      </c>
      <c r="BT67" s="195">
        <f t="shared" si="4"/>
        <v>14261</v>
      </c>
      <c r="BU67" s="195">
        <f t="shared" si="4"/>
        <v>0</v>
      </c>
      <c r="BV67" s="195">
        <f t="shared" si="4"/>
        <v>14872</v>
      </c>
      <c r="BW67" s="195">
        <f t="shared" si="4"/>
        <v>62579</v>
      </c>
      <c r="BX67" s="195">
        <f t="shared" si="4"/>
        <v>11700</v>
      </c>
      <c r="BY67" s="195">
        <f t="shared" si="4"/>
        <v>53722</v>
      </c>
      <c r="BZ67" s="195">
        <f t="shared" si="4"/>
        <v>0</v>
      </c>
      <c r="CA67" s="195">
        <f t="shared" si="4"/>
        <v>36387</v>
      </c>
      <c r="CB67" s="195">
        <f t="shared" si="4"/>
        <v>5106</v>
      </c>
      <c r="CC67" s="195">
        <f t="shared" si="4"/>
        <v>2499120</v>
      </c>
      <c r="CD67" s="249" t="s">
        <v>221</v>
      </c>
      <c r="CE67" s="195">
        <f t="shared" si="0"/>
        <v>9954950</v>
      </c>
      <c r="CF67" s="252"/>
    </row>
    <row r="68" spans="1:84" ht="12.6" customHeight="1" x14ac:dyDescent="0.25">
      <c r="A68" s="171" t="s">
        <v>240</v>
      </c>
      <c r="B68" s="175"/>
      <c r="C68" s="184">
        <v>3573.9</v>
      </c>
      <c r="D68" s="184"/>
      <c r="E68" s="184">
        <f>3671.51+11686.77</f>
        <v>15358.28</v>
      </c>
      <c r="F68" s="184">
        <v>13578.17</v>
      </c>
      <c r="G68" s="184"/>
      <c r="H68" s="184"/>
      <c r="I68" s="184"/>
      <c r="J68" s="184">
        <v>1178.6199999999999</v>
      </c>
      <c r="K68" s="185"/>
      <c r="L68" s="185"/>
      <c r="M68" s="184"/>
      <c r="N68" s="184"/>
      <c r="O68" s="184"/>
      <c r="P68" s="185">
        <f>6377.25+61.21</f>
        <v>6438.46</v>
      </c>
      <c r="Q68" s="185">
        <v>46.62</v>
      </c>
      <c r="R68" s="185"/>
      <c r="S68" s="185">
        <v>5791.75</v>
      </c>
      <c r="T68" s="185"/>
      <c r="U68" s="185">
        <f>112661.53+34680+4924.67+206.29</f>
        <v>152472.49000000002</v>
      </c>
      <c r="V68" s="185"/>
      <c r="W68" s="185">
        <v>179.34</v>
      </c>
      <c r="X68" s="185">
        <f>160.7+149362.99</f>
        <v>149523.69</v>
      </c>
      <c r="Y68" s="185">
        <f>7863.61+1107.69+1457.86+478.15+219.93+975.47+3351.17</f>
        <v>15453.88</v>
      </c>
      <c r="Z68" s="185"/>
      <c r="AA68" s="185">
        <f>122.37+917.84</f>
        <v>1040.21</v>
      </c>
      <c r="AB68" s="185">
        <f>69535.13+32766.74</f>
        <v>102301.87000000001</v>
      </c>
      <c r="AC68" s="185">
        <v>18967.830000000002</v>
      </c>
      <c r="AD68" s="185"/>
      <c r="AE68" s="185">
        <v>1222.23</v>
      </c>
      <c r="AF68" s="185"/>
      <c r="AG68" s="185">
        <f>32775.63+2485.45+36+7.25</f>
        <v>35304.329999999994</v>
      </c>
      <c r="AH68" s="185"/>
      <c r="AI68" s="185">
        <f>3410.35+2078.59</f>
        <v>5488.9400000000005</v>
      </c>
      <c r="AJ68" s="185">
        <f>62.65+4442.62+7491.66</f>
        <v>11996.93</v>
      </c>
      <c r="AK68" s="185"/>
      <c r="AL68" s="185">
        <v>15.48</v>
      </c>
      <c r="AM68" s="185"/>
      <c r="AN68" s="185"/>
      <c r="AO68" s="185"/>
      <c r="AP68" s="185">
        <f>75001.37+748.79+30708.79+5439.32+6621.98+31856.19+2929.05+2440.11+4567.22+11178.72+5643.45+337682.82+2720.95</f>
        <v>517538.75999999995</v>
      </c>
      <c r="AQ68" s="185"/>
      <c r="AR68" s="185">
        <v>5763.2</v>
      </c>
      <c r="AS68" s="185"/>
      <c r="AT68" s="185"/>
      <c r="AU68" s="185"/>
      <c r="AV68" s="185"/>
      <c r="AW68" s="185">
        <v>2110.84</v>
      </c>
      <c r="AX68" s="185"/>
      <c r="AY68" s="185">
        <v>2939.07</v>
      </c>
      <c r="AZ68" s="185"/>
      <c r="BA68" s="185"/>
      <c r="BB68" s="185"/>
      <c r="BC68" s="185"/>
      <c r="BD68" s="185">
        <v>36662.76</v>
      </c>
      <c r="BE68" s="185">
        <v>6799.53</v>
      </c>
      <c r="BF68" s="185"/>
      <c r="BG68" s="185"/>
      <c r="BH68" s="185">
        <v>4673.6000000000004</v>
      </c>
      <c r="BI68" s="185"/>
      <c r="BJ68" s="185">
        <v>5849.78</v>
      </c>
      <c r="BK68" s="185">
        <v>51460.7</v>
      </c>
      <c r="BL68" s="185">
        <v>24979.73</v>
      </c>
      <c r="BM68" s="185"/>
      <c r="BN68" s="185">
        <v>4620.57</v>
      </c>
      <c r="BO68" s="185"/>
      <c r="BP68" s="185">
        <v>8020.51</v>
      </c>
      <c r="BQ68" s="185"/>
      <c r="BR68" s="185">
        <v>6856.58</v>
      </c>
      <c r="BS68" s="185">
        <f>1188.27+3327.21</f>
        <v>4515.4799999999996</v>
      </c>
      <c r="BT68" s="185"/>
      <c r="BU68" s="185"/>
      <c r="BV68" s="185">
        <v>12849.82</v>
      </c>
      <c r="BW68" s="185">
        <v>9231.31</v>
      </c>
      <c r="BX68" s="185">
        <f>3630.43+504.21</f>
        <v>4134.6399999999994</v>
      </c>
      <c r="BY68" s="185">
        <v>1912.62</v>
      </c>
      <c r="BZ68" s="185"/>
      <c r="CA68" s="185">
        <v>18387.95</v>
      </c>
      <c r="CB68" s="185"/>
      <c r="CC68" s="185">
        <v>746989.6</v>
      </c>
      <c r="CD68" s="249" t="s">
        <v>221</v>
      </c>
      <c r="CE68" s="195">
        <f t="shared" si="0"/>
        <v>2016230.0700000003</v>
      </c>
      <c r="CF68" s="252"/>
    </row>
    <row r="69" spans="1:84" ht="12.6" customHeight="1" x14ac:dyDescent="0.25">
      <c r="A69" s="171" t="s">
        <v>241</v>
      </c>
      <c r="B69" s="175"/>
      <c r="C69" s="184">
        <v>2326</v>
      </c>
      <c r="D69" s="184"/>
      <c r="E69" s="185">
        <f>538.22+46.47+395</f>
        <v>979.69</v>
      </c>
      <c r="F69" s="185">
        <v>8111</v>
      </c>
      <c r="G69" s="184"/>
      <c r="H69" s="184"/>
      <c r="I69" s="185"/>
      <c r="J69" s="185">
        <v>782.93</v>
      </c>
      <c r="K69" s="185"/>
      <c r="L69" s="185"/>
      <c r="M69" s="184"/>
      <c r="N69" s="184"/>
      <c r="O69" s="184"/>
      <c r="P69" s="185"/>
      <c r="Q69" s="185">
        <v>178</v>
      </c>
      <c r="R69" s="224">
        <v>286.39</v>
      </c>
      <c r="S69" s="185">
        <v>13166.34</v>
      </c>
      <c r="T69" s="184"/>
      <c r="U69" s="185">
        <f>139.3+207.1</f>
        <v>346.4</v>
      </c>
      <c r="V69" s="185"/>
      <c r="W69" s="184"/>
      <c r="X69" s="185"/>
      <c r="Y69" s="185">
        <v>29123.52</v>
      </c>
      <c r="Z69" s="185"/>
      <c r="AA69" s="185">
        <v>51.78</v>
      </c>
      <c r="AB69" s="185">
        <v>5354.51</v>
      </c>
      <c r="AC69" s="185"/>
      <c r="AD69" s="185"/>
      <c r="AE69" s="185">
        <f>1437.21+920.65</f>
        <v>2357.86</v>
      </c>
      <c r="AF69" s="185"/>
      <c r="AG69" s="185">
        <f>15922.94+21791.82+428+19859.85+8728.7</f>
        <v>66731.31</v>
      </c>
      <c r="AH69" s="185"/>
      <c r="AI69" s="185">
        <v>389.95</v>
      </c>
      <c r="AJ69" s="185">
        <v>293</v>
      </c>
      <c r="AK69" s="185"/>
      <c r="AL69" s="185">
        <v>196.86</v>
      </c>
      <c r="AM69" s="185"/>
      <c r="AN69" s="185"/>
      <c r="AO69" s="184"/>
      <c r="AP69" s="185">
        <f>6180.31+5080.93+46215.36+13703.7+3785.44+18734.9+32389.37+33840.31+15928.2+12214.94+40764.19+49263.67</f>
        <v>278101.32</v>
      </c>
      <c r="AQ69" s="184"/>
      <c r="AR69" s="184">
        <v>33457.870000000003</v>
      </c>
      <c r="AS69" s="184"/>
      <c r="AT69" s="184"/>
      <c r="AU69" s="185"/>
      <c r="AV69" s="185"/>
      <c r="AW69" s="185">
        <v>38380.46</v>
      </c>
      <c r="AX69" s="185"/>
      <c r="AY69" s="185">
        <v>14102.75</v>
      </c>
      <c r="AZ69" s="185"/>
      <c r="BA69" s="185"/>
      <c r="BB69" s="185"/>
      <c r="BC69" s="185"/>
      <c r="BD69" s="185">
        <v>237650.78</v>
      </c>
      <c r="BE69" s="185">
        <v>4507.91</v>
      </c>
      <c r="BF69" s="185">
        <v>1167.72</v>
      </c>
      <c r="BG69" s="185">
        <v>996.04</v>
      </c>
      <c r="BH69" s="224">
        <v>1378.27</v>
      </c>
      <c r="BI69" s="185"/>
      <c r="BJ69" s="185">
        <v>1645.97</v>
      </c>
      <c r="BK69" s="185">
        <v>20880.849999999999</v>
      </c>
      <c r="BL69" s="185"/>
      <c r="BM69" s="185"/>
      <c r="BN69" s="185">
        <f>127345.82+33939</f>
        <v>161284.82</v>
      </c>
      <c r="BO69" s="185">
        <v>1683.79</v>
      </c>
      <c r="BP69" s="185">
        <v>9684.77</v>
      </c>
      <c r="BQ69" s="185"/>
      <c r="BR69" s="185">
        <v>1127.5999999999999</v>
      </c>
      <c r="BS69" s="185">
        <v>1217.81</v>
      </c>
      <c r="BT69" s="185">
        <v>-168.53</v>
      </c>
      <c r="BU69" s="185"/>
      <c r="BV69" s="185">
        <v>1011.81</v>
      </c>
      <c r="BW69" s="185">
        <v>3026.95</v>
      </c>
      <c r="BX69" s="185">
        <f>4502+7663.75</f>
        <v>12165.75</v>
      </c>
      <c r="BY69" s="185">
        <v>15225.86</v>
      </c>
      <c r="BZ69" s="185"/>
      <c r="CA69" s="185">
        <v>21538.11</v>
      </c>
      <c r="CB69" s="185"/>
      <c r="CC69" s="185">
        <v>2861.7</v>
      </c>
      <c r="CD69" s="188">
        <v>16850374.82</v>
      </c>
      <c r="CE69" s="195">
        <f t="shared" si="0"/>
        <v>17843980.740000002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>
        <v>9060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>
        <v>110613.75</v>
      </c>
      <c r="V70" s="184"/>
      <c r="W70" s="184"/>
      <c r="X70" s="185"/>
      <c r="Y70" s="185"/>
      <c r="Z70" s="185"/>
      <c r="AA70" s="185"/>
      <c r="AB70" s="185">
        <f>2233552.64+9701.56</f>
        <v>2243254.2000000002</v>
      </c>
      <c r="AC70" s="185"/>
      <c r="AD70" s="185"/>
      <c r="AE70" s="185"/>
      <c r="AF70" s="185"/>
      <c r="AG70" s="185">
        <v>23990</v>
      </c>
      <c r="AH70" s="185"/>
      <c r="AI70" s="185"/>
      <c r="AJ70" s="185"/>
      <c r="AK70" s="185"/>
      <c r="AL70" s="185"/>
      <c r="AM70" s="185"/>
      <c r="AN70" s="185"/>
      <c r="AO70" s="185"/>
      <c r="AP70" s="185">
        <f>-9.68+551392.4</f>
        <v>551382.72</v>
      </c>
      <c r="AQ70" s="185"/>
      <c r="AR70" s="185">
        <v>8.73</v>
      </c>
      <c r="AS70" s="185"/>
      <c r="AT70" s="185"/>
      <c r="AU70" s="185"/>
      <c r="AV70" s="185"/>
      <c r="AW70" s="185">
        <v>19400</v>
      </c>
      <c r="AX70" s="185"/>
      <c r="AY70" s="185">
        <v>494118.67</v>
      </c>
      <c r="AZ70" s="185"/>
      <c r="BA70" s="185">
        <v>31800</v>
      </c>
      <c r="BB70" s="185"/>
      <c r="BC70" s="185"/>
      <c r="BD70" s="185">
        <v>52023.89</v>
      </c>
      <c r="BE70" s="185"/>
      <c r="BF70" s="185"/>
      <c r="BG70" s="185"/>
      <c r="BH70" s="185">
        <v>4459.4399999999996</v>
      </c>
      <c r="BI70" s="185"/>
      <c r="BJ70" s="185"/>
      <c r="BK70" s="185"/>
      <c r="BL70" s="185">
        <v>2</v>
      </c>
      <c r="BM70" s="185"/>
      <c r="BN70" s="185"/>
      <c r="BO70" s="185"/>
      <c r="BP70" s="185">
        <v>3010</v>
      </c>
      <c r="BQ70" s="185"/>
      <c r="BR70" s="185"/>
      <c r="BS70" s="185"/>
      <c r="BT70" s="185"/>
      <c r="BU70" s="185"/>
      <c r="BV70" s="185">
        <v>2671.22</v>
      </c>
      <c r="BW70" s="185">
        <v>22546.080000000002</v>
      </c>
      <c r="BX70" s="185"/>
      <c r="BY70" s="185"/>
      <c r="BZ70" s="185"/>
      <c r="CA70" s="185">
        <v>27379.72</v>
      </c>
      <c r="CB70" s="185">
        <v>14168.75</v>
      </c>
      <c r="CC70" s="185"/>
      <c r="CD70" s="188">
        <f>123508.65+16481.98+193654.23+31881.96+527857.12+257452.05</f>
        <v>1150835.99</v>
      </c>
      <c r="CE70" s="195">
        <f t="shared" si="0"/>
        <v>4760725.16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3451207.8699999996</v>
      </c>
      <c r="D71" s="195">
        <f t="shared" ref="D71:AI71" si="5">SUM(D61:D69)-D70</f>
        <v>1527.23</v>
      </c>
      <c r="E71" s="195">
        <f t="shared" si="5"/>
        <v>7704800.4600000009</v>
      </c>
      <c r="F71" s="195">
        <f t="shared" si="5"/>
        <v>6335658.4100000001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1778083.0400000003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10143971.17</v>
      </c>
      <c r="Q71" s="195">
        <f t="shared" si="5"/>
        <v>788875.25</v>
      </c>
      <c r="R71" s="195">
        <f t="shared" si="5"/>
        <v>2168341.5000000005</v>
      </c>
      <c r="S71" s="195">
        <f t="shared" si="5"/>
        <v>1371864.83</v>
      </c>
      <c r="T71" s="195">
        <f t="shared" si="5"/>
        <v>898628.87</v>
      </c>
      <c r="U71" s="195">
        <f t="shared" si="5"/>
        <v>6012126.6000000006</v>
      </c>
      <c r="V71" s="195">
        <f t="shared" si="5"/>
        <v>106165.33000000002</v>
      </c>
      <c r="W71" s="195">
        <f t="shared" si="5"/>
        <v>772745.05999999994</v>
      </c>
      <c r="X71" s="195">
        <f t="shared" si="5"/>
        <v>1432146.73</v>
      </c>
      <c r="Y71" s="195">
        <f t="shared" si="5"/>
        <v>7122032.5</v>
      </c>
      <c r="Z71" s="195">
        <f t="shared" si="5"/>
        <v>7259632.2200000007</v>
      </c>
      <c r="AA71" s="195">
        <f t="shared" si="5"/>
        <v>959376.82</v>
      </c>
      <c r="AB71" s="195">
        <f t="shared" si="5"/>
        <v>4207757.67</v>
      </c>
      <c r="AC71" s="195">
        <f t="shared" si="5"/>
        <v>1852455.19</v>
      </c>
      <c r="AD71" s="195">
        <f t="shared" si="5"/>
        <v>0</v>
      </c>
      <c r="AE71" s="195">
        <f t="shared" si="5"/>
        <v>939590.59000000008</v>
      </c>
      <c r="AF71" s="195">
        <f t="shared" si="5"/>
        <v>0</v>
      </c>
      <c r="AG71" s="195">
        <f t="shared" si="5"/>
        <v>9453097.5099999998</v>
      </c>
      <c r="AH71" s="195">
        <f t="shared" si="5"/>
        <v>0</v>
      </c>
      <c r="AI71" s="195">
        <f t="shared" si="5"/>
        <v>3080480.23</v>
      </c>
      <c r="AJ71" s="195">
        <f t="shared" ref="AJ71:BO71" si="6">SUM(AJ61:AJ69)-AJ70</f>
        <v>1778483.7899999998</v>
      </c>
      <c r="AK71" s="195">
        <f t="shared" si="6"/>
        <v>0</v>
      </c>
      <c r="AL71" s="195">
        <f t="shared" si="6"/>
        <v>155782.21000000002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35858127.950000003</v>
      </c>
      <c r="AQ71" s="195">
        <f t="shared" si="6"/>
        <v>126548.88</v>
      </c>
      <c r="AR71" s="195">
        <f t="shared" si="6"/>
        <v>1373927.5100000005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2492426.1399999997</v>
      </c>
      <c r="AX71" s="195">
        <f t="shared" si="6"/>
        <v>0</v>
      </c>
      <c r="AY71" s="195">
        <f t="shared" si="6"/>
        <v>1456286.75</v>
      </c>
      <c r="AZ71" s="195">
        <f t="shared" si="6"/>
        <v>0</v>
      </c>
      <c r="BA71" s="195">
        <f t="shared" si="6"/>
        <v>317973.09000000003</v>
      </c>
      <c r="BB71" s="195">
        <f t="shared" si="6"/>
        <v>0</v>
      </c>
      <c r="BC71" s="195">
        <f t="shared" si="6"/>
        <v>0</v>
      </c>
      <c r="BD71" s="195">
        <f t="shared" si="6"/>
        <v>980867.34000000008</v>
      </c>
      <c r="BE71" s="195">
        <f t="shared" si="6"/>
        <v>4202322.74</v>
      </c>
      <c r="BF71" s="195">
        <f t="shared" si="6"/>
        <v>2255668.5499999998</v>
      </c>
      <c r="BG71" s="195">
        <f t="shared" si="6"/>
        <v>395400.93</v>
      </c>
      <c r="BH71" s="195">
        <f t="shared" si="6"/>
        <v>4717422.2599999988</v>
      </c>
      <c r="BI71" s="195">
        <f t="shared" si="6"/>
        <v>0</v>
      </c>
      <c r="BJ71" s="195">
        <f t="shared" si="6"/>
        <v>910425.51</v>
      </c>
      <c r="BK71" s="195">
        <f t="shared" si="6"/>
        <v>1883177.7899999998</v>
      </c>
      <c r="BL71" s="195">
        <f t="shared" si="6"/>
        <v>1048655.21</v>
      </c>
      <c r="BM71" s="195">
        <f t="shared" si="6"/>
        <v>0</v>
      </c>
      <c r="BN71" s="195">
        <f t="shared" si="6"/>
        <v>7418740.0999999996</v>
      </c>
      <c r="BO71" s="195">
        <f t="shared" si="6"/>
        <v>235689.38999999998</v>
      </c>
      <c r="BP71" s="195">
        <f t="shared" ref="BP71:CC71" si="7">SUM(BP61:BP69)-BP70</f>
        <v>441682.19</v>
      </c>
      <c r="BQ71" s="195">
        <f t="shared" si="7"/>
        <v>0</v>
      </c>
      <c r="BR71" s="195">
        <f t="shared" si="7"/>
        <v>848790.95</v>
      </c>
      <c r="BS71" s="195">
        <f t="shared" si="7"/>
        <v>436864.36999999994</v>
      </c>
      <c r="BT71" s="195">
        <f t="shared" si="7"/>
        <v>14092.47</v>
      </c>
      <c r="BU71" s="195">
        <f t="shared" si="7"/>
        <v>0</v>
      </c>
      <c r="BV71" s="195">
        <f t="shared" si="7"/>
        <v>1663256.7600000002</v>
      </c>
      <c r="BW71" s="195">
        <f t="shared" si="7"/>
        <v>539802.10000000009</v>
      </c>
      <c r="BX71" s="195">
        <f t="shared" si="7"/>
        <v>1889174.8899999997</v>
      </c>
      <c r="BY71" s="195">
        <f t="shared" si="7"/>
        <v>1756871.8900000001</v>
      </c>
      <c r="BZ71" s="195">
        <f t="shared" si="7"/>
        <v>0</v>
      </c>
      <c r="CA71" s="195">
        <f t="shared" si="7"/>
        <v>306998.94999999995</v>
      </c>
      <c r="CB71" s="195">
        <f t="shared" si="7"/>
        <v>251114.75</v>
      </c>
      <c r="CC71" s="195">
        <f t="shared" si="7"/>
        <v>3463323.1700000004</v>
      </c>
      <c r="CD71" s="245">
        <f>CD69-CD70</f>
        <v>15699538.83</v>
      </c>
      <c r="CE71" s="195">
        <f>SUM(CE61:CE69)-CE70</f>
        <v>172760002.53999999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f>806525.79</f>
        <v>806525.79</v>
      </c>
      <c r="CF72" s="252"/>
    </row>
    <row r="73" spans="1:84" ht="12.6" customHeight="1" x14ac:dyDescent="0.25">
      <c r="A73" s="171" t="s">
        <v>245</v>
      </c>
      <c r="B73" s="175"/>
      <c r="C73" s="184">
        <f>7145072.29+676482</f>
        <v>7821554.29</v>
      </c>
      <c r="D73" s="184"/>
      <c r="E73" s="185">
        <f>12337309+6419660.89+42710</f>
        <v>18799679.890000001</v>
      </c>
      <c r="F73" s="185">
        <v>15383659.67</v>
      </c>
      <c r="G73" s="184"/>
      <c r="H73" s="184"/>
      <c r="I73" s="185"/>
      <c r="J73" s="185">
        <v>3667159.27</v>
      </c>
      <c r="K73" s="185"/>
      <c r="L73" s="185"/>
      <c r="M73" s="184"/>
      <c r="N73" s="184"/>
      <c r="O73" s="184"/>
      <c r="P73" s="185">
        <v>22230476.699999999</v>
      </c>
      <c r="Q73" s="185">
        <v>1072854</v>
      </c>
      <c r="R73" s="185">
        <v>2940982</v>
      </c>
      <c r="S73" s="185">
        <f>4386543.31+13651.6</f>
        <v>4400194.9099999992</v>
      </c>
      <c r="T73" s="185">
        <v>4057133</v>
      </c>
      <c r="U73" s="185">
        <f>18851053.39+2625862.94+514228.48</f>
        <v>21991144.810000002</v>
      </c>
      <c r="V73" s="185">
        <v>209105</v>
      </c>
      <c r="W73" s="185">
        <v>1320882.8899999999</v>
      </c>
      <c r="X73" s="185">
        <f>7548919.88+2238</f>
        <v>7551157.8799999999</v>
      </c>
      <c r="Y73" s="185">
        <f>2891969.81+4066509.03+4657166.49+32500</f>
        <v>11648145.33</v>
      </c>
      <c r="Z73" s="185">
        <v>1106287</v>
      </c>
      <c r="AA73" s="185">
        <v>675463.29</v>
      </c>
      <c r="AB73" s="185">
        <v>20921449</v>
      </c>
      <c r="AC73" s="185">
        <v>13242709.869999999</v>
      </c>
      <c r="AD73" s="185"/>
      <c r="AE73" s="185">
        <f>1843624.15</f>
        <v>1843624.15</v>
      </c>
      <c r="AF73" s="185"/>
      <c r="AG73" s="185">
        <f>9341056.65+3195811.55+1318912.7+858617.55</f>
        <v>14714398.449999999</v>
      </c>
      <c r="AH73" s="185"/>
      <c r="AI73" s="185">
        <f>178843.73+346.61</f>
        <v>179190.34</v>
      </c>
      <c r="AJ73" s="185">
        <v>494510</v>
      </c>
      <c r="AK73" s="185"/>
      <c r="AL73" s="185">
        <v>485626.52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176757388.26000002</v>
      </c>
      <c r="CF73" s="252"/>
    </row>
    <row r="74" spans="1:84" ht="12.6" customHeight="1" x14ac:dyDescent="0.25">
      <c r="A74" s="171" t="s">
        <v>246</v>
      </c>
      <c r="B74" s="175"/>
      <c r="C74" s="184">
        <f>249006+92820</f>
        <v>341826</v>
      </c>
      <c r="D74" s="184">
        <f>1566531+1076158.61+29821.61</f>
        <v>2672511.2200000002</v>
      </c>
      <c r="E74" s="185"/>
      <c r="F74" s="185">
        <v>1402941.31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23954075.129999999</v>
      </c>
      <c r="Q74" s="185">
        <v>1802415</v>
      </c>
      <c r="R74" s="185">
        <v>4691279</v>
      </c>
      <c r="S74" s="185">
        <f>4542816.37+1443.85</f>
        <v>4544260.22</v>
      </c>
      <c r="T74" s="185">
        <v>5419011.7000000002</v>
      </c>
      <c r="U74" s="185">
        <f>1823934.04+291470.67+17122070.09</f>
        <v>19237474.800000001</v>
      </c>
      <c r="V74" s="185">
        <v>219008</v>
      </c>
      <c r="W74" s="185">
        <f>4891901.74+2332302.44</f>
        <v>7224204.1799999997</v>
      </c>
      <c r="X74" s="185">
        <f>7316180.25+17946074.22+1608616</f>
        <v>26870870.469999999</v>
      </c>
      <c r="Y74" s="185">
        <f>5298143.31+39551.9+9022741.93+3377520.05+1610352.58+3026123.38+3603776.52+2</f>
        <v>25978211.670000002</v>
      </c>
      <c r="Z74" s="185">
        <f>34332120.18</f>
        <v>34332120.18</v>
      </c>
      <c r="AA74" s="185">
        <f>3005409.59+331633.41</f>
        <v>3337043</v>
      </c>
      <c r="AB74" s="185">
        <f>850809.79+13047697.84</f>
        <v>13898507.629999999</v>
      </c>
      <c r="AC74" s="185">
        <v>5143960</v>
      </c>
      <c r="AD74" s="185"/>
      <c r="AE74" s="185">
        <f>795298.76+464932.75+0</f>
        <v>1260231.51</v>
      </c>
      <c r="AF74" s="185"/>
      <c r="AG74" s="185">
        <v>27161646.190000001</v>
      </c>
      <c r="AH74" s="185"/>
      <c r="AI74" s="185">
        <f>4774053.28+4273458.74</f>
        <v>9047512.0199999996</v>
      </c>
      <c r="AJ74" s="185">
        <f>3942493+2938711.6+373119.7</f>
        <v>7254324.2999999998</v>
      </c>
      <c r="AK74" s="185"/>
      <c r="AL74" s="185">
        <v>130325.14</v>
      </c>
      <c r="AM74" s="185"/>
      <c r="AN74" s="185"/>
      <c r="AO74" s="185"/>
      <c r="AP74" s="185">
        <f>82+137+1233111.8+1007301+1600+7061079.36+4471949.85+4221621.45+8590390.56+11553805+2241030.4+1972553.3+9020517.08+7626183.73+1745574.65+929930.4</f>
        <v>61676867.579999998</v>
      </c>
      <c r="AQ74" s="185"/>
      <c r="AR74" s="185">
        <v>1133172.18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288733798.43000001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8163380.29</v>
      </c>
      <c r="D75" s="195">
        <f t="shared" si="9"/>
        <v>2672511.2200000002</v>
      </c>
      <c r="E75" s="195">
        <f t="shared" si="9"/>
        <v>18799679.890000001</v>
      </c>
      <c r="F75" s="195">
        <f t="shared" si="9"/>
        <v>16786600.98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3667159.27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46184551.829999998</v>
      </c>
      <c r="Q75" s="195">
        <f t="shared" si="9"/>
        <v>2875269</v>
      </c>
      <c r="R75" s="195">
        <f t="shared" si="9"/>
        <v>7632261</v>
      </c>
      <c r="S75" s="195">
        <f t="shared" si="9"/>
        <v>8944455.129999999</v>
      </c>
      <c r="T75" s="195">
        <f t="shared" si="9"/>
        <v>9476144.6999999993</v>
      </c>
      <c r="U75" s="195">
        <f t="shared" si="9"/>
        <v>41228619.609999999</v>
      </c>
      <c r="V75" s="195">
        <f t="shared" si="9"/>
        <v>428113</v>
      </c>
      <c r="W75" s="195">
        <f t="shared" si="9"/>
        <v>8545087.0700000003</v>
      </c>
      <c r="X75" s="195">
        <f t="shared" si="9"/>
        <v>34422028.350000001</v>
      </c>
      <c r="Y75" s="195">
        <f t="shared" si="9"/>
        <v>37626357</v>
      </c>
      <c r="Z75" s="195">
        <f t="shared" si="9"/>
        <v>35438407.18</v>
      </c>
      <c r="AA75" s="195">
        <f t="shared" si="9"/>
        <v>4012506.29</v>
      </c>
      <c r="AB75" s="195">
        <f t="shared" si="9"/>
        <v>34819956.629999995</v>
      </c>
      <c r="AC75" s="195">
        <f t="shared" si="9"/>
        <v>18386669.869999997</v>
      </c>
      <c r="AD75" s="195">
        <f t="shared" si="9"/>
        <v>0</v>
      </c>
      <c r="AE75" s="195">
        <f t="shared" si="9"/>
        <v>3103855.66</v>
      </c>
      <c r="AF75" s="195">
        <f t="shared" si="9"/>
        <v>0</v>
      </c>
      <c r="AG75" s="195">
        <f t="shared" si="9"/>
        <v>41876044.640000001</v>
      </c>
      <c r="AH75" s="195">
        <f t="shared" si="9"/>
        <v>0</v>
      </c>
      <c r="AI75" s="195">
        <f t="shared" si="9"/>
        <v>9226702.3599999994</v>
      </c>
      <c r="AJ75" s="195">
        <f t="shared" si="9"/>
        <v>7748834.2999999998</v>
      </c>
      <c r="AK75" s="195">
        <f t="shared" si="9"/>
        <v>0</v>
      </c>
      <c r="AL75" s="195">
        <f t="shared" si="9"/>
        <v>615951.66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61676867.579999998</v>
      </c>
      <c r="AQ75" s="195">
        <f t="shared" si="9"/>
        <v>0</v>
      </c>
      <c r="AR75" s="195">
        <f t="shared" si="9"/>
        <v>1133172.18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465491186.69000006</v>
      </c>
      <c r="CF75" s="252"/>
    </row>
    <row r="76" spans="1:84" ht="12.6" customHeight="1" x14ac:dyDescent="0.25">
      <c r="A76" s="171" t="s">
        <v>248</v>
      </c>
      <c r="B76" s="175"/>
      <c r="C76" s="184">
        <v>8232</v>
      </c>
      <c r="D76" s="184"/>
      <c r="E76" s="185">
        <f>13916+13916+5435</f>
        <v>33267</v>
      </c>
      <c r="F76" s="185">
        <v>13202</v>
      </c>
      <c r="G76" s="184"/>
      <c r="H76" s="184"/>
      <c r="I76" s="185"/>
      <c r="J76" s="185">
        <v>3386</v>
      </c>
      <c r="K76" s="185"/>
      <c r="L76" s="185"/>
      <c r="M76" s="185"/>
      <c r="N76" s="185"/>
      <c r="O76" s="185"/>
      <c r="P76" s="185">
        <v>22459</v>
      </c>
      <c r="Q76" s="185">
        <v>3360</v>
      </c>
      <c r="R76" s="185">
        <v>626</v>
      </c>
      <c r="S76" s="185">
        <v>4865</v>
      </c>
      <c r="T76" s="185"/>
      <c r="U76" s="185">
        <f>10447+5075</f>
        <v>15522</v>
      </c>
      <c r="V76" s="185">
        <v>273</v>
      </c>
      <c r="W76" s="185">
        <f>5560+811</f>
        <v>6371</v>
      </c>
      <c r="X76" s="185">
        <f>3170+485</f>
        <v>3655</v>
      </c>
      <c r="Y76" s="185">
        <f>9156+3089+1924+2980+192+739+5848</f>
        <v>23928</v>
      </c>
      <c r="Z76" s="185"/>
      <c r="AA76" s="185">
        <f>5831+516</f>
        <v>6347</v>
      </c>
      <c r="AB76" s="185">
        <f>7063</f>
        <v>7063</v>
      </c>
      <c r="AC76" s="185">
        <v>4795</v>
      </c>
      <c r="AD76" s="185"/>
      <c r="AE76" s="185">
        <v>8969</v>
      </c>
      <c r="AF76" s="185"/>
      <c r="AG76" s="185">
        <v>12512</v>
      </c>
      <c r="AH76" s="185"/>
      <c r="AI76" s="185">
        <f>3360+21948</f>
        <v>25308</v>
      </c>
      <c r="AJ76" s="185">
        <f>6578+2537</f>
        <v>9115</v>
      </c>
      <c r="AK76" s="185"/>
      <c r="AL76" s="185">
        <v>200</v>
      </c>
      <c r="AM76" s="185"/>
      <c r="AN76" s="185"/>
      <c r="AO76" s="185"/>
      <c r="AP76" s="185">
        <v>106787</v>
      </c>
      <c r="AQ76" s="185"/>
      <c r="AR76" s="185">
        <v>4239</v>
      </c>
      <c r="AS76" s="185"/>
      <c r="AT76" s="185"/>
      <c r="AU76" s="185"/>
      <c r="AV76" s="185"/>
      <c r="AW76" s="185">
        <v>1395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7934</v>
      </c>
      <c r="BE76" s="185">
        <f>50646+408</f>
        <v>51054</v>
      </c>
      <c r="BF76" s="185">
        <v>2785</v>
      </c>
      <c r="BG76" s="185">
        <v>1683</v>
      </c>
      <c r="BH76" s="185">
        <v>8058</v>
      </c>
      <c r="BI76" s="185"/>
      <c r="BJ76" s="185">
        <v>2550</v>
      </c>
      <c r="BK76" s="185">
        <v>5974</v>
      </c>
      <c r="BL76" s="185">
        <v>5856</v>
      </c>
      <c r="BM76" s="185"/>
      <c r="BN76" s="185">
        <v>5527</v>
      </c>
      <c r="BO76" s="185">
        <v>211</v>
      </c>
      <c r="BP76" s="185">
        <v>1318</v>
      </c>
      <c r="BQ76" s="185"/>
      <c r="BR76" s="185">
        <v>3410</v>
      </c>
      <c r="BS76" s="185">
        <v>4827</v>
      </c>
      <c r="BT76" s="185">
        <v>863</v>
      </c>
      <c r="BU76" s="185"/>
      <c r="BV76" s="185">
        <v>900</v>
      </c>
      <c r="BW76" s="185">
        <v>3787</v>
      </c>
      <c r="BX76" s="185">
        <v>708</v>
      </c>
      <c r="BY76" s="185">
        <v>3251</v>
      </c>
      <c r="BZ76" s="185"/>
      <c r="CA76" s="185">
        <v>2202</v>
      </c>
      <c r="CB76" s="185">
        <v>309</v>
      </c>
      <c r="CC76" s="185">
        <f>1189+1066+7895+1438+4891+76492+10560+1539+5000+1161+3258+1703+35043</f>
        <v>151235</v>
      </c>
      <c r="CD76" s="249" t="s">
        <v>221</v>
      </c>
      <c r="CE76" s="195">
        <f t="shared" si="8"/>
        <v>602427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5974</v>
      </c>
      <c r="D77" s="184"/>
      <c r="E77" s="184">
        <f>14829+26145</f>
        <v>40974</v>
      </c>
      <c r="F77" s="184">
        <v>8619</v>
      </c>
      <c r="G77" s="184"/>
      <c r="H77" s="184"/>
      <c r="I77" s="184"/>
      <c r="J77" s="184">
        <v>637</v>
      </c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488</v>
      </c>
      <c r="AH77" s="184"/>
      <c r="AI77" s="184">
        <f>788+728</f>
        <v>1516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275519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333727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f>(C76/$CE$76)*82145.53</f>
        <v>1122.4961745738487</v>
      </c>
      <c r="D78" s="184">
        <f t="shared" ref="D78:AW78" si="10">(D76/$CE$76)*82145.53</f>
        <v>0</v>
      </c>
      <c r="E78" s="184">
        <f t="shared" si="10"/>
        <v>4536.2099416360816</v>
      </c>
      <c r="F78" s="184">
        <f t="shared" si="10"/>
        <v>1800.1936949373119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461.70700280697912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0</v>
      </c>
      <c r="P78" s="184">
        <f t="shared" si="10"/>
        <v>3062.4564607330017</v>
      </c>
      <c r="Q78" s="184">
        <f t="shared" si="10"/>
        <v>458.16170390769338</v>
      </c>
      <c r="R78" s="184">
        <f t="shared" si="10"/>
        <v>85.359888882802395</v>
      </c>
      <c r="S78" s="184">
        <f t="shared" si="10"/>
        <v>663.37996711634776</v>
      </c>
      <c r="T78" s="184">
        <f t="shared" si="10"/>
        <v>0</v>
      </c>
      <c r="U78" s="184">
        <f t="shared" si="10"/>
        <v>2116.5434428735766</v>
      </c>
      <c r="V78" s="184">
        <f t="shared" si="10"/>
        <v>37.225638442500085</v>
      </c>
      <c r="W78" s="184">
        <f t="shared" si="10"/>
        <v>868.7345879749746</v>
      </c>
      <c r="X78" s="184">
        <f t="shared" si="10"/>
        <v>498.38721064958906</v>
      </c>
      <c r="Y78" s="184">
        <f t="shared" si="10"/>
        <v>3262.765848542645</v>
      </c>
      <c r="Z78" s="184">
        <f t="shared" si="10"/>
        <v>0</v>
      </c>
      <c r="AA78" s="184">
        <f t="shared" si="10"/>
        <v>865.46200437563391</v>
      </c>
      <c r="AB78" s="184">
        <f t="shared" si="10"/>
        <v>963.09408175596377</v>
      </c>
      <c r="AC78" s="184">
        <f t="shared" si="10"/>
        <v>653.83493161827084</v>
      </c>
      <c r="AD78" s="184">
        <f t="shared" si="10"/>
        <v>0</v>
      </c>
      <c r="AE78" s="184">
        <f t="shared" si="10"/>
        <v>1222.9917626036017</v>
      </c>
      <c r="AF78" s="184">
        <f t="shared" si="10"/>
        <v>0</v>
      </c>
      <c r="AG78" s="184">
        <f t="shared" si="10"/>
        <v>1706.1069164562678</v>
      </c>
      <c r="AH78" s="184">
        <f t="shared" si="10"/>
        <v>0</v>
      </c>
      <c r="AI78" s="184">
        <f t="shared" si="10"/>
        <v>3450.9394055047333</v>
      </c>
      <c r="AJ78" s="184">
        <f t="shared" si="10"/>
        <v>1242.8999794995909</v>
      </c>
      <c r="AK78" s="184">
        <f t="shared" si="10"/>
        <v>0</v>
      </c>
      <c r="AL78" s="184">
        <f t="shared" si="10"/>
        <v>27.27152999450556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14561.224367616325</v>
      </c>
      <c r="AQ78" s="184">
        <f t="shared" si="10"/>
        <v>0</v>
      </c>
      <c r="AR78" s="184">
        <f t="shared" si="10"/>
        <v>578.02007823354529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0</v>
      </c>
      <c r="AW78" s="184">
        <f t="shared" si="10"/>
        <v>190.21892171167627</v>
      </c>
      <c r="AX78" s="249" t="s">
        <v>221</v>
      </c>
      <c r="AY78" s="249" t="s">
        <v>221</v>
      </c>
      <c r="AZ78" s="249" t="s">
        <v>221</v>
      </c>
      <c r="BA78" s="184">
        <f t="shared" ref="BA78:BC78" si="11">(BA76/$CE$76)*82145.53</f>
        <v>233.1715814530225</v>
      </c>
      <c r="BB78" s="184">
        <f t="shared" si="11"/>
        <v>0</v>
      </c>
      <c r="BC78" s="184">
        <f t="shared" si="11"/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 t="shared" ref="BH78:BI78" si="12">(BH76/$CE$76)*82145.53</f>
        <v>1098.7699434786289</v>
      </c>
      <c r="BI78" s="184">
        <f t="shared" si="12"/>
        <v>0</v>
      </c>
      <c r="BJ78" s="249" t="s">
        <v>221</v>
      </c>
      <c r="BK78" s="184">
        <f t="shared" ref="BK78:BM78" si="13">(BK76/$CE$76)*82145.53</f>
        <v>814.60060093588095</v>
      </c>
      <c r="BL78" s="184">
        <f t="shared" si="13"/>
        <v>798.51039823912265</v>
      </c>
      <c r="BM78" s="184">
        <f t="shared" si="13"/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 t="shared" ref="BS78:CB78" si="14">(BS76/$CE$76)*82145.53</f>
        <v>658.19837641739161</v>
      </c>
      <c r="BT78" s="184">
        <f t="shared" si="14"/>
        <v>117.67665192629148</v>
      </c>
      <c r="BU78" s="184">
        <f t="shared" si="14"/>
        <v>0</v>
      </c>
      <c r="BV78" s="184">
        <f t="shared" si="14"/>
        <v>122.72188497527502</v>
      </c>
      <c r="BW78" s="184">
        <f t="shared" si="14"/>
        <v>516.38642044596281</v>
      </c>
      <c r="BX78" s="184">
        <f t="shared" si="14"/>
        <v>96.541216180549682</v>
      </c>
      <c r="BY78" s="184">
        <f t="shared" si="14"/>
        <v>443.2987200606878</v>
      </c>
      <c r="BZ78" s="184">
        <f t="shared" si="14"/>
        <v>0</v>
      </c>
      <c r="CA78" s="184">
        <f t="shared" si="14"/>
        <v>300.25954523950622</v>
      </c>
      <c r="CB78" s="184">
        <f t="shared" si="14"/>
        <v>42.134513841511087</v>
      </c>
      <c r="CC78" s="249" t="s">
        <v>221</v>
      </c>
      <c r="CD78" s="249" t="s">
        <v>221</v>
      </c>
      <c r="CE78" s="195">
        <f t="shared" si="8"/>
        <v>49677.955395641293</v>
      </c>
      <c r="CF78" s="195"/>
    </row>
    <row r="79" spans="1:84" ht="12.6" customHeight="1" x14ac:dyDescent="0.25">
      <c r="A79" s="171" t="s">
        <v>251</v>
      </c>
      <c r="B79" s="175"/>
      <c r="C79" s="225">
        <f>68472</f>
        <v>68472</v>
      </c>
      <c r="D79" s="225"/>
      <c r="E79" s="184">
        <f>75405+58741</f>
        <v>134146</v>
      </c>
      <c r="F79" s="184">
        <v>77726</v>
      </c>
      <c r="G79" s="184"/>
      <c r="H79" s="184"/>
      <c r="I79" s="184"/>
      <c r="J79" s="184">
        <v>39174</v>
      </c>
      <c r="K79" s="184"/>
      <c r="L79" s="184"/>
      <c r="M79" s="184"/>
      <c r="N79" s="184"/>
      <c r="O79" s="184"/>
      <c r="P79" s="184">
        <f>7636+7105+27659</f>
        <v>42400</v>
      </c>
      <c r="Q79" s="184"/>
      <c r="R79" s="184"/>
      <c r="S79" s="184">
        <v>12495</v>
      </c>
      <c r="T79" s="184"/>
      <c r="U79" s="184"/>
      <c r="V79" s="184">
        <v>186</v>
      </c>
      <c r="W79" s="184">
        <v>1962</v>
      </c>
      <c r="X79" s="184">
        <v>6723</v>
      </c>
      <c r="Y79" s="184">
        <f>30486+39549</f>
        <v>70035</v>
      </c>
      <c r="Z79" s="184"/>
      <c r="AA79" s="184">
        <v>13789</v>
      </c>
      <c r="AB79" s="184"/>
      <c r="AC79" s="184"/>
      <c r="AD79" s="184"/>
      <c r="AE79" s="184">
        <v>7669</v>
      </c>
      <c r="AF79" s="184"/>
      <c r="AG79" s="184">
        <v>75978</v>
      </c>
      <c r="AH79" s="184"/>
      <c r="AI79" s="184">
        <f>56385+28324</f>
        <v>84709</v>
      </c>
      <c r="AJ79" s="184">
        <v>17092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652556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18.34+0.02+0.43</f>
        <v>18.79</v>
      </c>
      <c r="D80" s="187"/>
      <c r="E80" s="187">
        <f>27.29+17.49+2.7-0.02</f>
        <v>47.46</v>
      </c>
      <c r="F80" s="187">
        <f>38.84+0.03</f>
        <v>38.870000000000005</v>
      </c>
      <c r="G80" s="187"/>
      <c r="H80" s="187"/>
      <c r="I80" s="187"/>
      <c r="J80" s="187">
        <v>12.58</v>
      </c>
      <c r="K80" s="187"/>
      <c r="L80" s="187"/>
      <c r="M80" s="187"/>
      <c r="N80" s="187"/>
      <c r="O80" s="187"/>
      <c r="P80" s="187">
        <v>13.43</v>
      </c>
      <c r="Q80" s="187">
        <v>7.76</v>
      </c>
      <c r="R80" s="187">
        <v>1.01</v>
      </c>
      <c r="S80" s="187">
        <v>0.08</v>
      </c>
      <c r="T80" s="187"/>
      <c r="U80" s="187"/>
      <c r="V80" s="187"/>
      <c r="W80" s="187"/>
      <c r="X80" s="187"/>
      <c r="Y80" s="187">
        <f>0.9+4.16</f>
        <v>5.0600000000000005</v>
      </c>
      <c r="Z80" s="187"/>
      <c r="AA80" s="187">
        <v>1.4</v>
      </c>
      <c r="AB80" s="187"/>
      <c r="AC80" s="187">
        <v>0.01</v>
      </c>
      <c r="AD80" s="187"/>
      <c r="AE80" s="187">
        <v>1.48</v>
      </c>
      <c r="AF80" s="187"/>
      <c r="AG80" s="187">
        <v>24.77</v>
      </c>
      <c r="AH80" s="187"/>
      <c r="AI80" s="187">
        <f>11.82+0.03+3.26</f>
        <v>15.11</v>
      </c>
      <c r="AJ80" s="187">
        <f>1.1+11.65</f>
        <v>12.75</v>
      </c>
      <c r="AK80" s="187"/>
      <c r="AL80" s="187"/>
      <c r="AM80" s="187"/>
      <c r="AN80" s="187"/>
      <c r="AO80" s="187"/>
      <c r="AP80" s="187">
        <f>0.91+0.15</f>
        <v>1.06</v>
      </c>
      <c r="AQ80" s="187"/>
      <c r="AR80" s="187">
        <v>5.93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207.55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1285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70" t="s">
        <v>1279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1280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1281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1284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5284</v>
      </c>
      <c r="D111" s="174">
        <f>19165-1423</f>
        <v>17742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1391</v>
      </c>
      <c r="D114" s="174">
        <f>1423+1935</f>
        <v>3358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7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111</v>
      </c>
    </row>
    <row r="128" spans="1:5" ht="12.6" customHeight="1" x14ac:dyDescent="0.25">
      <c r="A128" s="173" t="s">
        <v>292</v>
      </c>
      <c r="B128" s="172" t="s">
        <v>256</v>
      </c>
      <c r="C128" s="189">
        <v>111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2445</v>
      </c>
      <c r="C138" s="189">
        <v>1389</v>
      </c>
      <c r="D138" s="174">
        <f>C111-B138-C138</f>
        <v>1450</v>
      </c>
      <c r="E138" s="175">
        <f>SUM(B138:D138)</f>
        <v>5284</v>
      </c>
    </row>
    <row r="139" spans="1:6" ht="12.6" customHeight="1" x14ac:dyDescent="0.25">
      <c r="A139" s="173" t="s">
        <v>215</v>
      </c>
      <c r="B139" s="174">
        <v>9812</v>
      </c>
      <c r="C139" s="189">
        <v>4062</v>
      </c>
      <c r="D139" s="174">
        <f>D111-B139-C139</f>
        <v>3868</v>
      </c>
      <c r="E139" s="175">
        <f>SUM(B139:D139)</f>
        <v>17742</v>
      </c>
    </row>
    <row r="140" spans="1:6" ht="12.6" customHeight="1" x14ac:dyDescent="0.25">
      <c r="A140" s="173" t="s">
        <v>298</v>
      </c>
      <c r="B140" s="174">
        <v>21219</v>
      </c>
      <c r="C140" s="174">
        <v>20625</v>
      </c>
      <c r="D140" s="174">
        <v>23992</v>
      </c>
      <c r="E140" s="175">
        <f>SUM(B140:D140)</f>
        <v>65836</v>
      </c>
    </row>
    <row r="141" spans="1:6" ht="12.6" customHeight="1" x14ac:dyDescent="0.25">
      <c r="A141" s="173" t="s">
        <v>245</v>
      </c>
      <c r="B141" s="174">
        <v>93894575.840000004</v>
      </c>
      <c r="C141" s="189">
        <v>37125970.210000001</v>
      </c>
      <c r="D141" s="174">
        <v>45736842.799999997</v>
      </c>
      <c r="E141" s="175">
        <f>SUM(B141:D141)</f>
        <v>176757388.85000002</v>
      </c>
      <c r="F141" s="199"/>
    </row>
    <row r="142" spans="1:6" ht="12.6" customHeight="1" x14ac:dyDescent="0.25">
      <c r="A142" s="173" t="s">
        <v>246</v>
      </c>
      <c r="B142" s="174">
        <v>108026377.11</v>
      </c>
      <c r="C142" s="189">
        <v>64740402.869999997</v>
      </c>
      <c r="D142" s="174">
        <v>115967018.98</v>
      </c>
      <c r="E142" s="175">
        <f>SUM(B142:D142)</f>
        <v>288733798.95999998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4473436.28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415142.94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836620.34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7281361.43+888282.16</f>
        <v>8169643.5899999999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205845.35+364395.26</f>
        <v>570240.61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2156264.9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360396.41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16981745.07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442389.3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1573840.79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2016230.09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1830227.42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103255.05+141979.55</f>
        <v>245234.59999999998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2075462.02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81367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3556748.54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3638115.54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11136797.26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11136797.26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1580987</v>
      </c>
      <c r="C195" s="189"/>
      <c r="D195" s="174">
        <v>1355853.31</v>
      </c>
      <c r="E195" s="175">
        <f t="shared" ref="E195:E203" si="15">SUM(B195:C195)-D195</f>
        <v>225133.68999999994</v>
      </c>
    </row>
    <row r="196" spans="1:8" ht="12.6" customHeight="1" x14ac:dyDescent="0.25">
      <c r="A196" s="173" t="s">
        <v>333</v>
      </c>
      <c r="B196" s="174">
        <v>2501845</v>
      </c>
      <c r="C196" s="189"/>
      <c r="D196" s="174">
        <v>2501845</v>
      </c>
      <c r="E196" s="175">
        <f t="shared" si="15"/>
        <v>0</v>
      </c>
    </row>
    <row r="197" spans="1:8" ht="12.6" customHeight="1" x14ac:dyDescent="0.25">
      <c r="A197" s="173" t="s">
        <v>334</v>
      </c>
      <c r="B197" s="174">
        <v>209077992</v>
      </c>
      <c r="C197" s="189">
        <f>1000000+189457.27</f>
        <v>1189457.27</v>
      </c>
      <c r="D197" s="174">
        <v>209029099.08000001</v>
      </c>
      <c r="E197" s="175">
        <f t="shared" si="15"/>
        <v>1238350.1899999976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5"/>
        <v>0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5"/>
        <v>0</v>
      </c>
    </row>
    <row r="200" spans="1:8" ht="12.6" customHeight="1" x14ac:dyDescent="0.25">
      <c r="A200" s="173" t="s">
        <v>337</v>
      </c>
      <c r="B200" s="174">
        <v>79605301</v>
      </c>
      <c r="C200" s="189">
        <f>212222.07+16681083.73+531</f>
        <v>16893836.800000001</v>
      </c>
      <c r="D200" s="174">
        <f>492490.07+17728.42+79244980.67</f>
        <v>79755199.159999996</v>
      </c>
      <c r="E200" s="175">
        <f t="shared" si="15"/>
        <v>16743938.640000001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5"/>
        <v>0</v>
      </c>
    </row>
    <row r="202" spans="1:8" ht="12.6" customHeight="1" x14ac:dyDescent="0.25">
      <c r="A202" s="173" t="s">
        <v>339</v>
      </c>
      <c r="B202" s="174">
        <v>17396197</v>
      </c>
      <c r="C202" s="189">
        <f>40104.51+6483.42</f>
        <v>46587.93</v>
      </c>
      <c r="D202" s="174">
        <f>14349+17335972.05</f>
        <v>17350321.050000001</v>
      </c>
      <c r="E202" s="175">
        <f t="shared" si="15"/>
        <v>92463.879999998957</v>
      </c>
    </row>
    <row r="203" spans="1:8" ht="12.6" customHeight="1" x14ac:dyDescent="0.25">
      <c r="A203" s="173" t="s">
        <v>340</v>
      </c>
      <c r="B203" s="174">
        <v>704454</v>
      </c>
      <c r="C203" s="189">
        <v>423431</v>
      </c>
      <c r="D203" s="174">
        <v>704454</v>
      </c>
      <c r="E203" s="175">
        <f t="shared" si="15"/>
        <v>423431</v>
      </c>
    </row>
    <row r="204" spans="1:8" ht="12.6" customHeight="1" x14ac:dyDescent="0.25">
      <c r="A204" s="173" t="s">
        <v>203</v>
      </c>
      <c r="B204" s="175">
        <f>SUM(B195:B203)</f>
        <v>310866776</v>
      </c>
      <c r="C204" s="191">
        <f>SUM(C195:C203)</f>
        <v>18553313</v>
      </c>
      <c r="D204" s="175">
        <f>SUM(D195:D203)</f>
        <v>310696771.60000002</v>
      </c>
      <c r="E204" s="175">
        <f>SUM(E195:E203)</f>
        <v>18723317.399999999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2473093</v>
      </c>
      <c r="C209" s="189">
        <f>3191.3+7300.78</f>
        <v>10492.08</v>
      </c>
      <c r="D209" s="174">
        <v>2483585.38</v>
      </c>
      <c r="E209" s="175">
        <f t="shared" ref="E209:E216" si="16">SUM(B209:C209)-D209</f>
        <v>-0.29999999981373549</v>
      </c>
      <c r="H209" s="259"/>
    </row>
    <row r="210" spans="1:8" ht="12.6" customHeight="1" x14ac:dyDescent="0.25">
      <c r="A210" s="173" t="s">
        <v>334</v>
      </c>
      <c r="B210" s="174">
        <v>61533500</v>
      </c>
      <c r="C210" s="189">
        <f>1000000+3579180.92+299518.51</f>
        <v>4878699.43</v>
      </c>
      <c r="D210" s="174">
        <f>65173852.6+238346.83</f>
        <v>65412199.43</v>
      </c>
      <c r="E210" s="175">
        <f t="shared" si="16"/>
        <v>1000000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6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6"/>
        <v>0</v>
      </c>
      <c r="H212" s="259"/>
    </row>
    <row r="213" spans="1:8" ht="12.6" customHeight="1" x14ac:dyDescent="0.25">
      <c r="A213" s="173" t="s">
        <v>337</v>
      </c>
      <c r="B213" s="174">
        <v>62623268</v>
      </c>
      <c r="C213" s="189">
        <f>1377425.12+97868.95+2964970.72+6517.36-635</f>
        <v>4446147.1500000004</v>
      </c>
      <c r="D213" s="174">
        <f>367606.5+17728.42+65191227.72-272572.67</f>
        <v>65303989.969999999</v>
      </c>
      <c r="E213" s="175">
        <f t="shared" si="16"/>
        <v>1765425.1799999997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6"/>
        <v>0</v>
      </c>
      <c r="H214" s="259"/>
    </row>
    <row r="215" spans="1:8" ht="12.6" customHeight="1" x14ac:dyDescent="0.25">
      <c r="A215" s="173" t="s">
        <v>339</v>
      </c>
      <c r="B215" s="174">
        <v>4311099</v>
      </c>
      <c r="C215" s="189">
        <f>73895.42+545715.54</f>
        <v>619610.96000000008</v>
      </c>
      <c r="D215" s="174">
        <f>11615.76+4885502.79+33591.41</f>
        <v>4930709.96</v>
      </c>
      <c r="E215" s="175">
        <f t="shared" si="16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6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130940960</v>
      </c>
      <c r="C217" s="191">
        <f>SUM(C208:C216)</f>
        <v>9954949.620000001</v>
      </c>
      <c r="D217" s="175">
        <f>SUM(D208:D216)</f>
        <v>138130484.74000001</v>
      </c>
      <c r="E217" s="175">
        <f>SUM(E208:E216)</f>
        <v>2765424.88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9655700.4499999993</v>
      </c>
      <c r="D221" s="172">
        <f>C221</f>
        <v>9655700.4499999993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143727735.25999999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85726930.25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6438887.8600000003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1653412.34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69245557.900000006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306792523.61000001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1119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638665.26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945887.51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1584552.77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3205479.11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3205479.11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321238255.94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945549.73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52308143.68+985.67+983.31+7974977-1931.8-6447.63+172360.39+270986.56+1071712.36+981895.33+4392449.33+3023659.31+62103.62-552.35-525580.18+215816.98</f>
        <v>69941561.580000013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270986.56+778029.12+3029592+245+2249441.34+915309.27+541878.1+894646.78+1755948.45+981955.53+13167702+1728203+7554189+12456698.91+182019.6+310407.56+1871325.85+19733+1346314.47+14535.31</f>
        <v>50069160.850000009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1689999.99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934249.29+606694.11</f>
        <v>1540943.4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3309277.12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1044602.71+347840.52-1</f>
        <v>1392442.23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28750613.20000001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f>31908.89+695637</f>
        <v>727545.89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9170.83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736716.72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225133.5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1000000+238350.3</f>
        <v>1238350.3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16681083.73+62855.71</f>
        <v>16743939.440000001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92463.51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154188.88+251936.69+17304.95</f>
        <v>423430.52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18723317.270000003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1000000+1377425.12+388000</f>
        <v>2765425.12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15957892.150000002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6788838.5599999996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300000.02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7088838.5800000001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f>-18210949.51</f>
        <v>-18210949.510000002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-18210949.510000002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34323111.140000001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9675745.24+8702.29</f>
        <v>9684447.5299999993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2134569.67+2656353.74+924538.83+227918.89</f>
        <v>5943381.1299999999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985874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16613702.66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576089.75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576089.75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434646.33+58996.49</f>
        <v>493642.82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-16408.259999999998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20091742.649999999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20568977.209999997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985874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19583103.209999997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1295116.61+24566447.96</f>
        <v>25861564.57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-5898949.04-22412400</f>
        <v>-28311349.039999999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34323111.149999999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34323111.140000001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105850205.26+70907183.39</f>
        <v>176757388.65000001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175165335.7+113568463.26</f>
        <v>288733798.95999998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465491187.61000001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f>5882110.96+3773589.49</f>
        <v>9655700.4499999993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122898592.17+187099410.55-3205479.11</f>
        <v>306792523.61000001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920188.09+664364.68</f>
        <v>1584552.77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3205479.11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321238255.94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144252931.67000002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88818.97+996122.87+168633.08+3507150.23</f>
        <v>4760725.1500000004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806525.79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5567250.9400000004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149820182.61000001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44832830.99+29894096.07</f>
        <v>74726927.060000002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10352039.56+6629705.51</f>
        <v>16981745.07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7435051.24+1956843.34+1527778.41+994312.08</f>
        <v>11913985.07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11121648.29+17392463.32</f>
        <v>28514111.609999999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1463742.3+774298.8</f>
        <v>2238041.1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8823760.05+4507000</f>
        <v>13330760.050000001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2377425.12+7577526</f>
        <v>9954951.120000001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1579607.99+436622.1</f>
        <v>2016230.0899999999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988733.99+1086728.03</f>
        <v>2075462.02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1508494.25+2129621.29</f>
        <v>3638115.54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10143336.11+993461.15</f>
        <v>11136797.26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668103.94+325502.07</f>
        <v>993606.01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177520732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-27700549.389999986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-1879982.43+1033035.14+164204+71943.97</f>
        <v>-610799.31999999995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-28311348.709999986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-28311348.709999986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RCCH Trios Health LLC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5284</v>
      </c>
      <c r="C414" s="194">
        <f>E138</f>
        <v>5284</v>
      </c>
      <c r="D414" s="179"/>
    </row>
    <row r="415" spans="1:5" ht="12.6" customHeight="1" x14ac:dyDescent="0.25">
      <c r="A415" s="179" t="s">
        <v>464</v>
      </c>
      <c r="B415" s="179">
        <f>D111</f>
        <v>17742</v>
      </c>
      <c r="C415" s="179">
        <f>E139</f>
        <v>17742</v>
      </c>
      <c r="D415" s="194">
        <f>SUM(C59:H59)+N59</f>
        <v>17742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1391</v>
      </c>
    </row>
    <row r="424" spans="1:7" ht="12.6" customHeight="1" x14ac:dyDescent="0.25">
      <c r="A424" s="179" t="s">
        <v>1244</v>
      </c>
      <c r="B424" s="179">
        <f>D114</f>
        <v>3358</v>
      </c>
      <c r="D424" s="179">
        <f>J59</f>
        <v>3358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7">C378</f>
        <v>74726927.060000002</v>
      </c>
      <c r="C427" s="179">
        <f t="shared" ref="C427:C434" si="18">CE61</f>
        <v>74726926.50999999</v>
      </c>
      <c r="D427" s="179"/>
    </row>
    <row r="428" spans="1:7" ht="12.6" customHeight="1" x14ac:dyDescent="0.25">
      <c r="A428" s="179" t="s">
        <v>3</v>
      </c>
      <c r="B428" s="179">
        <f t="shared" si="17"/>
        <v>16981745.07</v>
      </c>
      <c r="C428" s="179">
        <f t="shared" si="18"/>
        <v>16981743</v>
      </c>
      <c r="D428" s="179">
        <f>D173</f>
        <v>16981745.07</v>
      </c>
    </row>
    <row r="429" spans="1:7" ht="12.6" customHeight="1" x14ac:dyDescent="0.25">
      <c r="A429" s="179" t="s">
        <v>236</v>
      </c>
      <c r="B429" s="179">
        <f t="shared" si="17"/>
        <v>11913985.07</v>
      </c>
      <c r="C429" s="179">
        <f t="shared" si="18"/>
        <v>11913984.57</v>
      </c>
      <c r="D429" s="179"/>
    </row>
    <row r="430" spans="1:7" ht="12.6" customHeight="1" x14ac:dyDescent="0.25">
      <c r="A430" s="179" t="s">
        <v>237</v>
      </c>
      <c r="B430" s="179">
        <f t="shared" si="17"/>
        <v>28514111.609999999</v>
      </c>
      <c r="C430" s="179">
        <f t="shared" si="18"/>
        <v>28514111.730000004</v>
      </c>
      <c r="D430" s="179"/>
    </row>
    <row r="431" spans="1:7" ht="12.6" customHeight="1" x14ac:dyDescent="0.25">
      <c r="A431" s="179" t="s">
        <v>444</v>
      </c>
      <c r="B431" s="179">
        <f t="shared" si="17"/>
        <v>2238041.1</v>
      </c>
      <c r="C431" s="179">
        <f t="shared" si="18"/>
        <v>2238041.1</v>
      </c>
      <c r="D431" s="179"/>
    </row>
    <row r="432" spans="1:7" ht="12.6" customHeight="1" x14ac:dyDescent="0.25">
      <c r="A432" s="179" t="s">
        <v>445</v>
      </c>
      <c r="B432" s="179">
        <f t="shared" si="17"/>
        <v>13330760.050000001</v>
      </c>
      <c r="C432" s="179">
        <f t="shared" si="18"/>
        <v>13330759.979999995</v>
      </c>
      <c r="D432" s="179"/>
    </row>
    <row r="433" spans="1:7" ht="12.6" customHeight="1" x14ac:dyDescent="0.25">
      <c r="A433" s="179" t="s">
        <v>6</v>
      </c>
      <c r="B433" s="179">
        <f t="shared" si="17"/>
        <v>9954951.120000001</v>
      </c>
      <c r="C433" s="179">
        <f t="shared" si="18"/>
        <v>9954950</v>
      </c>
      <c r="D433" s="179">
        <f>C217</f>
        <v>9954949.620000001</v>
      </c>
    </row>
    <row r="434" spans="1:7" ht="12.6" customHeight="1" x14ac:dyDescent="0.25">
      <c r="A434" s="179" t="s">
        <v>474</v>
      </c>
      <c r="B434" s="179">
        <f t="shared" si="17"/>
        <v>2016230.0899999999</v>
      </c>
      <c r="C434" s="179">
        <f t="shared" si="18"/>
        <v>2016230.0700000003</v>
      </c>
      <c r="D434" s="179">
        <f>D177</f>
        <v>2016230.09</v>
      </c>
    </row>
    <row r="435" spans="1:7" ht="12.6" customHeight="1" x14ac:dyDescent="0.25">
      <c r="A435" s="179" t="s">
        <v>447</v>
      </c>
      <c r="B435" s="179">
        <f t="shared" si="17"/>
        <v>2075462.02</v>
      </c>
      <c r="C435" s="179"/>
      <c r="D435" s="179">
        <f>D181</f>
        <v>2075462.02</v>
      </c>
    </row>
    <row r="436" spans="1:7" ht="12.6" customHeight="1" x14ac:dyDescent="0.25">
      <c r="A436" s="179" t="s">
        <v>475</v>
      </c>
      <c r="B436" s="179">
        <f t="shared" si="17"/>
        <v>3638115.54</v>
      </c>
      <c r="C436" s="179"/>
      <c r="D436" s="179">
        <f>D186</f>
        <v>3638115.54</v>
      </c>
    </row>
    <row r="437" spans="1:7" ht="12.6" customHeight="1" x14ac:dyDescent="0.25">
      <c r="A437" s="194" t="s">
        <v>449</v>
      </c>
      <c r="B437" s="194">
        <f t="shared" si="17"/>
        <v>11136797.26</v>
      </c>
      <c r="C437" s="194"/>
      <c r="D437" s="194">
        <f>D190</f>
        <v>11136797.26</v>
      </c>
    </row>
    <row r="438" spans="1:7" ht="12.6" customHeight="1" x14ac:dyDescent="0.25">
      <c r="A438" s="194" t="s">
        <v>476</v>
      </c>
      <c r="B438" s="194">
        <f>C386+C387+C388</f>
        <v>16850374.82</v>
      </c>
      <c r="C438" s="194">
        <f>CD69</f>
        <v>16850374.82</v>
      </c>
      <c r="D438" s="194">
        <f>D181+D186+D190</f>
        <v>16850374.82</v>
      </c>
    </row>
    <row r="439" spans="1:7" ht="12.6" customHeight="1" x14ac:dyDescent="0.25">
      <c r="A439" s="179" t="s">
        <v>451</v>
      </c>
      <c r="B439" s="194">
        <f>C389</f>
        <v>993606.01</v>
      </c>
      <c r="C439" s="194">
        <f>SUM(C69:CC69)</f>
        <v>993605.92</v>
      </c>
      <c r="D439" s="179"/>
    </row>
    <row r="440" spans="1:7" ht="12.6" customHeight="1" x14ac:dyDescent="0.25">
      <c r="A440" s="179" t="s">
        <v>477</v>
      </c>
      <c r="B440" s="194">
        <f>B438+B439</f>
        <v>17843980.830000002</v>
      </c>
      <c r="C440" s="194">
        <f>CE69</f>
        <v>17843980.740000002</v>
      </c>
      <c r="D440" s="179"/>
    </row>
    <row r="441" spans="1:7" ht="12.6" customHeight="1" x14ac:dyDescent="0.25">
      <c r="A441" s="179" t="s">
        <v>478</v>
      </c>
      <c r="B441" s="179">
        <f>D390</f>
        <v>177520732</v>
      </c>
      <c r="C441" s="179">
        <f>SUM(C427:C437)+C440</f>
        <v>177520727.69999999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9655700.4499999993</v>
      </c>
      <c r="C444" s="179">
        <f>C363</f>
        <v>9655700.4499999993</v>
      </c>
      <c r="D444" s="179"/>
    </row>
    <row r="445" spans="1:7" ht="12.6" customHeight="1" x14ac:dyDescent="0.25">
      <c r="A445" s="179" t="s">
        <v>343</v>
      </c>
      <c r="B445" s="179">
        <f>D229</f>
        <v>306792523.61000001</v>
      </c>
      <c r="C445" s="179">
        <f>C364</f>
        <v>306792523.61000001</v>
      </c>
      <c r="D445" s="179"/>
    </row>
    <row r="446" spans="1:7" ht="12.6" customHeight="1" x14ac:dyDescent="0.25">
      <c r="A446" s="179" t="s">
        <v>351</v>
      </c>
      <c r="B446" s="179">
        <f>D236</f>
        <v>1584552.77</v>
      </c>
      <c r="C446" s="179">
        <f>C365</f>
        <v>1584552.77</v>
      </c>
      <c r="D446" s="179"/>
    </row>
    <row r="447" spans="1:7" ht="12.6" customHeight="1" x14ac:dyDescent="0.25">
      <c r="A447" s="179" t="s">
        <v>356</v>
      </c>
      <c r="B447" s="179">
        <f>D240</f>
        <v>3205479.11</v>
      </c>
      <c r="C447" s="179">
        <f>C366</f>
        <v>3205479.11</v>
      </c>
      <c r="D447" s="179"/>
    </row>
    <row r="448" spans="1:7" ht="12.6" customHeight="1" x14ac:dyDescent="0.25">
      <c r="A448" s="179" t="s">
        <v>358</v>
      </c>
      <c r="B448" s="179">
        <f>D242</f>
        <v>321238255.94</v>
      </c>
      <c r="C448" s="179">
        <f>D367</f>
        <v>321238255.94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1119</v>
      </c>
    </row>
    <row r="454" spans="1:7" ht="12.6" customHeight="1" x14ac:dyDescent="0.25">
      <c r="A454" s="179" t="s">
        <v>168</v>
      </c>
      <c r="B454" s="179">
        <f>C233</f>
        <v>638665.26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945887.51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4760725.1500000004</v>
      </c>
      <c r="C458" s="194">
        <f>CE70</f>
        <v>4760725.16</v>
      </c>
      <c r="D458" s="194"/>
    </row>
    <row r="459" spans="1:7" ht="12.6" customHeight="1" x14ac:dyDescent="0.25">
      <c r="A459" s="179" t="s">
        <v>244</v>
      </c>
      <c r="B459" s="194">
        <f>C371</f>
        <v>806525.79</v>
      </c>
      <c r="C459" s="194">
        <f>CE72</f>
        <v>806525.79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176757388.65000001</v>
      </c>
      <c r="C463" s="194">
        <f>CE73</f>
        <v>176757388.26000002</v>
      </c>
      <c r="D463" s="194">
        <f>E141+E147+E153</f>
        <v>176757388.85000002</v>
      </c>
    </row>
    <row r="464" spans="1:7" ht="12.6" customHeight="1" x14ac:dyDescent="0.25">
      <c r="A464" s="179" t="s">
        <v>246</v>
      </c>
      <c r="B464" s="194">
        <f>C360</f>
        <v>288733798.95999998</v>
      </c>
      <c r="C464" s="194">
        <f>CE74</f>
        <v>288733798.43000001</v>
      </c>
      <c r="D464" s="194">
        <f>E142+E148+E154</f>
        <v>288733798.95999998</v>
      </c>
    </row>
    <row r="465" spans="1:7" ht="12.6" customHeight="1" x14ac:dyDescent="0.25">
      <c r="A465" s="179" t="s">
        <v>247</v>
      </c>
      <c r="B465" s="194">
        <f>D361</f>
        <v>465491187.61000001</v>
      </c>
      <c r="C465" s="194">
        <f>CE75</f>
        <v>465491186.69000006</v>
      </c>
      <c r="D465" s="194">
        <f>D463+D464</f>
        <v>465491187.81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9">C267</f>
        <v>225133.5</v>
      </c>
      <c r="C468" s="179">
        <f>E195</f>
        <v>225133.68999999994</v>
      </c>
      <c r="D468" s="179"/>
    </row>
    <row r="469" spans="1:7" ht="12.6" customHeight="1" x14ac:dyDescent="0.25">
      <c r="A469" s="179" t="s">
        <v>333</v>
      </c>
      <c r="B469" s="179">
        <f t="shared" si="19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9"/>
        <v>1238350.3</v>
      </c>
      <c r="C470" s="179">
        <f>E197</f>
        <v>1238350.1899999976</v>
      </c>
      <c r="D470" s="179"/>
    </row>
    <row r="471" spans="1:7" ht="12.6" customHeight="1" x14ac:dyDescent="0.25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9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9"/>
        <v>16743939.440000001</v>
      </c>
      <c r="C473" s="179">
        <f>SUM(E200:E201)</f>
        <v>16743938.640000001</v>
      </c>
      <c r="D473" s="179"/>
    </row>
    <row r="474" spans="1:7" ht="12.6" customHeight="1" x14ac:dyDescent="0.25">
      <c r="A474" s="179" t="s">
        <v>339</v>
      </c>
      <c r="B474" s="179">
        <f t="shared" si="19"/>
        <v>92463.51</v>
      </c>
      <c r="C474" s="179">
        <f>E202</f>
        <v>92463.879999998957</v>
      </c>
      <c r="D474" s="179"/>
    </row>
    <row r="475" spans="1:7" ht="12.6" customHeight="1" x14ac:dyDescent="0.25">
      <c r="A475" s="179" t="s">
        <v>340</v>
      </c>
      <c r="B475" s="179">
        <f t="shared" si="19"/>
        <v>423430.52</v>
      </c>
      <c r="C475" s="179">
        <f>E203</f>
        <v>423431</v>
      </c>
      <c r="D475" s="179"/>
    </row>
    <row r="476" spans="1:7" ht="12.6" customHeight="1" x14ac:dyDescent="0.25">
      <c r="A476" s="179" t="s">
        <v>203</v>
      </c>
      <c r="B476" s="179">
        <f>D275</f>
        <v>18723317.270000003</v>
      </c>
      <c r="C476" s="179">
        <f>E204</f>
        <v>18723317.399999999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2765425.12</v>
      </c>
      <c r="C478" s="179">
        <f>E217</f>
        <v>2765424.88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34323111.140000001</v>
      </c>
    </row>
    <row r="482" spans="1:12" ht="12.6" customHeight="1" x14ac:dyDescent="0.25">
      <c r="A482" s="180" t="s">
        <v>499</v>
      </c>
      <c r="C482" s="180">
        <f>D339</f>
        <v>34323111.149999999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039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3077169.62</v>
      </c>
      <c r="C496" s="240">
        <f>C71</f>
        <v>3451207.8699999996</v>
      </c>
      <c r="D496" s="240">
        <f>'Prior Year'!C59</f>
        <v>1861</v>
      </c>
      <c r="E496" s="180">
        <f>C59</f>
        <v>2703</v>
      </c>
      <c r="F496" s="263">
        <f t="shared" ref="F496:G511" si="20">IF(B496=0,"",IF(D496=0,"",B496/D496))</f>
        <v>1653.5032885545406</v>
      </c>
      <c r="G496" s="264">
        <f t="shared" si="20"/>
        <v>1276.8064631890491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369</v>
      </c>
      <c r="C497" s="240">
        <f>D71</f>
        <v>1527.23</v>
      </c>
      <c r="D497" s="240">
        <f>'Prior Year'!D59</f>
        <v>0</v>
      </c>
      <c r="E497" s="180">
        <f>D59</f>
        <v>0</v>
      </c>
      <c r="F497" s="263" t="str">
        <f t="shared" si="20"/>
        <v/>
      </c>
      <c r="G497" s="263" t="str">
        <f t="shared" si="20"/>
        <v/>
      </c>
      <c r="H497" s="265" t="str">
        <f t="shared" ref="H497:H550" si="21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8844932.2399999984</v>
      </c>
      <c r="C498" s="240">
        <f>E71</f>
        <v>7704800.4600000009</v>
      </c>
      <c r="D498" s="240">
        <f>'Prior Year'!E59</f>
        <v>13559</v>
      </c>
      <c r="E498" s="180">
        <f>E59</f>
        <v>11996</v>
      </c>
      <c r="F498" s="263">
        <f t="shared" si="20"/>
        <v>652.32924551958092</v>
      </c>
      <c r="G498" s="263">
        <f t="shared" si="20"/>
        <v>642.28079859953323</v>
      </c>
      <c r="H498" s="265" t="str">
        <f t="shared" si="21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6539062.9700000007</v>
      </c>
      <c r="C499" s="240">
        <f>F71</f>
        <v>6335658.4100000001</v>
      </c>
      <c r="D499" s="240">
        <f>'Prior Year'!F59</f>
        <v>3325</v>
      </c>
      <c r="E499" s="180">
        <f>F59</f>
        <v>3043</v>
      </c>
      <c r="F499" s="263">
        <f t="shared" si="20"/>
        <v>1966.6354796992484</v>
      </c>
      <c r="G499" s="263">
        <f t="shared" si="20"/>
        <v>2082.0435129806115</v>
      </c>
      <c r="H499" s="265" t="str">
        <f t="shared" si="21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20"/>
        <v/>
      </c>
      <c r="G500" s="263" t="str">
        <f t="shared" si="20"/>
        <v/>
      </c>
      <c r="H500" s="265" t="str">
        <f t="shared" si="21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20"/>
        <v/>
      </c>
      <c r="G501" s="263" t="str">
        <f t="shared" si="20"/>
        <v/>
      </c>
      <c r="H501" s="265" t="str">
        <f t="shared" si="21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20"/>
        <v/>
      </c>
      <c r="G502" s="263" t="str">
        <f t="shared" si="20"/>
        <v/>
      </c>
      <c r="H502" s="265" t="str">
        <f t="shared" si="21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1805852.88</v>
      </c>
      <c r="C503" s="240">
        <f>J71</f>
        <v>1778083.0400000003</v>
      </c>
      <c r="D503" s="240">
        <f>'Prior Year'!J59</f>
        <v>3574</v>
      </c>
      <c r="E503" s="180">
        <f>J59</f>
        <v>3358</v>
      </c>
      <c r="F503" s="263">
        <f t="shared" si="20"/>
        <v>505.27500839395634</v>
      </c>
      <c r="G503" s="263">
        <f t="shared" si="20"/>
        <v>529.5065634306136</v>
      </c>
      <c r="H503" s="265" t="str">
        <f t="shared" si="21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20"/>
        <v/>
      </c>
      <c r="G504" s="263" t="str">
        <f t="shared" si="20"/>
        <v/>
      </c>
      <c r="H504" s="265" t="str">
        <f t="shared" si="21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20"/>
        <v/>
      </c>
      <c r="G505" s="263" t="str">
        <f t="shared" si="20"/>
        <v/>
      </c>
      <c r="H505" s="265" t="str">
        <f t="shared" si="21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20"/>
        <v/>
      </c>
      <c r="G506" s="263" t="str">
        <f t="shared" si="20"/>
        <v/>
      </c>
      <c r="H506" s="265" t="str">
        <f t="shared" si="21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20"/>
        <v/>
      </c>
      <c r="G507" s="263" t="str">
        <f t="shared" si="20"/>
        <v/>
      </c>
      <c r="H507" s="265" t="str">
        <f t="shared" si="21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20"/>
        <v/>
      </c>
      <c r="G508" s="263" t="str">
        <f t="shared" si="20"/>
        <v/>
      </c>
      <c r="H508" s="265" t="str">
        <f t="shared" si="21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13549209.619999999</v>
      </c>
      <c r="C509" s="240">
        <f>P71</f>
        <v>10143971.17</v>
      </c>
      <c r="D509" s="240">
        <f>'Prior Year'!P59</f>
        <v>328103</v>
      </c>
      <c r="E509" s="180">
        <f>P59</f>
        <v>287949</v>
      </c>
      <c r="F509" s="263">
        <f t="shared" si="20"/>
        <v>41.295598089624292</v>
      </c>
      <c r="G509" s="263">
        <f t="shared" si="20"/>
        <v>35.22836047355608</v>
      </c>
      <c r="H509" s="265" t="str">
        <f t="shared" si="21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853669.5</v>
      </c>
      <c r="C510" s="240">
        <f>Q71</f>
        <v>788875.25</v>
      </c>
      <c r="D510" s="240">
        <f>'Prior Year'!Q59</f>
        <v>144644</v>
      </c>
      <c r="E510" s="180">
        <f>Q59</f>
        <v>130439</v>
      </c>
      <c r="F510" s="263">
        <f t="shared" si="20"/>
        <v>5.9018659605652495</v>
      </c>
      <c r="G510" s="263">
        <f t="shared" si="20"/>
        <v>6.0478480362468279</v>
      </c>
      <c r="H510" s="265" t="str">
        <f t="shared" si="21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503394.24</v>
      </c>
      <c r="C511" s="240">
        <f>R71</f>
        <v>2168341.5000000005</v>
      </c>
      <c r="D511" s="240">
        <f>'Prior Year'!R59</f>
        <v>0</v>
      </c>
      <c r="E511" s="180">
        <f>R59</f>
        <v>0</v>
      </c>
      <c r="F511" s="263" t="str">
        <f t="shared" si="20"/>
        <v/>
      </c>
      <c r="G511" s="263" t="str">
        <f t="shared" si="20"/>
        <v/>
      </c>
      <c r="H511" s="265" t="str">
        <f t="shared" si="21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1253302.21</v>
      </c>
      <c r="C512" s="240">
        <f>S71</f>
        <v>1371864.83</v>
      </c>
      <c r="D512" s="181" t="s">
        <v>529</v>
      </c>
      <c r="E512" s="181" t="s">
        <v>529</v>
      </c>
      <c r="F512" s="263" t="str">
        <f t="shared" ref="F512:G527" si="22">IF(B512=0,"",IF(D512=0,"",B512/D512))</f>
        <v/>
      </c>
      <c r="G512" s="263" t="str">
        <f t="shared" si="22"/>
        <v/>
      </c>
      <c r="H512" s="265" t="str">
        <f t="shared" si="21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1092347.19</v>
      </c>
      <c r="C513" s="240">
        <f>T71</f>
        <v>898628.87</v>
      </c>
      <c r="D513" s="181" t="s">
        <v>529</v>
      </c>
      <c r="E513" s="181" t="s">
        <v>529</v>
      </c>
      <c r="F513" s="263" t="str">
        <f t="shared" si="22"/>
        <v/>
      </c>
      <c r="G513" s="263" t="str">
        <f t="shared" si="22"/>
        <v/>
      </c>
      <c r="H513" s="265" t="str">
        <f t="shared" si="21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6291311.8200000003</v>
      </c>
      <c r="C514" s="240">
        <f>U71</f>
        <v>6012126.6000000006</v>
      </c>
      <c r="D514" s="240">
        <f>'Prior Year'!U59</f>
        <v>445324</v>
      </c>
      <c r="E514" s="180">
        <f>U59</f>
        <v>339878</v>
      </c>
      <c r="F514" s="263">
        <f t="shared" si="22"/>
        <v>14.127493285787427</v>
      </c>
      <c r="G514" s="263">
        <f t="shared" si="22"/>
        <v>17.689072549561903</v>
      </c>
      <c r="H514" s="265">
        <f t="shared" si="21"/>
        <v>0.25210270440245086</v>
      </c>
      <c r="I514" s="267" t="s">
        <v>221</v>
      </c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132652.5</v>
      </c>
      <c r="C515" s="240">
        <f>V71</f>
        <v>106165.33000000002</v>
      </c>
      <c r="D515" s="240">
        <f>'Prior Year'!V59</f>
        <v>794</v>
      </c>
      <c r="E515" s="180">
        <f>V59</f>
        <v>466</v>
      </c>
      <c r="F515" s="263">
        <f t="shared" si="22"/>
        <v>167.06863979848868</v>
      </c>
      <c r="G515" s="263">
        <f t="shared" si="22"/>
        <v>227.82259656652363</v>
      </c>
      <c r="H515" s="265">
        <f t="shared" si="21"/>
        <v>0.36364668343091733</v>
      </c>
      <c r="I515" s="267" t="s">
        <v>221</v>
      </c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595014.83000000007</v>
      </c>
      <c r="C516" s="240">
        <f>W71</f>
        <v>772745.05999999994</v>
      </c>
      <c r="D516" s="240">
        <f>'Prior Year'!W59</f>
        <v>3286</v>
      </c>
      <c r="E516" s="180">
        <f>W59</f>
        <v>2645</v>
      </c>
      <c r="F516" s="263">
        <f t="shared" si="22"/>
        <v>181.07572428484482</v>
      </c>
      <c r="G516" s="263">
        <f t="shared" si="22"/>
        <v>292.15314177693762</v>
      </c>
      <c r="H516" s="265">
        <f t="shared" si="21"/>
        <v>0.61343075075795483</v>
      </c>
      <c r="I516" s="267" t="s">
        <v>221</v>
      </c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1322822.6900000002</v>
      </c>
      <c r="C517" s="240">
        <f>X71</f>
        <v>1432146.73</v>
      </c>
      <c r="D517" s="240">
        <f>'Prior Year'!X59</f>
        <v>12179</v>
      </c>
      <c r="E517" s="180">
        <f>X59</f>
        <v>11519</v>
      </c>
      <c r="F517" s="263">
        <f t="shared" si="22"/>
        <v>108.61504967567126</v>
      </c>
      <c r="G517" s="263">
        <f t="shared" si="22"/>
        <v>124.3290849900165</v>
      </c>
      <c r="H517" s="265" t="str">
        <f t="shared" si="21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10028947.159999998</v>
      </c>
      <c r="C518" s="240">
        <f>Y71</f>
        <v>7122032.5</v>
      </c>
      <c r="D518" s="240">
        <f>'Prior Year'!Y59</f>
        <v>66506</v>
      </c>
      <c r="E518" s="180">
        <f>Y59</f>
        <v>51196</v>
      </c>
      <c r="F518" s="263">
        <f t="shared" si="22"/>
        <v>150.79762968754696</v>
      </c>
      <c r="G518" s="263">
        <f t="shared" si="22"/>
        <v>139.11306547386513</v>
      </c>
      <c r="H518" s="265" t="str">
        <f t="shared" si="21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7286595.1399999997</v>
      </c>
      <c r="C519" s="240">
        <f>Z71</f>
        <v>7259632.2200000007</v>
      </c>
      <c r="D519" s="240">
        <f>'Prior Year'!Z59</f>
        <v>0</v>
      </c>
      <c r="E519" s="180">
        <f>Z59</f>
        <v>468114</v>
      </c>
      <c r="F519" s="263" t="str">
        <f t="shared" si="22"/>
        <v/>
      </c>
      <c r="G519" s="263">
        <f t="shared" si="22"/>
        <v>15.5082570057721</v>
      </c>
      <c r="H519" s="265" t="str">
        <f t="shared" si="21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893963.3600000001</v>
      </c>
      <c r="C520" s="240">
        <f>AA71</f>
        <v>959376.82</v>
      </c>
      <c r="D520" s="240">
        <f>'Prior Year'!AA59</f>
        <v>1503</v>
      </c>
      <c r="E520" s="180">
        <f>AA59</f>
        <v>1847</v>
      </c>
      <c r="F520" s="263">
        <f t="shared" si="22"/>
        <v>594.78600133067209</v>
      </c>
      <c r="G520" s="263">
        <f t="shared" si="22"/>
        <v>519.42437466161346</v>
      </c>
      <c r="H520" s="265" t="str">
        <f t="shared" si="21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4244642.459999999</v>
      </c>
      <c r="C521" s="240">
        <f>AB71</f>
        <v>4207757.67</v>
      </c>
      <c r="D521" s="181" t="s">
        <v>529</v>
      </c>
      <c r="E521" s="181" t="s">
        <v>529</v>
      </c>
      <c r="F521" s="263" t="str">
        <f t="shared" si="22"/>
        <v/>
      </c>
      <c r="G521" s="263" t="str">
        <f t="shared" si="22"/>
        <v/>
      </c>
      <c r="H521" s="265" t="str">
        <f t="shared" si="21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1989083.2000000002</v>
      </c>
      <c r="C522" s="240">
        <f>AC71</f>
        <v>1852455.19</v>
      </c>
      <c r="D522" s="240">
        <f>'Prior Year'!AC59</f>
        <v>49974</v>
      </c>
      <c r="E522" s="180">
        <f>AC59</f>
        <v>63081</v>
      </c>
      <c r="F522" s="263">
        <f t="shared" si="22"/>
        <v>39.802361227838482</v>
      </c>
      <c r="G522" s="263">
        <f t="shared" si="22"/>
        <v>29.366293971243323</v>
      </c>
      <c r="H522" s="265">
        <f t="shared" si="21"/>
        <v>-0.26219718968069627</v>
      </c>
      <c r="I522" s="267" t="s">
        <v>221</v>
      </c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22"/>
        <v/>
      </c>
      <c r="G523" s="263" t="str">
        <f t="shared" si="22"/>
        <v/>
      </c>
      <c r="H523" s="265" t="str">
        <f t="shared" si="21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1409325.5199999998</v>
      </c>
      <c r="C524" s="240">
        <f>AE71</f>
        <v>939590.59000000008</v>
      </c>
      <c r="D524" s="240">
        <f>'Prior Year'!AE59</f>
        <v>32011</v>
      </c>
      <c r="E524" s="180">
        <f>AE59</f>
        <v>21158</v>
      </c>
      <c r="F524" s="263">
        <f t="shared" si="22"/>
        <v>44.02628846334072</v>
      </c>
      <c r="G524" s="263">
        <f t="shared" si="22"/>
        <v>44.40828953587296</v>
      </c>
      <c r="H524" s="265" t="str">
        <f t="shared" si="21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22"/>
        <v/>
      </c>
      <c r="G525" s="263" t="str">
        <f t="shared" si="22"/>
        <v/>
      </c>
      <c r="H525" s="265" t="str">
        <f t="shared" si="21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11042830.870000001</v>
      </c>
      <c r="C526" s="240">
        <f>AG71</f>
        <v>9453097.5099999998</v>
      </c>
      <c r="D526" s="240">
        <f>'Prior Year'!AG59</f>
        <v>29126</v>
      </c>
      <c r="E526" s="180">
        <f>AG59</f>
        <v>27043</v>
      </c>
      <c r="F526" s="263">
        <f t="shared" si="22"/>
        <v>379.13997356313951</v>
      </c>
      <c r="G526" s="263">
        <f t="shared" si="22"/>
        <v>349.55801908072328</v>
      </c>
      <c r="H526" s="265" t="str">
        <f t="shared" si="21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22"/>
        <v/>
      </c>
      <c r="G527" s="263" t="str">
        <f t="shared" si="22"/>
        <v/>
      </c>
      <c r="H527" s="265" t="str">
        <f t="shared" si="21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3645931.5500000003</v>
      </c>
      <c r="C528" s="240">
        <f>AI71</f>
        <v>3080480.23</v>
      </c>
      <c r="D528" s="240">
        <f>'Prior Year'!AI59</f>
        <v>19924</v>
      </c>
      <c r="E528" s="180">
        <f>AI59</f>
        <v>27095</v>
      </c>
      <c r="F528" s="263">
        <f t="shared" ref="F528:G540" si="23">IF(B528=0,"",IF(D528=0,"",B528/D528))</f>
        <v>182.99194689821323</v>
      </c>
      <c r="G528" s="263">
        <f t="shared" si="23"/>
        <v>113.69183354862521</v>
      </c>
      <c r="H528" s="265">
        <f t="shared" si="21"/>
        <v>-0.37870580932250131</v>
      </c>
      <c r="I528" s="267" t="s">
        <v>221</v>
      </c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2106249.8200000003</v>
      </c>
      <c r="C529" s="240">
        <f>AJ71</f>
        <v>1778483.7899999998</v>
      </c>
      <c r="D529" s="240">
        <f>'Prior Year'!AJ59</f>
        <v>10434</v>
      </c>
      <c r="E529" s="180">
        <f>AJ59</f>
        <v>8787</v>
      </c>
      <c r="F529" s="263">
        <f t="shared" si="23"/>
        <v>201.86408088940007</v>
      </c>
      <c r="G529" s="263">
        <f t="shared" si="23"/>
        <v>202.39942983953566</v>
      </c>
      <c r="H529" s="265" t="str">
        <f t="shared" si="21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23"/>
        <v/>
      </c>
      <c r="G530" s="263" t="str">
        <f t="shared" si="23"/>
        <v/>
      </c>
      <c r="H530" s="265" t="str">
        <f t="shared" si="21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211923.12</v>
      </c>
      <c r="C531" s="240">
        <f>AL71</f>
        <v>155782.21000000002</v>
      </c>
      <c r="D531" s="240">
        <f>'Prior Year'!AL59</f>
        <v>5702</v>
      </c>
      <c r="E531" s="180">
        <f>AL59</f>
        <v>3311</v>
      </c>
      <c r="F531" s="263">
        <f t="shared" si="23"/>
        <v>37.166453875833042</v>
      </c>
      <c r="G531" s="263">
        <f t="shared" si="23"/>
        <v>47.049897311990343</v>
      </c>
      <c r="H531" s="265">
        <f t="shared" si="21"/>
        <v>0.26592376741607482</v>
      </c>
      <c r="I531" s="267" t="s">
        <v>221</v>
      </c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3"/>
        <v/>
      </c>
      <c r="G532" s="263" t="str">
        <f t="shared" si="23"/>
        <v/>
      </c>
      <c r="H532" s="265" t="str">
        <f t="shared" si="21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3"/>
        <v/>
      </c>
      <c r="G533" s="263" t="str">
        <f t="shared" si="23"/>
        <v/>
      </c>
      <c r="H533" s="265" t="str">
        <f t="shared" si="21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23"/>
        <v/>
      </c>
      <c r="G534" s="263" t="str">
        <f t="shared" si="23"/>
        <v/>
      </c>
      <c r="H534" s="265" t="str">
        <f t="shared" si="21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43881133.43</v>
      </c>
      <c r="C535" s="240">
        <f>AP71</f>
        <v>35858127.950000003</v>
      </c>
      <c r="D535" s="240">
        <f>'Prior Year'!AP59</f>
        <v>206548</v>
      </c>
      <c r="E535" s="180">
        <f>AP59</f>
        <v>208416</v>
      </c>
      <c r="F535" s="263">
        <f t="shared" si="23"/>
        <v>212.45005243333267</v>
      </c>
      <c r="G535" s="263">
        <f t="shared" si="23"/>
        <v>172.05074442461233</v>
      </c>
      <c r="H535" s="265" t="str">
        <f t="shared" si="21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126548.88</v>
      </c>
      <c r="D536" s="240">
        <f>'Prior Year'!AQ59</f>
        <v>0</v>
      </c>
      <c r="E536" s="180">
        <f>AQ59</f>
        <v>0</v>
      </c>
      <c r="F536" s="263" t="str">
        <f t="shared" si="23"/>
        <v/>
      </c>
      <c r="G536" s="263" t="str">
        <f t="shared" si="23"/>
        <v/>
      </c>
      <c r="H536" s="265" t="str">
        <f t="shared" si="21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2619118.52</v>
      </c>
      <c r="C537" s="240">
        <f>AR71</f>
        <v>1373927.5100000005</v>
      </c>
      <c r="D537" s="240">
        <f>'Prior Year'!AR59</f>
        <v>12874</v>
      </c>
      <c r="E537" s="180">
        <f>AR59</f>
        <v>11432</v>
      </c>
      <c r="F537" s="263">
        <f t="shared" si="23"/>
        <v>203.44248252291439</v>
      </c>
      <c r="G537" s="263">
        <f t="shared" si="23"/>
        <v>120.18260234429675</v>
      </c>
      <c r="H537" s="265">
        <f t="shared" si="21"/>
        <v>-0.40925513268468794</v>
      </c>
      <c r="I537" s="267" t="s">
        <v>221</v>
      </c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3"/>
        <v/>
      </c>
      <c r="G538" s="263" t="str">
        <f t="shared" si="23"/>
        <v/>
      </c>
      <c r="H538" s="265" t="str">
        <f t="shared" si="21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3"/>
        <v/>
      </c>
      <c r="G539" s="263" t="str">
        <f t="shared" si="23"/>
        <v/>
      </c>
      <c r="H539" s="265" t="str">
        <f t="shared" si="21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3"/>
        <v/>
      </c>
      <c r="G540" s="263" t="str">
        <f t="shared" si="23"/>
        <v/>
      </c>
      <c r="H540" s="265" t="str">
        <f t="shared" si="21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75795.81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2699246.57</v>
      </c>
      <c r="C542" s="240">
        <f>AW71</f>
        <v>2492426.1399999997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1859575.8099999998</v>
      </c>
      <c r="C544" s="240">
        <f>AY71</f>
        <v>1456286.75</v>
      </c>
      <c r="D544" s="240">
        <f>'Prior Year'!AY59</f>
        <v>378225</v>
      </c>
      <c r="E544" s="180">
        <f>AY59</f>
        <v>333727</v>
      </c>
      <c r="F544" s="263">
        <f t="shared" ref="F544:G550" si="24">IF(B544=0,"",IF(D544=0,"",B544/D544))</f>
        <v>4.9165861854716102</v>
      </c>
      <c r="G544" s="263">
        <f t="shared" si="24"/>
        <v>4.3637067123726876</v>
      </c>
      <c r="H544" s="265" t="str">
        <f t="shared" si="21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4"/>
        <v/>
      </c>
      <c r="G545" s="263" t="str">
        <f t="shared" si="24"/>
        <v/>
      </c>
      <c r="H545" s="265" t="str">
        <f t="shared" si="21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326529.88</v>
      </c>
      <c r="C546" s="240">
        <f>BA71</f>
        <v>317973.09000000003</v>
      </c>
      <c r="D546" s="240">
        <f>'Prior Year'!BA59</f>
        <v>0</v>
      </c>
      <c r="E546" s="180">
        <f>BA59</f>
        <v>0</v>
      </c>
      <c r="F546" s="263" t="str">
        <f t="shared" si="24"/>
        <v/>
      </c>
      <c r="G546" s="263" t="str">
        <f t="shared" si="24"/>
        <v/>
      </c>
      <c r="H546" s="265" t="str">
        <f t="shared" si="21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803292.51999999979</v>
      </c>
      <c r="C549" s="240">
        <f>BD71</f>
        <v>980867.34000000008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4838993.2300000004</v>
      </c>
      <c r="C550" s="240">
        <f>BE71</f>
        <v>4202322.74</v>
      </c>
      <c r="D550" s="240">
        <f>'Prior Year'!BE59</f>
        <v>633750</v>
      </c>
      <c r="E550" s="180">
        <f>BE59</f>
        <v>602427</v>
      </c>
      <c r="F550" s="263">
        <f t="shared" si="24"/>
        <v>7.6354922761341228</v>
      </c>
      <c r="G550" s="263">
        <f t="shared" si="24"/>
        <v>6.9756547100312574</v>
      </c>
      <c r="H550" s="265" t="str">
        <f t="shared" si="21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2401204.3200000003</v>
      </c>
      <c r="C551" s="240">
        <f>BF71</f>
        <v>2255668.5499999998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533309.66</v>
      </c>
      <c r="C552" s="240">
        <f>BG71</f>
        <v>395400.93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4261265.4499999993</v>
      </c>
      <c r="C553" s="240">
        <f>BH71</f>
        <v>4717422.2599999988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1035289.4700000001</v>
      </c>
      <c r="C555" s="240">
        <f>BJ71</f>
        <v>910425.51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2616225.33</v>
      </c>
      <c r="C556" s="240">
        <f>BK71</f>
        <v>1883177.7899999998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1397100.65</v>
      </c>
      <c r="C557" s="240">
        <f>BL71</f>
        <v>1048655.21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4479904.03</v>
      </c>
      <c r="C559" s="240">
        <f>BN71</f>
        <v>7418740.0999999996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218809.20999999996</v>
      </c>
      <c r="C560" s="240">
        <f>BO71</f>
        <v>235689.38999999998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808262.19000000006</v>
      </c>
      <c r="C561" s="240">
        <f>BP71</f>
        <v>441682.19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906147.96</v>
      </c>
      <c r="C563" s="240">
        <f>BR71</f>
        <v>848790.95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489288.38000000006</v>
      </c>
      <c r="C564" s="240">
        <f>BS71</f>
        <v>436864.36999999994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17911.289999999997</v>
      </c>
      <c r="C565" s="240">
        <f>BT71</f>
        <v>14092.47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1506567.65</v>
      </c>
      <c r="C567" s="240">
        <f>BV71</f>
        <v>1663256.7600000002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585937.64</v>
      </c>
      <c r="C568" s="240">
        <f>BW71</f>
        <v>539802.10000000009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1789152.9400000002</v>
      </c>
      <c r="C569" s="240">
        <f>BX71</f>
        <v>1889174.8899999997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1992050.92</v>
      </c>
      <c r="C570" s="240">
        <f>BY71</f>
        <v>1756871.8900000001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332303.58999999997</v>
      </c>
      <c r="C572" s="240">
        <f>CA71</f>
        <v>306998.94999999995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398697.39</v>
      </c>
      <c r="C573" s="240">
        <f>CB71</f>
        <v>251114.75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3334697.06</v>
      </c>
      <c r="C574" s="240">
        <f>CC71</f>
        <v>3463323.1700000004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20763581.469999999</v>
      </c>
      <c r="C575" s="240">
        <f>CD71</f>
        <v>15699538.83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551373</v>
      </c>
      <c r="E612" s="180">
        <f>SUM(C624:D647)+SUM(C668:D713)</f>
        <v>154009459.12835854</v>
      </c>
      <c r="F612" s="180">
        <f>CE64-(AX64+BD64+BE64+BG64+BJ64+BN64+BP64+BQ64+CB64+CC64+CD64)</f>
        <v>28448659.880000003</v>
      </c>
      <c r="G612" s="180">
        <f>CE77-(AX77+AY77+BD77+BE77+BG77+BJ77+BN77+BP77+BQ77+CB77+CC77+CD77)</f>
        <v>333727</v>
      </c>
      <c r="H612" s="197">
        <f>CE60-(AX60+AY60+AZ60+BD60+BE60+BG60+BJ60+BN60+BO60+BP60+BQ60+BR60+CB60+CC60+CD60)</f>
        <v>718.84000000000026</v>
      </c>
      <c r="I612" s="180">
        <f>CE78-(AX78+AY78+AZ78+BD78+BE78+BF78+BG78+BJ78+BN78+BO78+BP78+BQ78+BR78+CB78+CC78+CD78)</f>
        <v>49635.82088179978</v>
      </c>
      <c r="J612" s="180">
        <f>CE79-(AX79+AY79+AZ79+BA79+BD79+BE79+BF79+BG79+BJ79+BN79+BO79+BP79+BQ79+BR79+CB79+CC79+CD79)</f>
        <v>652556</v>
      </c>
      <c r="K612" s="180">
        <f>CE75-(AW75+AX75+AY75+AZ75+BA75+BB75+BC75+BD75+BE75+BF75+BG75+BH75+BI75+BJ75+BK75+BL75+BM75+BN75+BO75+BP75+BQ75+BR75+BS75+BT75+BU75+BV75+BW75+BX75+CB75+CC75+CD75)</f>
        <v>465491186.69000006</v>
      </c>
      <c r="L612" s="197">
        <f>CE80-(AW80+AX80+AY80+AZ80+BA80+BB80+BC80+BD80+BE80+BF80+BG80+BH80+BI80+BJ80+BK80+BL80+BM80+BN80+BO80+BP80+BQ80+BR80+BS80+BT80+BU80+BV80+BW80+BX80+BY80+BZ80+CA80+CB80+CC80+CD80)</f>
        <v>207.55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4202322.74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15699538.83</v>
      </c>
      <c r="D615" s="266">
        <f>SUM(C614:C615)</f>
        <v>19901861.57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910425.51</v>
      </c>
      <c r="D617" s="180">
        <f>(D615/D612)*BJ76</f>
        <v>92042.495739726102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395400.93</v>
      </c>
      <c r="D618" s="180">
        <f>(D615/D612)*BG76</f>
        <v>60748.047188219229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7418740.0999999996</v>
      </c>
      <c r="D619" s="180">
        <f>(D615/D612)*BN76</f>
        <v>199497.59762881027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3463323.1700000004</v>
      </c>
      <c r="D620" s="180">
        <f>(D615/D612)*CC76</f>
        <v>5458841.8992931284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441682.19</v>
      </c>
      <c r="D621" s="180">
        <f>(D615/D612)*BP76</f>
        <v>47573.33701370941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251114.75</v>
      </c>
      <c r="D622" s="180">
        <f>(D615/D612)*CB76</f>
        <v>11153.384777872692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18750543.411641467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980867.34000000008</v>
      </c>
      <c r="D624" s="180">
        <f>(D615/D612)*BD76</f>
        <v>286378.49458783801</v>
      </c>
      <c r="E624" s="180">
        <f>(E623/E612)*SUM(C624:D624)</f>
        <v>154286.28974572994</v>
      </c>
      <c r="F624" s="180">
        <f>SUM(C624:E624)</f>
        <v>1421532.1243335679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1456286.75</v>
      </c>
      <c r="D625" s="180">
        <f>(D615/D612)*AY76</f>
        <v>375352.90713623987</v>
      </c>
      <c r="E625" s="180">
        <f>(E623/E612)*SUM(C625:D625)</f>
        <v>223000.84098726104</v>
      </c>
      <c r="F625" s="180">
        <f>(F624/F612)*AY64</f>
        <v>27253.110345865494</v>
      </c>
      <c r="G625" s="180">
        <f>SUM(C625:F625)</f>
        <v>2081893.6084693666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848790.95</v>
      </c>
      <c r="D626" s="180">
        <f>(D615/D612)*BR76</f>
        <v>123084.27861665333</v>
      </c>
      <c r="E626" s="180">
        <f>(E623/E612)*SUM(C626:D626)</f>
        <v>118325.12605402693</v>
      </c>
      <c r="F626" s="180">
        <f>(F624/F612)*BR64</f>
        <v>387.00724132562198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235689.38999999998</v>
      </c>
      <c r="D627" s="180">
        <f>(D615/D612)*BO76</f>
        <v>7616.0653337577287</v>
      </c>
      <c r="E627" s="180">
        <f>(E623/E612)*SUM(C627:D627)</f>
        <v>29622.268192777348</v>
      </c>
      <c r="F627" s="180">
        <f>(F624/F612)*BO64</f>
        <v>449.95385007767987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1718773.8634029354</v>
      </c>
      <c r="H628" s="180">
        <f>SUM(C626:G628)</f>
        <v>3082738.9026915543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2255668.5499999998</v>
      </c>
      <c r="D629" s="180">
        <f>(D615/D612)*BF76</f>
        <v>100524.84338632831</v>
      </c>
      <c r="E629" s="180">
        <f>(E623/E612)*SUM(C629:D629)</f>
        <v>286864.88972142682</v>
      </c>
      <c r="F629" s="180">
        <f>(F624/F612)*BF64</f>
        <v>7876.007226231889</v>
      </c>
      <c r="G629" s="180">
        <f>(G625/G612)*BF77</f>
        <v>0</v>
      </c>
      <c r="H629" s="180">
        <f>(H628/H612)*BF60</f>
        <v>160389.56507799245</v>
      </c>
      <c r="I629" s="180">
        <f>SUM(C629:H629)</f>
        <v>2811323.8554119794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317973.09000000003</v>
      </c>
      <c r="D630" s="180">
        <f>(D615/D612)*BA76</f>
        <v>61722.614790169268</v>
      </c>
      <c r="E630" s="180">
        <f>(E623/E612)*SUM(C630:D630)</f>
        <v>46227.685209569856</v>
      </c>
      <c r="F630" s="180">
        <f>(F624/F612)*BA64</f>
        <v>3661.0148995851473</v>
      </c>
      <c r="G630" s="180">
        <f>(G625/G612)*BA77</f>
        <v>0</v>
      </c>
      <c r="H630" s="180">
        <f>(H628/H612)*BA60</f>
        <v>0</v>
      </c>
      <c r="I630" s="180">
        <f>(I629/I612)*BA78</f>
        <v>13206.608004006695</v>
      </c>
      <c r="J630" s="180">
        <f>SUM(C630:I630)</f>
        <v>442791.01290333102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2492426.1399999997</v>
      </c>
      <c r="D631" s="180">
        <f>(D615/D612)*AW76</f>
        <v>50352.659434085457</v>
      </c>
      <c r="E631" s="180">
        <f>(E623/E612)*SUM(C631:D631)</f>
        <v>309581.53177625895</v>
      </c>
      <c r="F631" s="180">
        <f>(F624/F612)*AW64</f>
        <v>1512.3750603047058</v>
      </c>
      <c r="G631" s="180">
        <f>(G625/G612)*AW77</f>
        <v>0</v>
      </c>
      <c r="H631" s="180">
        <f>(H628/H612)*AW60</f>
        <v>114502.71089792509</v>
      </c>
      <c r="I631" s="180">
        <f>(I629/I612)*AW78</f>
        <v>10773.811792742305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1883177.7899999998</v>
      </c>
      <c r="D635" s="180">
        <f>(D615/D612)*BK76</f>
        <v>215632.10570553871</v>
      </c>
      <c r="E635" s="180">
        <f>(E623/E612)*SUM(C635:D635)</f>
        <v>255528.6297668906</v>
      </c>
      <c r="F635" s="180">
        <f>(F624/F612)*BK64</f>
        <v>314.74553584366271</v>
      </c>
      <c r="G635" s="180">
        <f>(G625/G612)*BK77</f>
        <v>0</v>
      </c>
      <c r="H635" s="180">
        <f>(H628/H612)*BK60</f>
        <v>75048.593285156894</v>
      </c>
      <c r="I635" s="180">
        <f>(I629/I612)*BK78</f>
        <v>46138.173225693565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4717422.2599999988</v>
      </c>
      <c r="D636" s="180">
        <f>(D615/D612)*BH76</f>
        <v>290854.2865375345</v>
      </c>
      <c r="E636" s="180">
        <f>(E623/E612)*SUM(C636:D636)</f>
        <v>609754.14974407956</v>
      </c>
      <c r="F636" s="180">
        <f>(F624/F612)*BH64</f>
        <v>4410.7992376419461</v>
      </c>
      <c r="G636" s="180">
        <f>(G625/G612)*BH77</f>
        <v>0</v>
      </c>
      <c r="H636" s="180">
        <f>(H628/H612)*BH60</f>
        <v>84054.424479375739</v>
      </c>
      <c r="I636" s="180">
        <f>(I629/I612)*BH78</f>
        <v>62233.244032915762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1048655.21</v>
      </c>
      <c r="D637" s="180">
        <f>(D615/D612)*BL76</f>
        <v>211372.88433405335</v>
      </c>
      <c r="E637" s="180">
        <f>(E623/E612)*SUM(C637:D637)</f>
        <v>153407.53494243085</v>
      </c>
      <c r="F637" s="180">
        <f>(F624/F612)*BL64</f>
        <v>1341.5398239729934</v>
      </c>
      <c r="G637" s="180">
        <f>(G625/G612)*BL77</f>
        <v>0</v>
      </c>
      <c r="H637" s="180">
        <f>(H628/H612)*BL60</f>
        <v>81781.524225596688</v>
      </c>
      <c r="I637" s="180">
        <f>(I629/I612)*BL78</f>
        <v>45226.840041791344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436864.36999999994</v>
      </c>
      <c r="D639" s="180">
        <f>(D615/D612)*BS76</f>
        <v>174231.03017084624</v>
      </c>
      <c r="E639" s="180">
        <f>(E623/E612)*SUM(C639:D639)</f>
        <v>74400.435495380414</v>
      </c>
      <c r="F639" s="180">
        <f>(F624/F612)*BS64</f>
        <v>699.63012236247096</v>
      </c>
      <c r="G639" s="180">
        <f>(G625/G612)*BS77</f>
        <v>0</v>
      </c>
      <c r="H639" s="180">
        <f>(H628/H612)*BS60</f>
        <v>4288.4910448661085</v>
      </c>
      <c r="I639" s="180">
        <f>(I629/I612)*BS78</f>
        <v>37279.705751661008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14092.47</v>
      </c>
      <c r="D640" s="180">
        <f>(D615/D612)*BT76</f>
        <v>31150.068166032794</v>
      </c>
      <c r="E640" s="180">
        <f>(E623/E612)*SUM(C640:D640)</f>
        <v>5508.2472254383629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6665.0893026068879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1663256.7600000002</v>
      </c>
      <c r="D642" s="180">
        <f>(D615/D612)*BV76</f>
        <v>32485.586731668034</v>
      </c>
      <c r="E642" s="180">
        <f>(E623/E612)*SUM(C642:D642)</f>
        <v>206455.43895359445</v>
      </c>
      <c r="F642" s="180">
        <f>(F624/F612)*BV64</f>
        <v>223.67874773467278</v>
      </c>
      <c r="G642" s="180">
        <f>(G625/G612)*BV77</f>
        <v>0</v>
      </c>
      <c r="H642" s="180">
        <f>(H628/H612)*BV60</f>
        <v>21442.455224330544</v>
      </c>
      <c r="I642" s="180">
        <f>(I629/I612)*BV78</f>
        <v>6950.8463178982611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539802.10000000009</v>
      </c>
      <c r="D643" s="180">
        <f>(D615/D612)*BW76</f>
        <v>136692.1299475854</v>
      </c>
      <c r="E643" s="180">
        <f>(E623/E612)*SUM(C643:D643)</f>
        <v>82362.697058660604</v>
      </c>
      <c r="F643" s="180">
        <f>(F624/F612)*BW64</f>
        <v>2655.1458504729867</v>
      </c>
      <c r="G643" s="180">
        <f>(G625/G612)*BW77</f>
        <v>0</v>
      </c>
      <c r="H643" s="180">
        <f>(H628/H612)*BW60</f>
        <v>8576.982089732217</v>
      </c>
      <c r="I643" s="180">
        <f>(I629/I612)*BW78</f>
        <v>29247.616673200799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1889174.8899999997</v>
      </c>
      <c r="D644" s="180">
        <f>(D615/D612)*BX76</f>
        <v>25555.328228912189</v>
      </c>
      <c r="E644" s="180">
        <f>(E623/E612)*SUM(C644:D644)</f>
        <v>233117.05840457752</v>
      </c>
      <c r="F644" s="180">
        <f>(F624/F612)*BX64</f>
        <v>205.16398112524061</v>
      </c>
      <c r="G644" s="180">
        <f>(G625/G612)*BX77</f>
        <v>0</v>
      </c>
      <c r="H644" s="180">
        <f>(H628/H612)*BX60</f>
        <v>34307.928358928868</v>
      </c>
      <c r="I644" s="180">
        <f>(I629/I612)*BX78</f>
        <v>5467.9991034132991</v>
      </c>
      <c r="J644" s="180">
        <f>(J630/J612)*BX79</f>
        <v>0</v>
      </c>
      <c r="K644" s="180">
        <f>SUM(C631:J644)</f>
        <v>18468663.306830864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1756871.8900000001</v>
      </c>
      <c r="D645" s="180">
        <f>(D615/D612)*BY76</f>
        <v>117345.15829405865</v>
      </c>
      <c r="E645" s="180">
        <f>(E623/E612)*SUM(C645:D645)</f>
        <v>228184.6084375041</v>
      </c>
      <c r="F645" s="180">
        <f>(F624/F612)*BY64</f>
        <v>46.641441849718468</v>
      </c>
      <c r="G645" s="180">
        <f>(G625/G612)*BY77</f>
        <v>0</v>
      </c>
      <c r="H645" s="180">
        <f>(H628/H612)*BY60</f>
        <v>63898.516568505016</v>
      </c>
      <c r="I645" s="180">
        <f>(I629/I612)*BY78</f>
        <v>25108.001532763603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306998.94999999995</v>
      </c>
      <c r="D647" s="180">
        <f>(D615/D612)*CA76</f>
        <v>79481.402203481121</v>
      </c>
      <c r="E647" s="180">
        <f>(E623/E612)*SUM(C647:D647)</f>
        <v>47053.711263917306</v>
      </c>
      <c r="F647" s="180">
        <f>(F624/F612)*CA64</f>
        <v>602.29780491670215</v>
      </c>
      <c r="G647" s="180">
        <f>(G625/G612)*CA77</f>
        <v>0</v>
      </c>
      <c r="H647" s="180">
        <f>(H628/H612)*CA60</f>
        <v>8576.982089732217</v>
      </c>
      <c r="I647" s="180">
        <f>(I629/I612)*CA78</f>
        <v>17006.403991124414</v>
      </c>
      <c r="J647" s="180">
        <f>(J630/J612)*CA79</f>
        <v>0</v>
      </c>
      <c r="K647" s="180">
        <v>0</v>
      </c>
      <c r="L647" s="180">
        <f>SUM(C645:K647)</f>
        <v>2651174.5636278535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55626567.120000005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3451207.8699999996</v>
      </c>
      <c r="D668" s="180">
        <f>(D615/D612)*C76</f>
        <v>297134.83330565697</v>
      </c>
      <c r="E668" s="180">
        <f>(E623/E612)*SUM(C668:D668)</f>
        <v>456358.08980709937</v>
      </c>
      <c r="F668" s="180">
        <f>(F624/F612)*C64</f>
        <v>16460.1966551037</v>
      </c>
      <c r="G668" s="180">
        <f>(G625/G612)*C77</f>
        <v>37267.684116046934</v>
      </c>
      <c r="H668" s="180">
        <f>(H628/H612)*C60</f>
        <v>122650.84388317069</v>
      </c>
      <c r="I668" s="180">
        <f>(I629/I612)*C78</f>
        <v>63577.074321042761</v>
      </c>
      <c r="J668" s="180">
        <f>(J630/J612)*C79</f>
        <v>46461.585267037437</v>
      </c>
      <c r="K668" s="180">
        <f>(K644/K612)*C75</f>
        <v>323887.3824737618</v>
      </c>
      <c r="L668" s="180">
        <f>(L647/L612)*C80</f>
        <v>240017.20091817569</v>
      </c>
      <c r="M668" s="180">
        <f t="shared" ref="M668:M713" si="25">ROUND(SUM(D668:L668),0)</f>
        <v>1603815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1527.23</v>
      </c>
      <c r="D669" s="180">
        <f>(D615/D612)*D76</f>
        <v>0</v>
      </c>
      <c r="E669" s="180">
        <f>(E623/E612)*SUM(C669:D669)</f>
        <v>185.93917916882182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106033.60776146811</v>
      </c>
      <c r="L669" s="180">
        <f>(L647/L612)*D80</f>
        <v>0</v>
      </c>
      <c r="M669" s="180">
        <f t="shared" si="25"/>
        <v>106220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7704800.4600000009</v>
      </c>
      <c r="D670" s="180">
        <f>(D615/D612)*E76</f>
        <v>1200775.5708915561</v>
      </c>
      <c r="E670" s="180">
        <f>(E623/E612)*SUM(C670:D670)</f>
        <v>1084247.6229575835</v>
      </c>
      <c r="F670" s="180">
        <f>(F624/F612)*E64</f>
        <v>27055.608009314848</v>
      </c>
      <c r="G670" s="180">
        <f>(G625/G612)*E77</f>
        <v>255608.65232187934</v>
      </c>
      <c r="H670" s="180">
        <f>(H628/H612)*E60</f>
        <v>262670.07649804914</v>
      </c>
      <c r="I670" s="180">
        <f>(I629/I612)*E78</f>
        <v>256926.44939724603</v>
      </c>
      <c r="J670" s="180">
        <f>(J630/J612)*E79</f>
        <v>91024.591325388537</v>
      </c>
      <c r="K670" s="180">
        <f>(K644/K612)*E75</f>
        <v>745889.43484301632</v>
      </c>
      <c r="L670" s="180">
        <f>(L647/L612)*E80</f>
        <v>606238.23073851084</v>
      </c>
      <c r="M670" s="180">
        <f t="shared" si="25"/>
        <v>4530436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6335658.4100000001</v>
      </c>
      <c r="D671" s="180">
        <f>(D615/D612)*F76</f>
        <v>476527.46225720155</v>
      </c>
      <c r="E671" s="180">
        <f>(E623/E612)*SUM(C671:D671)</f>
        <v>829378.84237013978</v>
      </c>
      <c r="F671" s="180">
        <f>(F624/F612)*F64</f>
        <v>25560.536982899019</v>
      </c>
      <c r="G671" s="180">
        <f>(G625/G612)*F77</f>
        <v>53768.02299903056</v>
      </c>
      <c r="H671" s="180">
        <f>(H628/H612)*F60</f>
        <v>199329.06376537672</v>
      </c>
      <c r="I671" s="180">
        <f>(I629/I612)*F78</f>
        <v>101961.19232099205</v>
      </c>
      <c r="J671" s="180">
        <f>(J630/J612)*F79</f>
        <v>52740.87475852541</v>
      </c>
      <c r="K671" s="180">
        <f>(K644/K612)*F75</f>
        <v>666019.22964484175</v>
      </c>
      <c r="L671" s="180">
        <f>(L647/L612)*F80</f>
        <v>496512.43212823261</v>
      </c>
      <c r="M671" s="180">
        <f t="shared" si="25"/>
        <v>2901798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5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5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1778083.0400000003</v>
      </c>
      <c r="D675" s="180">
        <f>(D615/D612)*J76</f>
        <v>122217.99630380885</v>
      </c>
      <c r="E675" s="180">
        <f>(E623/E612)*SUM(C675:D675)</f>
        <v>231360.31564596802</v>
      </c>
      <c r="F675" s="180">
        <f>(F624/F612)*J64</f>
        <v>6337.8025349776044</v>
      </c>
      <c r="G675" s="180">
        <f>(G625/G612)*J77</f>
        <v>3973.8056213461496</v>
      </c>
      <c r="H675" s="180">
        <f>(H628/H612)*J60</f>
        <v>55321.534478772803</v>
      </c>
      <c r="I675" s="180">
        <f>(I629/I612)*J78</f>
        <v>26150.628480448348</v>
      </c>
      <c r="J675" s="180">
        <f>(J630/J612)*J79</f>
        <v>26581.466018970157</v>
      </c>
      <c r="K675" s="180">
        <f>(K644/K612)*J75</f>
        <v>145496.91119126967</v>
      </c>
      <c r="L675" s="180">
        <f>(L647/L612)*J80</f>
        <v>160692.72951307346</v>
      </c>
      <c r="M675" s="180">
        <f t="shared" si="25"/>
        <v>778133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5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10143971.17</v>
      </c>
      <c r="D681" s="180">
        <f>(D615/D612)*P76</f>
        <v>810659.76934059151</v>
      </c>
      <c r="E681" s="180">
        <f>(E623/E612)*SUM(C681:D681)</f>
        <v>1333718.6179936023</v>
      </c>
      <c r="F681" s="180">
        <f>(F624/F612)*P64</f>
        <v>360008.7491202238</v>
      </c>
      <c r="G681" s="180">
        <f>(G625/G612)*P77</f>
        <v>0</v>
      </c>
      <c r="H681" s="180">
        <f>(H628/H612)*P60</f>
        <v>115789.25821138493</v>
      </c>
      <c r="I681" s="180">
        <f>(I629/I612)*P78</f>
        <v>173454.50828186338</v>
      </c>
      <c r="J681" s="180">
        <f>(J630/J612)*P79</f>
        <v>28770.464063009513</v>
      </c>
      <c r="K681" s="180">
        <f>(K644/K612)*P75</f>
        <v>1832401.9060175973</v>
      </c>
      <c r="L681" s="180">
        <f>(L647/L612)*P80</f>
        <v>171550.3463720649</v>
      </c>
      <c r="M681" s="180">
        <f t="shared" si="25"/>
        <v>4826354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788875.25</v>
      </c>
      <c r="D682" s="180">
        <f>(D615/D612)*Q76</f>
        <v>121279.52379822732</v>
      </c>
      <c r="E682" s="180">
        <f>(E623/E612)*SUM(C682:D682)</f>
        <v>110810.70405677408</v>
      </c>
      <c r="F682" s="180">
        <f>(F624/F612)*Q64</f>
        <v>1065.4328016866932</v>
      </c>
      <c r="G682" s="180">
        <f>(G625/G612)*Q77</f>
        <v>0</v>
      </c>
      <c r="H682" s="180">
        <f>(H628/H612)*Q60</f>
        <v>25730.946269196651</v>
      </c>
      <c r="I682" s="180">
        <f>(I629/I612)*Q78</f>
        <v>25949.826253486841</v>
      </c>
      <c r="J682" s="180">
        <f>(J630/J612)*Q79</f>
        <v>0</v>
      </c>
      <c r="K682" s="180">
        <f>(K644/K612)*Q75</f>
        <v>114078.15356326499</v>
      </c>
      <c r="L682" s="180">
        <f>(L647/L612)*Q80</f>
        <v>99123.655089145468</v>
      </c>
      <c r="M682" s="180">
        <f t="shared" si="25"/>
        <v>498038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2168341.5000000005</v>
      </c>
      <c r="D683" s="180">
        <f>(D615/D612)*R76</f>
        <v>22595.530326693544</v>
      </c>
      <c r="E683" s="180">
        <f>(E623/E612)*SUM(C683:D683)</f>
        <v>266745.04366043198</v>
      </c>
      <c r="F683" s="180">
        <f>(F624/F612)*R64</f>
        <v>15301.479470667568</v>
      </c>
      <c r="G683" s="180">
        <f>(G625/G612)*R77</f>
        <v>0</v>
      </c>
      <c r="H683" s="180">
        <f>(H628/H612)*R60</f>
        <v>4288.4910448661085</v>
      </c>
      <c r="I683" s="180">
        <f>(I629/I612)*R78</f>
        <v>4834.6997722270125</v>
      </c>
      <c r="J683" s="180">
        <f>(J630/J612)*R79</f>
        <v>0</v>
      </c>
      <c r="K683" s="180">
        <f>(K644/K612)*R75</f>
        <v>302814.88180511747</v>
      </c>
      <c r="L683" s="180">
        <f>(L647/L612)*R80</f>
        <v>12901.40356186043</v>
      </c>
      <c r="M683" s="180">
        <f t="shared" si="25"/>
        <v>629482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1371864.83</v>
      </c>
      <c r="D684" s="180">
        <f>(D615/D612)*S76</f>
        <v>175602.64383284998</v>
      </c>
      <c r="E684" s="180">
        <f>(E623/E612)*SUM(C684:D684)</f>
        <v>188403.07738515508</v>
      </c>
      <c r="F684" s="180">
        <f>(F624/F612)*S64</f>
        <v>36160.066727156714</v>
      </c>
      <c r="G684" s="180">
        <f>(G625/G612)*S77</f>
        <v>0</v>
      </c>
      <c r="H684" s="180">
        <f>(H628/H612)*S60</f>
        <v>30019.437314062758</v>
      </c>
      <c r="I684" s="180">
        <f>(I629/I612)*S78</f>
        <v>37573.185929527826</v>
      </c>
      <c r="J684" s="180">
        <f>(J630/J612)*S79</f>
        <v>8478.4657657382995</v>
      </c>
      <c r="K684" s="180">
        <f>(K644/K612)*S75</f>
        <v>354877.03093514836</v>
      </c>
      <c r="L684" s="180">
        <f>(L647/L612)*S80</f>
        <v>1021.8933514344894</v>
      </c>
      <c r="M684" s="180">
        <f t="shared" si="25"/>
        <v>832136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898628.87</v>
      </c>
      <c r="D685" s="180">
        <f>(D615/D612)*T76</f>
        <v>0</v>
      </c>
      <c r="E685" s="180">
        <f>(E623/E612)*SUM(C685:D685)</f>
        <v>109407.43336969931</v>
      </c>
      <c r="F685" s="180">
        <f>(F624/F612)*T64</f>
        <v>44229.637785893276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375972.15783090889</v>
      </c>
      <c r="L685" s="180">
        <f>(L647/L612)*T80</f>
        <v>0</v>
      </c>
      <c r="M685" s="180">
        <f t="shared" si="25"/>
        <v>529609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6012126.6000000006</v>
      </c>
      <c r="D686" s="180">
        <f>(D615/D612)*U76</f>
        <v>560268.085832168</v>
      </c>
      <c r="E686" s="180">
        <f>(E623/E612)*SUM(C686:D686)</f>
        <v>800184.4339471854</v>
      </c>
      <c r="F686" s="180">
        <f>(F624/F612)*U64</f>
        <v>91453.186736013638</v>
      </c>
      <c r="G686" s="180">
        <f>(G625/G612)*U77</f>
        <v>0</v>
      </c>
      <c r="H686" s="180">
        <f>(H628/H612)*U60</f>
        <v>119005.62649503451</v>
      </c>
      <c r="I686" s="180">
        <f>(I629/I612)*U78</f>
        <v>119878.9294960187</v>
      </c>
      <c r="J686" s="180">
        <f>(J630/J612)*U79</f>
        <v>0</v>
      </c>
      <c r="K686" s="180">
        <f>(K644/K612)*U75</f>
        <v>1635772.0961311858</v>
      </c>
      <c r="L686" s="180">
        <f>(L647/L612)*U80</f>
        <v>0</v>
      </c>
      <c r="M686" s="180">
        <f t="shared" si="25"/>
        <v>3326562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106165.33000000002</v>
      </c>
      <c r="D687" s="180">
        <f>(D615/D612)*V76</f>
        <v>9853.9613086059708</v>
      </c>
      <c r="E687" s="180">
        <f>(E623/E612)*SUM(C687:D687)</f>
        <v>14125.267178925649</v>
      </c>
      <c r="F687" s="180">
        <f>(F624/F612)*V64</f>
        <v>47.960605853952977</v>
      </c>
      <c r="G687" s="180">
        <f>(G625/G612)*V77</f>
        <v>0</v>
      </c>
      <c r="H687" s="180">
        <f>(H628/H612)*V60</f>
        <v>4288.4910448661085</v>
      </c>
      <c r="I687" s="180">
        <f>(I629/I612)*V78</f>
        <v>2108.4233830958055</v>
      </c>
      <c r="J687" s="180">
        <f>(J630/J612)*V79</f>
        <v>126.21005461603229</v>
      </c>
      <c r="K687" s="180">
        <f>(K644/K612)*V75</f>
        <v>16985.659622257976</v>
      </c>
      <c r="L687" s="180">
        <f>(L647/L612)*V80</f>
        <v>0</v>
      </c>
      <c r="M687" s="180">
        <f t="shared" si="25"/>
        <v>47536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772745.05999999994</v>
      </c>
      <c r="D688" s="180">
        <f>(D615/D612)*W76</f>
        <v>229961.85896384116</v>
      </c>
      <c r="E688" s="180">
        <f>(E623/E612)*SUM(C688:D688)</f>
        <v>122078.86268540754</v>
      </c>
      <c r="F688" s="180">
        <f>(F624/F612)*W64</f>
        <v>343.46283678584496</v>
      </c>
      <c r="G688" s="180">
        <f>(G625/G612)*W77</f>
        <v>0</v>
      </c>
      <c r="H688" s="180">
        <f>(H628/H612)*W60</f>
        <v>12865.473134598325</v>
      </c>
      <c r="I688" s="180">
        <f>(I629/I612)*W78</f>
        <v>49204.268768144248</v>
      </c>
      <c r="J688" s="180">
        <f>(J630/J612)*W79</f>
        <v>1331.3125115949213</v>
      </c>
      <c r="K688" s="180">
        <f>(K644/K612)*W75</f>
        <v>339031.84536227048</v>
      </c>
      <c r="L688" s="180">
        <f>(L647/L612)*W80</f>
        <v>0</v>
      </c>
      <c r="M688" s="180">
        <f t="shared" si="25"/>
        <v>754817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1432146.73</v>
      </c>
      <c r="D689" s="180">
        <f>(D615/D612)*X76</f>
        <v>131927.57722694075</v>
      </c>
      <c r="E689" s="180">
        <f>(E623/E612)*SUM(C689:D689)</f>
        <v>190424.94767966907</v>
      </c>
      <c r="F689" s="180">
        <f>(F624/F612)*X64</f>
        <v>17512.774103632459</v>
      </c>
      <c r="G689" s="180">
        <f>(G625/G612)*X77</f>
        <v>0</v>
      </c>
      <c r="H689" s="180">
        <f>(H628/H612)*X60</f>
        <v>21442.455224330544</v>
      </c>
      <c r="I689" s="180">
        <f>(I629/I612)*X78</f>
        <v>28228.159213242383</v>
      </c>
      <c r="J689" s="180">
        <f>(J630/J612)*X79</f>
        <v>4561.882780556909</v>
      </c>
      <c r="K689" s="180">
        <f>(K644/K612)*X75</f>
        <v>1365716.1942309958</v>
      </c>
      <c r="L689" s="180">
        <f>(L647/L612)*X80</f>
        <v>0</v>
      </c>
      <c r="M689" s="180">
        <f t="shared" si="25"/>
        <v>1759814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7122032.5</v>
      </c>
      <c r="D690" s="180">
        <f>(D615/D612)*Y76</f>
        <v>863683.46590594749</v>
      </c>
      <c r="E690" s="180">
        <f>(E623/E612)*SUM(C690:D690)</f>
        <v>972255.30651958578</v>
      </c>
      <c r="F690" s="180">
        <f>(F624/F612)*Y64</f>
        <v>45264.384534298137</v>
      </c>
      <c r="G690" s="180">
        <f>(G625/G612)*Y77</f>
        <v>0</v>
      </c>
      <c r="H690" s="180">
        <f>(H628/H612)*Y60</f>
        <v>136802.86433122886</v>
      </c>
      <c r="I690" s="180">
        <f>(I629/I612)*Y78</f>
        <v>184799.83410518843</v>
      </c>
      <c r="J690" s="180">
        <f>(J630/J612)*Y79</f>
        <v>47522.156855020548</v>
      </c>
      <c r="K690" s="180">
        <f>(K644/K612)*Y75</f>
        <v>1492850.0018162581</v>
      </c>
      <c r="L690" s="180">
        <f>(L647/L612)*Y80</f>
        <v>64634.754478231465</v>
      </c>
      <c r="M690" s="180">
        <f t="shared" si="25"/>
        <v>3807813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7259632.2200000007</v>
      </c>
      <c r="D691" s="180">
        <f>(D615/D612)*Z76</f>
        <v>0</v>
      </c>
      <c r="E691" s="180">
        <f>(E623/E612)*SUM(C691:D691)</f>
        <v>883855.1207443095</v>
      </c>
      <c r="F691" s="180">
        <f>(F624/F612)*Z64</f>
        <v>362686.30277016875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1406041.6803845318</v>
      </c>
      <c r="L691" s="180">
        <f>(L647/L612)*Z80</f>
        <v>0</v>
      </c>
      <c r="M691" s="180">
        <f t="shared" si="25"/>
        <v>2652583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959376.82</v>
      </c>
      <c r="D692" s="180">
        <f>(D615/D612)*AA76</f>
        <v>229095.57665099669</v>
      </c>
      <c r="E692" s="180">
        <f>(E623/E612)*SUM(C692:D692)</f>
        <v>144695.67903857882</v>
      </c>
      <c r="F692" s="180">
        <f>(F624/F612)*AA64</f>
        <v>21439.113358819297</v>
      </c>
      <c r="G692" s="180">
        <f>(G625/G612)*AA77</f>
        <v>0</v>
      </c>
      <c r="H692" s="180">
        <f>(H628/H612)*AA60</f>
        <v>12865.473134598325</v>
      </c>
      <c r="I692" s="180">
        <f>(I629/I612)*AA78</f>
        <v>49018.912866333623</v>
      </c>
      <c r="J692" s="180">
        <f>(J630/J612)*AA79</f>
        <v>9356.5077586046737</v>
      </c>
      <c r="K692" s="180">
        <f>(K644/K612)*AA75</f>
        <v>159198.77713152635</v>
      </c>
      <c r="L692" s="180">
        <f>(L647/L612)*AA80</f>
        <v>17883.133650103566</v>
      </c>
      <c r="M692" s="180">
        <f t="shared" si="25"/>
        <v>643553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4207757.67</v>
      </c>
      <c r="D693" s="180">
        <f>(D615/D612)*AB76</f>
        <v>254939.66565085703</v>
      </c>
      <c r="E693" s="180">
        <f>(E623/E612)*SUM(C693:D693)</f>
        <v>543330.26424952911</v>
      </c>
      <c r="F693" s="180">
        <f>(F624/F612)*AB64</f>
        <v>184093.34075348743</v>
      </c>
      <c r="G693" s="180">
        <f>(G625/G612)*AB77</f>
        <v>0</v>
      </c>
      <c r="H693" s="180">
        <f>(H628/H612)*AB60</f>
        <v>56822.506344475936</v>
      </c>
      <c r="I693" s="180">
        <f>(I629/I612)*AB78</f>
        <v>54548.697270350465</v>
      </c>
      <c r="J693" s="180">
        <f>(J630/J612)*AB79</f>
        <v>0</v>
      </c>
      <c r="K693" s="180">
        <f>(K644/K612)*AB75</f>
        <v>1381504.2556029945</v>
      </c>
      <c r="L693" s="180">
        <f>(L647/L612)*AB80</f>
        <v>0</v>
      </c>
      <c r="M693" s="180">
        <f t="shared" si="25"/>
        <v>2475239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1852455.19</v>
      </c>
      <c r="D694" s="180">
        <f>(D615/D612)*AC76</f>
        <v>173075.9870870536</v>
      </c>
      <c r="E694" s="180">
        <f>(E623/E612)*SUM(C694:D694)</f>
        <v>246606.99727508248</v>
      </c>
      <c r="F694" s="180">
        <f>(F624/F612)*AC64</f>
        <v>10699.826682929648</v>
      </c>
      <c r="G694" s="180">
        <f>(G625/G612)*AC77</f>
        <v>0</v>
      </c>
      <c r="H694" s="180">
        <f>(H628/H612)*AC60</f>
        <v>57894.629105692467</v>
      </c>
      <c r="I694" s="180">
        <f>(I629/I612)*AC78</f>
        <v>37032.564549246854</v>
      </c>
      <c r="J694" s="180">
        <f>(J630/J612)*AC79</f>
        <v>0</v>
      </c>
      <c r="K694" s="180">
        <f>(K644/K612)*AC75</f>
        <v>729502.99570124294</v>
      </c>
      <c r="L694" s="180">
        <f>(L647/L612)*AC80</f>
        <v>127.73666892931118</v>
      </c>
      <c r="M694" s="180">
        <f t="shared" si="25"/>
        <v>1254941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5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939590.59000000008</v>
      </c>
      <c r="D696" s="180">
        <f>(D615/D612)*AE76</f>
        <v>323736.91932925623</v>
      </c>
      <c r="E696" s="180">
        <f>(E623/E612)*SUM(C696:D696)</f>
        <v>153809.23639928107</v>
      </c>
      <c r="F696" s="180">
        <f>(F624/F612)*AE64</f>
        <v>16.079809718282664</v>
      </c>
      <c r="G696" s="180">
        <f>(G625/G612)*AE77</f>
        <v>0</v>
      </c>
      <c r="H696" s="180">
        <f>(H628/H612)*AE60</f>
        <v>30877.135523035977</v>
      </c>
      <c r="I696" s="180">
        <f>(I629/I612)*AE78</f>
        <v>69269.045139143884</v>
      </c>
      <c r="J696" s="180">
        <f>(J630/J612)*AE79</f>
        <v>5203.7898325287724</v>
      </c>
      <c r="K696" s="180">
        <f>(K644/K612)*AE75</f>
        <v>123147.476851623</v>
      </c>
      <c r="L696" s="180">
        <f>(L647/L612)*AE80</f>
        <v>18905.027001538056</v>
      </c>
      <c r="M696" s="180">
        <f t="shared" si="25"/>
        <v>724965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9453097.5099999998</v>
      </c>
      <c r="D698" s="180">
        <f>(D615/D612)*AG76</f>
        <v>451621.84576292272</v>
      </c>
      <c r="E698" s="180">
        <f>(E623/E612)*SUM(C698:D698)</f>
        <v>1205892.620566712</v>
      </c>
      <c r="F698" s="180">
        <f>(F624/F612)*AG64</f>
        <v>26769.302450162471</v>
      </c>
      <c r="G698" s="180">
        <f>(G625/G612)*AG77</f>
        <v>3044.2969281270348</v>
      </c>
      <c r="H698" s="180">
        <f>(H628/H612)*AG60</f>
        <v>193968.44995929411</v>
      </c>
      <c r="I698" s="180">
        <f>(I629/I612)*AG78</f>
        <v>96632.210143936711</v>
      </c>
      <c r="J698" s="180">
        <f>(J630/J612)*AG79</f>
        <v>51554.771664606997</v>
      </c>
      <c r="K698" s="180">
        <f>(K644/K612)*AG75</f>
        <v>1661459.1021097712</v>
      </c>
      <c r="L698" s="180">
        <f>(L647/L612)*AG80</f>
        <v>316403.72893790377</v>
      </c>
      <c r="M698" s="180">
        <f t="shared" si="25"/>
        <v>4007346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3080480.23</v>
      </c>
      <c r="D700" s="180">
        <f>(D615/D612)*AI76</f>
        <v>913494.69889450516</v>
      </c>
      <c r="E700" s="180">
        <f>(E623/E612)*SUM(C700:D700)</f>
        <v>486263.64064318914</v>
      </c>
      <c r="F700" s="180">
        <f>(F624/F612)*AI64</f>
        <v>29981.82357437463</v>
      </c>
      <c r="G700" s="180">
        <f>(G625/G612)*AI77</f>
        <v>9457.283080001198</v>
      </c>
      <c r="H700" s="180">
        <f>(H628/H612)*AI60</f>
        <v>84611.928315208323</v>
      </c>
      <c r="I700" s="180">
        <f>(I629/I612)*AI78</f>
        <v>195457.79845929908</v>
      </c>
      <c r="J700" s="180">
        <f>(J630/J612)*AI79</f>
        <v>57479.18019607247</v>
      </c>
      <c r="K700" s="180">
        <f>(K644/K612)*AI75</f>
        <v>366075.37197619403</v>
      </c>
      <c r="L700" s="180">
        <f>(L647/L612)*AI80</f>
        <v>193010.1067521892</v>
      </c>
      <c r="M700" s="180">
        <f t="shared" si="25"/>
        <v>2335832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1778483.7899999998</v>
      </c>
      <c r="D701" s="180">
        <f>(D615/D612)*AJ76</f>
        <v>329006.80339906015</v>
      </c>
      <c r="E701" s="180">
        <f>(E623/E612)*SUM(C701:D701)</f>
        <v>256585.49861031698</v>
      </c>
      <c r="F701" s="180">
        <f>(F624/F612)*AJ64</f>
        <v>6.9625875890164899</v>
      </c>
      <c r="G701" s="180">
        <f>(G625/G612)*AJ77</f>
        <v>0</v>
      </c>
      <c r="H701" s="180">
        <f>(H628/H612)*AJ60</f>
        <v>51890.741642879919</v>
      </c>
      <c r="I701" s="180">
        <f>(I629/I612)*AJ78</f>
        <v>70396.626875158501</v>
      </c>
      <c r="J701" s="180">
        <f>(J630/J612)*AJ79</f>
        <v>11597.754051060345</v>
      </c>
      <c r="K701" s="180">
        <f>(K644/K612)*AJ75</f>
        <v>307440.00273076881</v>
      </c>
      <c r="L701" s="180">
        <f>(L647/L612)*AJ80</f>
        <v>162864.25288487176</v>
      </c>
      <c r="M701" s="180">
        <f t="shared" si="25"/>
        <v>1189789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5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155782.21000000002</v>
      </c>
      <c r="D703" s="180">
        <f>(D615/D612)*AL76</f>
        <v>7219.0192737040079</v>
      </c>
      <c r="E703" s="180">
        <f>(E623/E612)*SUM(C703:D703)</f>
        <v>19845.285107456937</v>
      </c>
      <c r="F703" s="180">
        <f>(F624/F612)*AL64</f>
        <v>17.247569672031162</v>
      </c>
      <c r="G703" s="180">
        <f>(G625/G612)*AL77</f>
        <v>0</v>
      </c>
      <c r="H703" s="180">
        <f>(H628/H612)*AL60</f>
        <v>0</v>
      </c>
      <c r="I703" s="180">
        <f>(I629/I612)*AL78</f>
        <v>1544.6325150885025</v>
      </c>
      <c r="J703" s="180">
        <f>(J630/J612)*AL79</f>
        <v>0</v>
      </c>
      <c r="K703" s="180">
        <f>(K644/K612)*AL75</f>
        <v>24438.279707751863</v>
      </c>
      <c r="L703" s="180">
        <f>(L647/L612)*AL80</f>
        <v>0</v>
      </c>
      <c r="M703" s="180">
        <f t="shared" si="25"/>
        <v>53064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5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35858127.950000003</v>
      </c>
      <c r="D707" s="180">
        <f>(D615/D612)*AP76</f>
        <v>3854487.0559051493</v>
      </c>
      <c r="E707" s="180">
        <f>(E623/E612)*SUM(C707:D707)</f>
        <v>4834982.9671008559</v>
      </c>
      <c r="F707" s="180">
        <f>(F624/F612)*AP64</f>
        <v>45813.813343961789</v>
      </c>
      <c r="G707" s="180">
        <f>(G625/G612)*AP77</f>
        <v>0</v>
      </c>
      <c r="H707" s="180">
        <f>(H628/H612)*AP60</f>
        <v>826735.30362928845</v>
      </c>
      <c r="I707" s="180">
        <f>(I629/I612)*AP78</f>
        <v>824733.36194377951</v>
      </c>
      <c r="J707" s="180">
        <f>(J630/J612)*AP79</f>
        <v>0</v>
      </c>
      <c r="K707" s="180">
        <f>(K644/K612)*AP75</f>
        <v>2447069.5337001164</v>
      </c>
      <c r="L707" s="180">
        <f>(L647/L612)*AP80</f>
        <v>13540.086906506986</v>
      </c>
      <c r="M707" s="180">
        <f t="shared" si="25"/>
        <v>12847362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126548.88</v>
      </c>
      <c r="D708" s="180">
        <f>(D615/D612)*AQ76</f>
        <v>0</v>
      </c>
      <c r="E708" s="180">
        <f>(E623/E612)*SUM(C708:D708)</f>
        <v>15407.23720194976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15407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1373927.5100000005</v>
      </c>
      <c r="D709" s="180">
        <f>(D615/D612)*AR76</f>
        <v>153007.11350615646</v>
      </c>
      <c r="E709" s="180">
        <f>(E623/E612)*SUM(C709:D709)</f>
        <v>185903.21728828584</v>
      </c>
      <c r="F709" s="180">
        <f>(F624/F612)*AR64</f>
        <v>1567.9213588663422</v>
      </c>
      <c r="G709" s="180">
        <f>(G625/G612)*AR77</f>
        <v>0</v>
      </c>
      <c r="H709" s="180">
        <f>(H628/H612)*AR60</f>
        <v>0</v>
      </c>
      <c r="I709" s="180">
        <f>(I629/I612)*AR78</f>
        <v>32738.486157300809</v>
      </c>
      <c r="J709" s="180">
        <f>(J630/J612)*AR79</f>
        <v>0</v>
      </c>
      <c r="K709" s="180">
        <f>(K644/K612)*AR75</f>
        <v>44959.337704979866</v>
      </c>
      <c r="L709" s="180">
        <f>(L647/L612)*AR80</f>
        <v>75747.84467508152</v>
      </c>
      <c r="M709" s="180">
        <f t="shared" si="25"/>
        <v>493924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5"/>
        <v>0</v>
      </c>
      <c r="N713" s="199" t="s">
        <v>741</v>
      </c>
    </row>
    <row r="715" spans="1:15" ht="12.6" customHeight="1" x14ac:dyDescent="0.25">
      <c r="C715" s="180">
        <f>SUM(C614:C647)+SUM(C668:C713)</f>
        <v>172760002.54000002</v>
      </c>
      <c r="D715" s="180">
        <f>SUM(D616:D647)+SUM(D668:D713)</f>
        <v>19901861.569999997</v>
      </c>
      <c r="E715" s="180">
        <f>SUM(E624:E647)+SUM(E668:E713)</f>
        <v>18750543.411641467</v>
      </c>
      <c r="F715" s="180">
        <f>SUM(F625:F648)+SUM(F668:F713)</f>
        <v>1421532.1243335677</v>
      </c>
      <c r="G715" s="180">
        <f>SUM(G626:G647)+SUM(G668:G713)</f>
        <v>2081893.6084693666</v>
      </c>
      <c r="H715" s="180">
        <f>SUM(H629:H647)+SUM(H668:H713)</f>
        <v>3082738.9026915538</v>
      </c>
      <c r="I715" s="180">
        <f>SUM(I630:I647)+SUM(I668:I713)</f>
        <v>2811323.8554119798</v>
      </c>
      <c r="J715" s="180">
        <f>SUM(J631:J647)+SUM(J668:J713)</f>
        <v>442791.01290333102</v>
      </c>
      <c r="K715" s="180">
        <f>SUM(K668:K713)</f>
        <v>18468663.306830864</v>
      </c>
      <c r="L715" s="180">
        <f>SUM(L668:L713)</f>
        <v>2651174.563627854</v>
      </c>
      <c r="M715" s="180">
        <f>SUM(M668:M713)</f>
        <v>55626568</v>
      </c>
      <c r="N715" s="198" t="s">
        <v>742</v>
      </c>
    </row>
    <row r="716" spans="1:15" ht="12.6" customHeight="1" x14ac:dyDescent="0.25">
      <c r="C716" s="180">
        <f>CE71</f>
        <v>172760002.53999999</v>
      </c>
      <c r="D716" s="180">
        <f>D615</f>
        <v>19901861.57</v>
      </c>
      <c r="E716" s="180">
        <f>E623</f>
        <v>18750543.411641467</v>
      </c>
      <c r="F716" s="180">
        <f>F624</f>
        <v>1421532.1243335679</v>
      </c>
      <c r="G716" s="180">
        <f>G625</f>
        <v>2081893.6084693666</v>
      </c>
      <c r="H716" s="180">
        <f>H628</f>
        <v>3082738.9026915543</v>
      </c>
      <c r="I716" s="180">
        <f>I629</f>
        <v>2811323.8554119794</v>
      </c>
      <c r="J716" s="180">
        <f>J630</f>
        <v>442791.01290333102</v>
      </c>
      <c r="K716" s="180">
        <f>K644</f>
        <v>18468663.306830864</v>
      </c>
      <c r="L716" s="180">
        <f>L647</f>
        <v>2651174.5636278535</v>
      </c>
      <c r="M716" s="180">
        <f>C648</f>
        <v>55626567.120000005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M44"/>
  <sheetViews>
    <sheetView showGridLines="0" zoomScale="75" workbookViewId="0">
      <selection activeCell="B40" sqref="B4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RCCH Trios Health LLC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3730 Plaza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3730 Plaza Way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Kennewick , WA 99338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M40"/>
  <sheetViews>
    <sheetView showGridLines="0" zoomScale="75" workbookViewId="0">
      <selection activeCell="L45" sqref="L4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H-39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RCCH Trios Health LLC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John Solheim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Charlie Pearce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509-221-7000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509-221-5892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5284</v>
      </c>
      <c r="G23" s="21">
        <f>data!D111</f>
        <v>17742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1391</v>
      </c>
      <c r="G26" s="13">
        <f>data!D114</f>
        <v>3358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7</v>
      </c>
      <c r="E33" s="49" t="s">
        <v>1047</v>
      </c>
      <c r="F33" s="24"/>
      <c r="G33" s="21">
        <f>data!C126</f>
        <v>10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111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B35" sqref="B35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RCCH Trios Health LLC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2445</v>
      </c>
      <c r="C7" s="48">
        <f>data!B139</f>
        <v>9812</v>
      </c>
      <c r="D7" s="48">
        <f>data!B140</f>
        <v>21219</v>
      </c>
      <c r="E7" s="48">
        <f>data!B141</f>
        <v>93894575.840000004</v>
      </c>
      <c r="F7" s="48">
        <f>data!B142</f>
        <v>108026377.11</v>
      </c>
      <c r="G7" s="48">
        <f>data!B141+data!B142</f>
        <v>201920952.94999999</v>
      </c>
    </row>
    <row r="8" spans="1:13" ht="20.100000000000001" customHeight="1" x14ac:dyDescent="0.25">
      <c r="A8" s="23" t="s">
        <v>297</v>
      </c>
      <c r="B8" s="48">
        <f>data!C138</f>
        <v>1389</v>
      </c>
      <c r="C8" s="48">
        <f>data!C139</f>
        <v>4062</v>
      </c>
      <c r="D8" s="48">
        <f>data!C140</f>
        <v>20625</v>
      </c>
      <c r="E8" s="48">
        <f>data!C141</f>
        <v>37125970.210000001</v>
      </c>
      <c r="F8" s="48">
        <f>data!C142</f>
        <v>64740402.869999997</v>
      </c>
      <c r="G8" s="48">
        <f>data!C141+data!C142</f>
        <v>101866373.08</v>
      </c>
    </row>
    <row r="9" spans="1:13" ht="20.100000000000001" customHeight="1" x14ac:dyDescent="0.25">
      <c r="A9" s="23" t="s">
        <v>1058</v>
      </c>
      <c r="B9" s="48">
        <f>data!D138</f>
        <v>1450</v>
      </c>
      <c r="C9" s="48">
        <f>data!D139</f>
        <v>3868</v>
      </c>
      <c r="D9" s="48">
        <f>data!D140</f>
        <v>23992</v>
      </c>
      <c r="E9" s="48">
        <f>data!D141</f>
        <v>45736842.799999997</v>
      </c>
      <c r="F9" s="48">
        <f>data!D142</f>
        <v>115967018.98</v>
      </c>
      <c r="G9" s="48">
        <f>data!D141+data!D142</f>
        <v>161703861.78</v>
      </c>
    </row>
    <row r="10" spans="1:13" ht="20.100000000000001" customHeight="1" x14ac:dyDescent="0.25">
      <c r="A10" s="111" t="s">
        <v>203</v>
      </c>
      <c r="B10" s="48">
        <f>data!E138</f>
        <v>5284</v>
      </c>
      <c r="C10" s="48">
        <f>data!E139</f>
        <v>17742</v>
      </c>
      <c r="D10" s="48">
        <f>data!E140</f>
        <v>65836</v>
      </c>
      <c r="E10" s="48">
        <f>data!E141</f>
        <v>176757388.85000002</v>
      </c>
      <c r="F10" s="48">
        <f>data!E142</f>
        <v>288733798.95999998</v>
      </c>
      <c r="G10" s="48">
        <f>data!E141+data!E142</f>
        <v>465491187.81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9" zoomScale="75" workbookViewId="0">
      <selection activeCell="B35" sqref="B35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RCCH Trios Health LLC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4473436.28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415142.94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836620.34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8169643.5899999999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570240.61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2156264.9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360396.41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16981745.07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442389.3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1573840.79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2016230.09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1830227.42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245234.59999999998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2075462.02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81367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3556748.54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3638115.54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11136797.26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11136797.26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3" zoomScale="75" workbookViewId="0">
      <selection activeCell="B35" sqref="B35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RCCH Trios Health LLC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1580987</v>
      </c>
      <c r="D7" s="21">
        <f>data!C195</f>
        <v>0</v>
      </c>
      <c r="E7" s="21">
        <f>data!D195</f>
        <v>1355853.31</v>
      </c>
      <c r="F7" s="21">
        <f>data!E195</f>
        <v>225133.68999999994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2501845</v>
      </c>
      <c r="D8" s="21">
        <f>data!C196</f>
        <v>0</v>
      </c>
      <c r="E8" s="21">
        <f>data!D196</f>
        <v>2501845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209077992</v>
      </c>
      <c r="D9" s="21">
        <f>data!C197</f>
        <v>1189457.27</v>
      </c>
      <c r="E9" s="21">
        <f>data!D197</f>
        <v>209029099.08000001</v>
      </c>
      <c r="F9" s="21">
        <f>data!E197</f>
        <v>1238350.1899999976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79605301</v>
      </c>
      <c r="D12" s="21">
        <f>data!C200</f>
        <v>16893836.800000001</v>
      </c>
      <c r="E12" s="21">
        <f>data!D200</f>
        <v>79755199.159999996</v>
      </c>
      <c r="F12" s="21">
        <f>data!E200</f>
        <v>16743938.640000001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17396197</v>
      </c>
      <c r="D14" s="21">
        <f>data!C202</f>
        <v>46587.93</v>
      </c>
      <c r="E14" s="21">
        <f>data!D202</f>
        <v>17350321.050000001</v>
      </c>
      <c r="F14" s="21">
        <f>data!E202</f>
        <v>92463.879999998957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704454</v>
      </c>
      <c r="D15" s="21">
        <f>data!C203</f>
        <v>423431</v>
      </c>
      <c r="E15" s="21">
        <f>data!D203</f>
        <v>704454</v>
      </c>
      <c r="F15" s="21">
        <f>data!E203</f>
        <v>423431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310866776</v>
      </c>
      <c r="D16" s="21">
        <f>data!C204</f>
        <v>18553313</v>
      </c>
      <c r="E16" s="21">
        <f>data!D204</f>
        <v>310696771.60000002</v>
      </c>
      <c r="F16" s="21">
        <f>data!E204</f>
        <v>18723317.399999999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2473093</v>
      </c>
      <c r="D24" s="21">
        <f>data!C209</f>
        <v>10492.08</v>
      </c>
      <c r="E24" s="21">
        <f>data!D209</f>
        <v>2483585.38</v>
      </c>
      <c r="F24" s="21">
        <f>data!E209</f>
        <v>-0.29999999981373549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61533500</v>
      </c>
      <c r="D25" s="21">
        <f>data!C210</f>
        <v>4878699.43</v>
      </c>
      <c r="E25" s="21">
        <f>data!D210</f>
        <v>65412199.43</v>
      </c>
      <c r="F25" s="21">
        <f>data!E210</f>
        <v>1000000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62623268</v>
      </c>
      <c r="D28" s="21">
        <f>data!C213</f>
        <v>4446147.1500000004</v>
      </c>
      <c r="E28" s="21">
        <f>data!D213</f>
        <v>65303989.969999999</v>
      </c>
      <c r="F28" s="21">
        <f>data!E213</f>
        <v>1765425.1799999997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4311099</v>
      </c>
      <c r="D30" s="21">
        <f>data!C215</f>
        <v>619610.96000000008</v>
      </c>
      <c r="E30" s="21">
        <f>data!D215</f>
        <v>4930709.96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130940960</v>
      </c>
      <c r="D32" s="21">
        <f>data!C217</f>
        <v>9954949.620000001</v>
      </c>
      <c r="E32" s="21">
        <f>data!D217</f>
        <v>138130484.74000001</v>
      </c>
      <c r="F32" s="21">
        <f>data!E217</f>
        <v>2765424.88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B35" sqref="B35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RCCH Trios Health LLC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9655700.4499999993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143727735.25999999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85726930.25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6438887.8600000003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1653412.34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69245557.900000006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306792523.61000001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1119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638665.26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945887.51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1584552.77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3205479.11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321238255.94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B35" sqref="B3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RCCH Trios Health LLC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945549.73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69941561.580000013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50069160.850000009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1689999.99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1540943.4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3309277.12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1392442.23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28750613.20000001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727545.89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9170.83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736716.72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225133.5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1238350.3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16743939.440000001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92463.51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423430.52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18723317.270000003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2765425.12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15957892.150000002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6788838.5599999996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300000.02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7088838.5800000001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-18210949.510000002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-18210949.510000002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34323111.140000001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RCCH Trios Health LLC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9684447.5299999993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5943381.1299999999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985874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16613702.66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576089.75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576089.75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493642.82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-16408.259999999998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20091742.649999999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20568977.209999997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985874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19583103.209999997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25861564.57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-28311349.039999999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-2449784.4699999988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34323111.149999999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RCCH Trios Health LLC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176757388.65000001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288733798.95999998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465491187.61000001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9655700.4499999993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306792523.61000001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1584552.77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3205479.11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321238255.94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144252931.67000002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4760725.1500000004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806525.79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5567250.9400000004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149820182.61000001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74726927.060000002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16981745.07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11913985.07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28514111.609999999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2238041.1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13330760.050000001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9954951.120000001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2016230.0899999999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2075462.02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3638115.54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11136797.26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993606.01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177520732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-27700549.389999986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-610799.31999999995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-28311348.709999986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-28311348.709999986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58" zoomScale="65" workbookViewId="0">
      <selection activeCell="B35" sqref="B35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RCCH Trios Health LLC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2703</v>
      </c>
      <c r="D9" s="14">
        <f>data!D59</f>
        <v>0</v>
      </c>
      <c r="E9" s="14">
        <f>data!E59</f>
        <v>11996</v>
      </c>
      <c r="F9" s="14">
        <f>data!F59</f>
        <v>3043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28.599999999999998</v>
      </c>
      <c r="D10" s="26">
        <f>data!D60</f>
        <v>0</v>
      </c>
      <c r="E10" s="26">
        <f>data!E60</f>
        <v>61.25</v>
      </c>
      <c r="F10" s="26">
        <f>data!F60</f>
        <v>46.48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2363465.7799999998</v>
      </c>
      <c r="D11" s="14">
        <f>data!D61</f>
        <v>1244.23</v>
      </c>
      <c r="E11" s="14">
        <f>data!E61</f>
        <v>4913621.79</v>
      </c>
      <c r="F11" s="14">
        <f>data!F61</f>
        <v>4363464.29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537099</v>
      </c>
      <c r="D12" s="14">
        <f>data!D62</f>
        <v>283</v>
      </c>
      <c r="E12" s="14">
        <f>data!E62</f>
        <v>1116624</v>
      </c>
      <c r="F12" s="14">
        <f>data!F62</f>
        <v>991600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68622.320000000007</v>
      </c>
      <c r="D13" s="14">
        <f>data!D63</f>
        <v>0</v>
      </c>
      <c r="E13" s="14">
        <f>data!E63</f>
        <v>59231</v>
      </c>
      <c r="F13" s="14">
        <f>data!F63</f>
        <v>229539.37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329412.56</v>
      </c>
      <c r="D14" s="14">
        <f>data!D64</f>
        <v>0</v>
      </c>
      <c r="E14" s="14">
        <f>data!E64</f>
        <v>541455.08000000007</v>
      </c>
      <c r="F14" s="14">
        <f>data!F64</f>
        <v>511534.71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759</v>
      </c>
      <c r="D15" s="14">
        <f>data!D65</f>
        <v>0</v>
      </c>
      <c r="E15" s="14">
        <f>data!E65</f>
        <v>759</v>
      </c>
      <c r="F15" s="14">
        <f>data!F65</f>
        <v>1518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9917.3100000000013</v>
      </c>
      <c r="D16" s="14">
        <f>data!D66</f>
        <v>0</v>
      </c>
      <c r="E16" s="14">
        <f>data!E66</f>
        <v>507042.62</v>
      </c>
      <c r="F16" s="14">
        <f>data!F66</f>
        <v>7212.87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136032</v>
      </c>
      <c r="D17" s="14">
        <f>data!D67</f>
        <v>0</v>
      </c>
      <c r="E17" s="14">
        <f>data!E67</f>
        <v>549729</v>
      </c>
      <c r="F17" s="14">
        <f>data!F67</f>
        <v>218160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3573.9</v>
      </c>
      <c r="D18" s="14">
        <f>data!D68</f>
        <v>0</v>
      </c>
      <c r="E18" s="14">
        <f>data!E68</f>
        <v>15358.28</v>
      </c>
      <c r="F18" s="14">
        <f>data!F68</f>
        <v>13578.17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2326</v>
      </c>
      <c r="D19" s="14">
        <f>data!D69</f>
        <v>0</v>
      </c>
      <c r="E19" s="14">
        <f>data!E69</f>
        <v>979.69</v>
      </c>
      <c r="F19" s="14">
        <f>data!F69</f>
        <v>8111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-9060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3451207.8699999996</v>
      </c>
      <c r="D21" s="14">
        <f>data!D71</f>
        <v>1527.23</v>
      </c>
      <c r="E21" s="14">
        <f>data!E71</f>
        <v>7704800.4600000009</v>
      </c>
      <c r="F21" s="14">
        <f>data!F71</f>
        <v>6335658.4100000001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1603815</v>
      </c>
      <c r="D23" s="48">
        <f>+data!M669</f>
        <v>106220</v>
      </c>
      <c r="E23" s="48">
        <f>+data!M670</f>
        <v>4530436</v>
      </c>
      <c r="F23" s="48">
        <f>+data!M671</f>
        <v>2901798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7821554.29</v>
      </c>
      <c r="D24" s="14">
        <f>data!D73</f>
        <v>0</v>
      </c>
      <c r="E24" s="14">
        <f>data!E73</f>
        <v>18799679.890000001</v>
      </c>
      <c r="F24" s="14">
        <f>data!F73</f>
        <v>15383659.67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341826</v>
      </c>
      <c r="D25" s="14">
        <f>data!D74</f>
        <v>2672511.2200000002</v>
      </c>
      <c r="E25" s="14">
        <f>data!E74</f>
        <v>0</v>
      </c>
      <c r="F25" s="14">
        <f>data!F74</f>
        <v>1402941.31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8163380.29</v>
      </c>
      <c r="D26" s="14">
        <f>data!D75</f>
        <v>2672511.2200000002</v>
      </c>
      <c r="E26" s="14">
        <f>data!E75</f>
        <v>18799679.890000001</v>
      </c>
      <c r="F26" s="14">
        <f>data!F75</f>
        <v>16786600.98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8232</v>
      </c>
      <c r="D28" s="14">
        <f>data!D76</f>
        <v>0</v>
      </c>
      <c r="E28" s="14">
        <f>data!E76</f>
        <v>33267</v>
      </c>
      <c r="F28" s="14">
        <f>data!F76</f>
        <v>13202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5974</v>
      </c>
      <c r="D29" s="14">
        <f>data!D77</f>
        <v>0</v>
      </c>
      <c r="E29" s="14">
        <f>data!E77</f>
        <v>40974</v>
      </c>
      <c r="F29" s="14">
        <f>data!F77</f>
        <v>8619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1122.4961745738487</v>
      </c>
      <c r="D30" s="14">
        <f>data!D78</f>
        <v>0</v>
      </c>
      <c r="E30" s="14">
        <f>data!E78</f>
        <v>4536.2099416360816</v>
      </c>
      <c r="F30" s="14">
        <f>data!F78</f>
        <v>1800.1936949373119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68472</v>
      </c>
      <c r="D31" s="14">
        <f>data!D79</f>
        <v>0</v>
      </c>
      <c r="E31" s="14">
        <f>data!E79</f>
        <v>134146</v>
      </c>
      <c r="F31" s="14">
        <f>data!F79</f>
        <v>77726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18.79</v>
      </c>
      <c r="D32" s="84">
        <f>data!D80</f>
        <v>0</v>
      </c>
      <c r="E32" s="84">
        <f>data!E80</f>
        <v>47.46</v>
      </c>
      <c r="F32" s="84">
        <f>data!F80</f>
        <v>38.870000000000005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RCCH Trios Health LLC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3358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287949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12.9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1171513.1100000001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1702634.96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266227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386925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155217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126836.38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7204737.96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375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472105.79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55953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371129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1178.6199999999999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6438.46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782.93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1778083.0400000003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10143971.17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778133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4826354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3667159.27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22230476.699999999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23954075.129999999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3667159.27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46184551.829999998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3386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22459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637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461.70700280697912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3062.4564607330017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39174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42400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12.58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13.43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RCCH Trios Health LLC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130439</v>
      </c>
      <c r="D73" s="48">
        <f>data!R59</f>
        <v>0</v>
      </c>
      <c r="E73" s="212"/>
      <c r="F73" s="212"/>
      <c r="G73" s="14">
        <f>data!U59</f>
        <v>339878</v>
      </c>
      <c r="H73" s="14">
        <f>data!V59</f>
        <v>466</v>
      </c>
      <c r="I73" s="14">
        <f>data!W59</f>
        <v>2645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</v>
      </c>
      <c r="D74" s="26">
        <f>data!R60</f>
        <v>1</v>
      </c>
      <c r="E74" s="26">
        <f>data!S60</f>
        <v>7</v>
      </c>
      <c r="F74" s="26">
        <f>data!T60</f>
        <v>0</v>
      </c>
      <c r="G74" s="26">
        <f>data!U60</f>
        <v>27.75</v>
      </c>
      <c r="H74" s="26">
        <f>data!V60</f>
        <v>1</v>
      </c>
      <c r="I74" s="26">
        <f>data!W60</f>
        <v>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579607.69999999995</v>
      </c>
      <c r="D75" s="14">
        <f>data!R61</f>
        <v>128814.13</v>
      </c>
      <c r="E75" s="14">
        <f>data!S61</f>
        <v>336337.94</v>
      </c>
      <c r="F75" s="14">
        <f>data!T61</f>
        <v>1257.52</v>
      </c>
      <c r="G75" s="14">
        <f>data!U61</f>
        <v>1573959.8800000001</v>
      </c>
      <c r="H75" s="14">
        <f>data!V61</f>
        <v>56103.51</v>
      </c>
      <c r="I75" s="14">
        <f>data!W61</f>
        <v>307678.99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131716</v>
      </c>
      <c r="D76" s="14">
        <f>data!R62</f>
        <v>29273</v>
      </c>
      <c r="E76" s="14">
        <f>data!S62</f>
        <v>76433</v>
      </c>
      <c r="F76" s="14">
        <f>data!T62</f>
        <v>286</v>
      </c>
      <c r="G76" s="14">
        <f>data!U62</f>
        <v>357683</v>
      </c>
      <c r="H76" s="14">
        <f>data!V62</f>
        <v>12750</v>
      </c>
      <c r="I76" s="14">
        <f>data!W62</f>
        <v>69920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1692831</v>
      </c>
      <c r="E77" s="14">
        <f>data!S63</f>
        <v>60950</v>
      </c>
      <c r="F77" s="14">
        <f>data!T63</f>
        <v>0</v>
      </c>
      <c r="G77" s="14">
        <f>data!U63</f>
        <v>655765.92000000004</v>
      </c>
      <c r="H77" s="14">
        <f>data!V63</f>
        <v>26600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21322.16</v>
      </c>
      <c r="D78" s="14">
        <f>data!R64</f>
        <v>306223.53000000003</v>
      </c>
      <c r="E78" s="14">
        <f>data!S64</f>
        <v>723659.65</v>
      </c>
      <c r="F78" s="14">
        <f>data!T64</f>
        <v>885153.35</v>
      </c>
      <c r="G78" s="14">
        <f>data!U64</f>
        <v>1830222.87</v>
      </c>
      <c r="H78" s="14">
        <f>data!V64</f>
        <v>959.82</v>
      </c>
      <c r="I78" s="14">
        <f>data!W64</f>
        <v>6873.6100000000006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481.77</v>
      </c>
      <c r="D80" s="14">
        <f>data!R66</f>
        <v>569.45000000000005</v>
      </c>
      <c r="E80" s="14">
        <f>data!S66</f>
        <v>75133.149999999994</v>
      </c>
      <c r="F80" s="14">
        <f>data!T66</f>
        <v>11932</v>
      </c>
      <c r="G80" s="14">
        <f>data!U66</f>
        <v>1295792.79</v>
      </c>
      <c r="H80" s="14">
        <f>data!V66</f>
        <v>5241</v>
      </c>
      <c r="I80" s="14">
        <f>data!W66</f>
        <v>282814.12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55523</v>
      </c>
      <c r="D81" s="14">
        <f>data!R67</f>
        <v>10344</v>
      </c>
      <c r="E81" s="14">
        <f>data!S67</f>
        <v>80393</v>
      </c>
      <c r="F81" s="14">
        <f>data!T67</f>
        <v>0</v>
      </c>
      <c r="G81" s="14">
        <f>data!U67</f>
        <v>256497</v>
      </c>
      <c r="H81" s="14">
        <f>data!V67</f>
        <v>4511</v>
      </c>
      <c r="I81" s="14">
        <f>data!W67</f>
        <v>105279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46.62</v>
      </c>
      <c r="D82" s="14">
        <f>data!R68</f>
        <v>0</v>
      </c>
      <c r="E82" s="14">
        <f>data!S68</f>
        <v>5791.75</v>
      </c>
      <c r="F82" s="14">
        <f>data!T68</f>
        <v>0</v>
      </c>
      <c r="G82" s="14">
        <f>data!U68</f>
        <v>152472.49000000002</v>
      </c>
      <c r="H82" s="14">
        <f>data!V68</f>
        <v>0</v>
      </c>
      <c r="I82" s="14">
        <f>data!W68</f>
        <v>179.34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178</v>
      </c>
      <c r="D83" s="14">
        <f>data!R69</f>
        <v>286.39</v>
      </c>
      <c r="E83" s="14">
        <f>data!S69</f>
        <v>13166.34</v>
      </c>
      <c r="F83" s="14">
        <f>data!T69</f>
        <v>0</v>
      </c>
      <c r="G83" s="14">
        <f>data!U69</f>
        <v>346.4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-110613.75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788875.25</v>
      </c>
      <c r="D85" s="14">
        <f>data!R71</f>
        <v>2168341.5000000005</v>
      </c>
      <c r="E85" s="14">
        <f>data!S71</f>
        <v>1371864.83</v>
      </c>
      <c r="F85" s="14">
        <f>data!T71</f>
        <v>898628.87</v>
      </c>
      <c r="G85" s="14">
        <f>data!U71</f>
        <v>6012126.6000000006</v>
      </c>
      <c r="H85" s="14">
        <f>data!V71</f>
        <v>106165.33000000002</v>
      </c>
      <c r="I85" s="14">
        <f>data!W71</f>
        <v>772745.05999999994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498038</v>
      </c>
      <c r="D87" s="48">
        <f>+data!M683</f>
        <v>629482</v>
      </c>
      <c r="E87" s="48">
        <f>+data!M684</f>
        <v>832136</v>
      </c>
      <c r="F87" s="48">
        <f>+data!M685</f>
        <v>529609</v>
      </c>
      <c r="G87" s="48">
        <f>+data!M686</f>
        <v>3326562</v>
      </c>
      <c r="H87" s="48">
        <f>+data!M687</f>
        <v>47536</v>
      </c>
      <c r="I87" s="48">
        <f>+data!M688</f>
        <v>754817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1072854</v>
      </c>
      <c r="D88" s="14">
        <f>data!R73</f>
        <v>2940982</v>
      </c>
      <c r="E88" s="14">
        <f>data!S73</f>
        <v>4400194.9099999992</v>
      </c>
      <c r="F88" s="14">
        <f>data!T73</f>
        <v>4057133</v>
      </c>
      <c r="G88" s="14">
        <f>data!U73</f>
        <v>21991144.810000002</v>
      </c>
      <c r="H88" s="14">
        <f>data!V73</f>
        <v>209105</v>
      </c>
      <c r="I88" s="14">
        <f>data!W73</f>
        <v>1320882.8899999999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1802415</v>
      </c>
      <c r="D89" s="14">
        <f>data!R74</f>
        <v>4691279</v>
      </c>
      <c r="E89" s="14">
        <f>data!S74</f>
        <v>4544260.22</v>
      </c>
      <c r="F89" s="14">
        <f>data!T74</f>
        <v>5419011.7000000002</v>
      </c>
      <c r="G89" s="14">
        <f>data!U74</f>
        <v>19237474.800000001</v>
      </c>
      <c r="H89" s="14">
        <f>data!V74</f>
        <v>219008</v>
      </c>
      <c r="I89" s="14">
        <f>data!W74</f>
        <v>7224204.1799999997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2875269</v>
      </c>
      <c r="D90" s="14">
        <f>data!R75</f>
        <v>7632261</v>
      </c>
      <c r="E90" s="14">
        <f>data!S75</f>
        <v>8944455.129999999</v>
      </c>
      <c r="F90" s="14">
        <f>data!T75</f>
        <v>9476144.6999999993</v>
      </c>
      <c r="G90" s="14">
        <f>data!U75</f>
        <v>41228619.609999999</v>
      </c>
      <c r="H90" s="14">
        <f>data!V75</f>
        <v>428113</v>
      </c>
      <c r="I90" s="14">
        <f>data!W75</f>
        <v>8545087.0700000003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3360</v>
      </c>
      <c r="D92" s="14">
        <f>data!R76</f>
        <v>626</v>
      </c>
      <c r="E92" s="14">
        <f>data!S76</f>
        <v>4865</v>
      </c>
      <c r="F92" s="14">
        <f>data!T76</f>
        <v>0</v>
      </c>
      <c r="G92" s="14">
        <f>data!U76</f>
        <v>15522</v>
      </c>
      <c r="H92" s="14">
        <f>data!V76</f>
        <v>273</v>
      </c>
      <c r="I92" s="14">
        <f>data!W76</f>
        <v>6371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458.16170390769338</v>
      </c>
      <c r="D94" s="14">
        <f>data!R78</f>
        <v>85.359888882802395</v>
      </c>
      <c r="E94" s="14">
        <f>data!S78</f>
        <v>663.37996711634776</v>
      </c>
      <c r="F94" s="14">
        <f>data!T78</f>
        <v>0</v>
      </c>
      <c r="G94" s="14">
        <f>data!U78</f>
        <v>2116.5434428735766</v>
      </c>
      <c r="H94" s="14">
        <f>data!V78</f>
        <v>37.225638442500085</v>
      </c>
      <c r="I94" s="14">
        <f>data!W78</f>
        <v>868.7345879749746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12495</v>
      </c>
      <c r="F95" s="14">
        <f>data!T79</f>
        <v>0</v>
      </c>
      <c r="G95" s="14">
        <f>data!U79</f>
        <v>0</v>
      </c>
      <c r="H95" s="14">
        <f>data!V79</f>
        <v>186</v>
      </c>
      <c r="I95" s="14">
        <f>data!W79</f>
        <v>1962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7.76</v>
      </c>
      <c r="D96" s="84">
        <f>data!R80</f>
        <v>1.01</v>
      </c>
      <c r="E96" s="84">
        <f>data!S80</f>
        <v>0.08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RCCH Trios Health LLC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11519</v>
      </c>
      <c r="D105" s="14">
        <f>data!Y59</f>
        <v>51196</v>
      </c>
      <c r="E105" s="14">
        <f>data!Z59</f>
        <v>468114</v>
      </c>
      <c r="F105" s="14">
        <f>data!AA59</f>
        <v>1847</v>
      </c>
      <c r="G105" s="212"/>
      <c r="H105" s="14">
        <f>data!AC59</f>
        <v>63081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</v>
      </c>
      <c r="D106" s="26">
        <f>data!Y60</f>
        <v>31.9</v>
      </c>
      <c r="E106" s="26">
        <f>data!Z60</f>
        <v>0</v>
      </c>
      <c r="F106" s="26">
        <f>data!AA60</f>
        <v>3</v>
      </c>
      <c r="G106" s="26">
        <f>data!AB60</f>
        <v>13.25</v>
      </c>
      <c r="H106" s="26">
        <f>data!AC60</f>
        <v>13.5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495115.46</v>
      </c>
      <c r="D107" s="14">
        <f>data!Y61</f>
        <v>3049596.4699999997</v>
      </c>
      <c r="E107" s="14">
        <f>data!Z61</f>
        <v>662</v>
      </c>
      <c r="F107" s="14">
        <f>data!AA61</f>
        <v>300175.74</v>
      </c>
      <c r="G107" s="14">
        <f>data!AB61</f>
        <v>1741733.78</v>
      </c>
      <c r="H107" s="14">
        <f>data!AC61</f>
        <v>1169776.0900000001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112515</v>
      </c>
      <c r="D108" s="14">
        <f>data!Y62</f>
        <v>693023</v>
      </c>
      <c r="E108" s="14">
        <f>data!Z62</f>
        <v>150</v>
      </c>
      <c r="F108" s="14">
        <f>data!AA62</f>
        <v>68215</v>
      </c>
      <c r="G108" s="14">
        <f>data!AB62</f>
        <v>395810</v>
      </c>
      <c r="H108" s="14">
        <f>data!AC62</f>
        <v>265832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1144529.28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101888.73000000001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350477.44999999995</v>
      </c>
      <c r="D110" s="14">
        <f>data!Y64</f>
        <v>905861.4</v>
      </c>
      <c r="E110" s="14">
        <f>data!Z64</f>
        <v>7258322.9700000007</v>
      </c>
      <c r="F110" s="14">
        <f>data!AA64</f>
        <v>429054</v>
      </c>
      <c r="G110" s="14">
        <f>data!AB64</f>
        <v>3684200.13</v>
      </c>
      <c r="H110" s="14">
        <f>data!AC64</f>
        <v>214132.15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759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264117.13</v>
      </c>
      <c r="D112" s="14">
        <f>data!Y66</f>
        <v>889040.95</v>
      </c>
      <c r="E112" s="14">
        <f>data!Z66</f>
        <v>497.25</v>
      </c>
      <c r="F112" s="14">
        <f>data!AA66</f>
        <v>55957.09</v>
      </c>
      <c r="G112" s="14">
        <f>data!AB66</f>
        <v>404897.58</v>
      </c>
      <c r="H112" s="14">
        <f>data!AC66</f>
        <v>1863.39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60398</v>
      </c>
      <c r="D113" s="14">
        <f>data!Y67</f>
        <v>395404</v>
      </c>
      <c r="E113" s="14">
        <f>data!Z67</f>
        <v>0</v>
      </c>
      <c r="F113" s="14">
        <f>data!AA67</f>
        <v>104883</v>
      </c>
      <c r="G113" s="14">
        <f>data!AB67</f>
        <v>116714</v>
      </c>
      <c r="H113" s="14">
        <f>data!AC67</f>
        <v>79236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149523.69</v>
      </c>
      <c r="D114" s="14">
        <f>data!Y68</f>
        <v>15453.88</v>
      </c>
      <c r="E114" s="14">
        <f>data!Z68</f>
        <v>0</v>
      </c>
      <c r="F114" s="14">
        <f>data!AA68</f>
        <v>1040.21</v>
      </c>
      <c r="G114" s="14">
        <f>data!AB68</f>
        <v>102301.87000000001</v>
      </c>
      <c r="H114" s="14">
        <f>data!AC68</f>
        <v>18967.830000000002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29123.52</v>
      </c>
      <c r="E115" s="14">
        <f>data!Z69</f>
        <v>0</v>
      </c>
      <c r="F115" s="14">
        <f>data!AA69</f>
        <v>51.78</v>
      </c>
      <c r="G115" s="14">
        <f>data!AB69</f>
        <v>5354.51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-2243254.2000000002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1432146.73</v>
      </c>
      <c r="D117" s="14">
        <f>data!Y71</f>
        <v>7122032.5</v>
      </c>
      <c r="E117" s="14">
        <f>data!Z71</f>
        <v>7259632.2200000007</v>
      </c>
      <c r="F117" s="14">
        <f>data!AA71</f>
        <v>959376.82</v>
      </c>
      <c r="G117" s="14">
        <f>data!AB71</f>
        <v>4207757.67</v>
      </c>
      <c r="H117" s="14">
        <f>data!AC71</f>
        <v>1852455.19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1759814</v>
      </c>
      <c r="D119" s="48">
        <f>+data!M690</f>
        <v>3807813</v>
      </c>
      <c r="E119" s="48">
        <f>+data!M691</f>
        <v>2652583</v>
      </c>
      <c r="F119" s="48">
        <f>+data!M692</f>
        <v>643553</v>
      </c>
      <c r="G119" s="48">
        <f>+data!M693</f>
        <v>2475239</v>
      </c>
      <c r="H119" s="48">
        <f>+data!M694</f>
        <v>1254941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7551157.8799999999</v>
      </c>
      <c r="D120" s="14">
        <f>data!Y73</f>
        <v>11648145.33</v>
      </c>
      <c r="E120" s="14">
        <f>data!Z73</f>
        <v>1106287</v>
      </c>
      <c r="F120" s="14">
        <f>data!AA73</f>
        <v>675463.29</v>
      </c>
      <c r="G120" s="14">
        <f>data!AB73</f>
        <v>20921449</v>
      </c>
      <c r="H120" s="14">
        <f>data!AC73</f>
        <v>13242709.869999999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26870870.469999999</v>
      </c>
      <c r="D121" s="14">
        <f>data!Y74</f>
        <v>25978211.670000002</v>
      </c>
      <c r="E121" s="14">
        <f>data!Z74</f>
        <v>34332120.18</v>
      </c>
      <c r="F121" s="14">
        <f>data!AA74</f>
        <v>3337043</v>
      </c>
      <c r="G121" s="14">
        <f>data!AB74</f>
        <v>13898507.629999999</v>
      </c>
      <c r="H121" s="14">
        <f>data!AC74</f>
        <v>5143960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34422028.350000001</v>
      </c>
      <c r="D122" s="14">
        <f>data!Y75</f>
        <v>37626357</v>
      </c>
      <c r="E122" s="14">
        <f>data!Z75</f>
        <v>35438407.18</v>
      </c>
      <c r="F122" s="14">
        <f>data!AA75</f>
        <v>4012506.29</v>
      </c>
      <c r="G122" s="14">
        <f>data!AB75</f>
        <v>34819956.629999995</v>
      </c>
      <c r="H122" s="14">
        <f>data!AC75</f>
        <v>18386669.869999997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3655</v>
      </c>
      <c r="D124" s="14">
        <f>data!Y76</f>
        <v>23928</v>
      </c>
      <c r="E124" s="14">
        <f>data!Z76</f>
        <v>0</v>
      </c>
      <c r="F124" s="14">
        <f>data!AA76</f>
        <v>6347</v>
      </c>
      <c r="G124" s="14">
        <f>data!AB76</f>
        <v>7063</v>
      </c>
      <c r="H124" s="14">
        <f>data!AC76</f>
        <v>4795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498.38721064958906</v>
      </c>
      <c r="D126" s="14">
        <f>data!Y78</f>
        <v>3262.765848542645</v>
      </c>
      <c r="E126" s="14">
        <f>data!Z78</f>
        <v>0</v>
      </c>
      <c r="F126" s="14">
        <f>data!AA78</f>
        <v>865.46200437563391</v>
      </c>
      <c r="G126" s="14">
        <f>data!AB78</f>
        <v>963.09408175596377</v>
      </c>
      <c r="H126" s="14">
        <f>data!AC78</f>
        <v>653.83493161827084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6723</v>
      </c>
      <c r="D127" s="14">
        <f>data!Y79</f>
        <v>70035</v>
      </c>
      <c r="E127" s="14">
        <f>data!Z79</f>
        <v>0</v>
      </c>
      <c r="F127" s="14">
        <f>data!AA79</f>
        <v>13789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5.0600000000000005</v>
      </c>
      <c r="E128" s="26">
        <f>data!Z80</f>
        <v>0</v>
      </c>
      <c r="F128" s="26">
        <f>data!AA80</f>
        <v>1.4</v>
      </c>
      <c r="G128" s="26">
        <f>data!AB80</f>
        <v>0</v>
      </c>
      <c r="H128" s="26">
        <f>data!AC80</f>
        <v>0.01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RCCH Trios Health LLC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21158</v>
      </c>
      <c r="D137" s="14">
        <f>data!AF59</f>
        <v>0</v>
      </c>
      <c r="E137" s="14">
        <f>data!AG59</f>
        <v>27043</v>
      </c>
      <c r="F137" s="14">
        <f>data!AH59</f>
        <v>0</v>
      </c>
      <c r="G137" s="14">
        <f>data!AI59</f>
        <v>27095</v>
      </c>
      <c r="H137" s="14">
        <f>data!AJ59</f>
        <v>8787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7.1999999999999993</v>
      </c>
      <c r="D138" s="26">
        <f>data!AF60</f>
        <v>0</v>
      </c>
      <c r="E138" s="26">
        <f>data!AG60</f>
        <v>45.230000000000004</v>
      </c>
      <c r="F138" s="26">
        <f>data!AH60</f>
        <v>0</v>
      </c>
      <c r="G138" s="26">
        <f>data!AI60</f>
        <v>19.73</v>
      </c>
      <c r="H138" s="26">
        <f>data!AJ60</f>
        <v>12.100000000000001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636599.9</v>
      </c>
      <c r="D139" s="14">
        <f>data!AF61</f>
        <v>0</v>
      </c>
      <c r="E139" s="14">
        <f>data!AG61</f>
        <v>7232991.8899999987</v>
      </c>
      <c r="F139" s="14">
        <f>data!AH61</f>
        <v>0</v>
      </c>
      <c r="G139" s="14">
        <f>data!AI61</f>
        <v>1669006.58</v>
      </c>
      <c r="H139" s="14">
        <f>data!AJ61</f>
        <v>922424.34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144668</v>
      </c>
      <c r="D140" s="14">
        <f>data!AF62</f>
        <v>0</v>
      </c>
      <c r="E140" s="14">
        <f>data!AG62</f>
        <v>1643702</v>
      </c>
      <c r="F140" s="14">
        <f>data!AH62</f>
        <v>0</v>
      </c>
      <c r="G140" s="14">
        <f>data!AI62</f>
        <v>379283</v>
      </c>
      <c r="H140" s="14">
        <f>data!AJ62</f>
        <v>209622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-452002.35000000003</v>
      </c>
      <c r="F141" s="14">
        <f>data!AH63</f>
        <v>0</v>
      </c>
      <c r="G141" s="14">
        <f>data!AI63</f>
        <v>0</v>
      </c>
      <c r="H141" s="14">
        <f>data!AJ63</f>
        <v>464003.79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321.8</v>
      </c>
      <c r="D142" s="14">
        <f>data!AF64</f>
        <v>0</v>
      </c>
      <c r="E142" s="14">
        <f>data!AG64</f>
        <v>535725.34</v>
      </c>
      <c r="F142" s="14">
        <f>data!AH64</f>
        <v>0</v>
      </c>
      <c r="G142" s="14">
        <f>data!AI64</f>
        <v>600016.48</v>
      </c>
      <c r="H142" s="14">
        <f>data!AJ64</f>
        <v>139.34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759</v>
      </c>
      <c r="D143" s="14">
        <f>data!AF65</f>
        <v>0</v>
      </c>
      <c r="E143" s="14">
        <f>data!AG65</f>
        <v>7023</v>
      </c>
      <c r="F143" s="14">
        <f>data!AH65</f>
        <v>0</v>
      </c>
      <c r="G143" s="14">
        <f>data!AI65</f>
        <v>0</v>
      </c>
      <c r="H143" s="14">
        <f>data!AJ65</f>
        <v>276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5451.8</v>
      </c>
      <c r="D144" s="14">
        <f>data!AF66</f>
        <v>0</v>
      </c>
      <c r="E144" s="14">
        <f>data!AG66</f>
        <v>200853.99</v>
      </c>
      <c r="F144" s="14">
        <f>data!AH66</f>
        <v>0</v>
      </c>
      <c r="G144" s="14">
        <f>data!AI66</f>
        <v>8087.28</v>
      </c>
      <c r="H144" s="14">
        <f>data!AJ66</f>
        <v>19105.39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148210</v>
      </c>
      <c r="D145" s="14">
        <f>data!AF67</f>
        <v>0</v>
      </c>
      <c r="E145" s="14">
        <f>data!AG67</f>
        <v>206758</v>
      </c>
      <c r="F145" s="14">
        <f>data!AH67</f>
        <v>0</v>
      </c>
      <c r="G145" s="14">
        <f>data!AI67</f>
        <v>418208</v>
      </c>
      <c r="H145" s="14">
        <f>data!AJ67</f>
        <v>150623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1222.23</v>
      </c>
      <c r="D146" s="14">
        <f>data!AF68</f>
        <v>0</v>
      </c>
      <c r="E146" s="14">
        <f>data!AG68</f>
        <v>35304.329999999994</v>
      </c>
      <c r="F146" s="14">
        <f>data!AH68</f>
        <v>0</v>
      </c>
      <c r="G146" s="14">
        <f>data!AI68</f>
        <v>5488.9400000000005</v>
      </c>
      <c r="H146" s="14">
        <f>data!AJ68</f>
        <v>11996.93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2357.86</v>
      </c>
      <c r="D147" s="14">
        <f>data!AF69</f>
        <v>0</v>
      </c>
      <c r="E147" s="14">
        <f>data!AG69</f>
        <v>66731.31</v>
      </c>
      <c r="F147" s="14">
        <f>data!AH69</f>
        <v>0</v>
      </c>
      <c r="G147" s="14">
        <f>data!AI69</f>
        <v>389.95</v>
      </c>
      <c r="H147" s="14">
        <f>data!AJ69</f>
        <v>293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-23990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939590.59000000008</v>
      </c>
      <c r="D149" s="14">
        <f>data!AF71</f>
        <v>0</v>
      </c>
      <c r="E149" s="14">
        <f>data!AG71</f>
        <v>9453097.5099999998</v>
      </c>
      <c r="F149" s="14">
        <f>data!AH71</f>
        <v>0</v>
      </c>
      <c r="G149" s="14">
        <f>data!AI71</f>
        <v>3080480.23</v>
      </c>
      <c r="H149" s="14">
        <f>data!AJ71</f>
        <v>1778483.7899999998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724965</v>
      </c>
      <c r="D151" s="48">
        <f>+data!M697</f>
        <v>0</v>
      </c>
      <c r="E151" s="48">
        <f>+data!M698</f>
        <v>4007346</v>
      </c>
      <c r="F151" s="48">
        <f>+data!M699</f>
        <v>0</v>
      </c>
      <c r="G151" s="48">
        <f>+data!M700</f>
        <v>2335832</v>
      </c>
      <c r="H151" s="48">
        <f>+data!M701</f>
        <v>1189789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1843624.15</v>
      </c>
      <c r="D152" s="14">
        <f>data!AF73</f>
        <v>0</v>
      </c>
      <c r="E152" s="14">
        <f>data!AG73</f>
        <v>14714398.449999999</v>
      </c>
      <c r="F152" s="14">
        <f>data!AH73</f>
        <v>0</v>
      </c>
      <c r="G152" s="14">
        <f>data!AI73</f>
        <v>179190.34</v>
      </c>
      <c r="H152" s="14">
        <f>data!AJ73</f>
        <v>494510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1260231.51</v>
      </c>
      <c r="D153" s="14">
        <f>data!AF74</f>
        <v>0</v>
      </c>
      <c r="E153" s="14">
        <f>data!AG74</f>
        <v>27161646.190000001</v>
      </c>
      <c r="F153" s="14">
        <f>data!AH74</f>
        <v>0</v>
      </c>
      <c r="G153" s="14">
        <f>data!AI74</f>
        <v>9047512.0199999996</v>
      </c>
      <c r="H153" s="14">
        <f>data!AJ74</f>
        <v>7254324.2999999998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3103855.66</v>
      </c>
      <c r="D154" s="14">
        <f>data!AF75</f>
        <v>0</v>
      </c>
      <c r="E154" s="14">
        <f>data!AG75</f>
        <v>41876044.640000001</v>
      </c>
      <c r="F154" s="14">
        <f>data!AH75</f>
        <v>0</v>
      </c>
      <c r="G154" s="14">
        <f>data!AI75</f>
        <v>9226702.3599999994</v>
      </c>
      <c r="H154" s="14">
        <f>data!AJ75</f>
        <v>7748834.2999999998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8969</v>
      </c>
      <c r="D156" s="14">
        <f>data!AF76</f>
        <v>0</v>
      </c>
      <c r="E156" s="14">
        <f>data!AG76</f>
        <v>12512</v>
      </c>
      <c r="F156" s="14">
        <f>data!AH76</f>
        <v>0</v>
      </c>
      <c r="G156" s="14">
        <f>data!AI76</f>
        <v>25308</v>
      </c>
      <c r="H156" s="14">
        <f>data!AJ76</f>
        <v>9115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488</v>
      </c>
      <c r="F157" s="14">
        <f>data!AH77</f>
        <v>0</v>
      </c>
      <c r="G157" s="14">
        <f>data!AI77</f>
        <v>1516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1222.9917626036017</v>
      </c>
      <c r="D158" s="14">
        <f>data!AF78</f>
        <v>0</v>
      </c>
      <c r="E158" s="14">
        <f>data!AG78</f>
        <v>1706.1069164562678</v>
      </c>
      <c r="F158" s="14">
        <f>data!AH78</f>
        <v>0</v>
      </c>
      <c r="G158" s="14">
        <f>data!AI78</f>
        <v>3450.9394055047333</v>
      </c>
      <c r="H158" s="14">
        <f>data!AJ78</f>
        <v>1242.8999794995909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7669</v>
      </c>
      <c r="D159" s="14">
        <f>data!AF79</f>
        <v>0</v>
      </c>
      <c r="E159" s="14">
        <f>data!AG79</f>
        <v>75978</v>
      </c>
      <c r="F159" s="14">
        <f>data!AH79</f>
        <v>0</v>
      </c>
      <c r="G159" s="14">
        <f>data!AI79</f>
        <v>84709</v>
      </c>
      <c r="H159" s="14">
        <f>data!AJ79</f>
        <v>17092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1.48</v>
      </c>
      <c r="D160" s="26">
        <f>data!AF80</f>
        <v>0</v>
      </c>
      <c r="E160" s="26">
        <f>data!AG80</f>
        <v>24.77</v>
      </c>
      <c r="F160" s="26">
        <f>data!AH80</f>
        <v>0</v>
      </c>
      <c r="G160" s="26">
        <f>data!AI80</f>
        <v>15.11</v>
      </c>
      <c r="H160" s="26">
        <f>data!AJ80</f>
        <v>12.75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RCCH Trios Health LLC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3311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208416</v>
      </c>
      <c r="H169" s="14">
        <f>data!AQ59</f>
        <v>0</v>
      </c>
      <c r="I169" s="14">
        <f>data!AR59</f>
        <v>11432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192.78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98626.3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24086661.120000001</v>
      </c>
      <c r="H171" s="14">
        <f>data!AQ61</f>
        <v>0</v>
      </c>
      <c r="I171" s="14">
        <f>data!AR61</f>
        <v>927074.43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22413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5473710</v>
      </c>
      <c r="H172" s="14">
        <f>data!AQ62</f>
        <v>0</v>
      </c>
      <c r="I172" s="14">
        <f>data!AR62</f>
        <v>210678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30685.53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1223908.2500000002</v>
      </c>
      <c r="H173" s="14">
        <f>data!AQ63</f>
        <v>0</v>
      </c>
      <c r="I173" s="14">
        <f>data!AR63</f>
        <v>902.62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345.17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916856.94</v>
      </c>
      <c r="H174" s="14">
        <f>data!AQ64</f>
        <v>0</v>
      </c>
      <c r="I174" s="14">
        <f>data!AR64</f>
        <v>31378.3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272714.62</v>
      </c>
      <c r="H175" s="14">
        <f>data!AQ65</f>
        <v>126548.88</v>
      </c>
      <c r="I175" s="14">
        <f>data!AR65</f>
        <v>11528.81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194.87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1875391.6600000004</v>
      </c>
      <c r="H176" s="14">
        <f>data!AQ66</f>
        <v>0</v>
      </c>
      <c r="I176" s="14">
        <f>data!AR66</f>
        <v>83105.010000000009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3305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1764628</v>
      </c>
      <c r="H177" s="14">
        <f>data!AQ67</f>
        <v>0</v>
      </c>
      <c r="I177" s="14">
        <f>data!AR67</f>
        <v>70048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15.48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517538.75999999995</v>
      </c>
      <c r="H178" s="14">
        <f>data!AQ68</f>
        <v>0</v>
      </c>
      <c r="I178" s="14">
        <f>data!AR68</f>
        <v>5763.2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196.86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278101.32</v>
      </c>
      <c r="H179" s="14">
        <f>data!AQ69</f>
        <v>0</v>
      </c>
      <c r="I179" s="14">
        <f>data!AR69</f>
        <v>33457.870000000003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-551382.72</v>
      </c>
      <c r="H180" s="14">
        <f>-data!AQ70</f>
        <v>0</v>
      </c>
      <c r="I180" s="14">
        <f>-data!AR70</f>
        <v>-8.73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155782.21000000002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35858127.950000003</v>
      </c>
      <c r="H181" s="14">
        <f>data!AQ71</f>
        <v>126548.88</v>
      </c>
      <c r="I181" s="14">
        <f>data!AR71</f>
        <v>1373927.5100000005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53064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12847362</v>
      </c>
      <c r="H183" s="48">
        <f>+data!M708</f>
        <v>15407</v>
      </c>
      <c r="I183" s="48">
        <f>+data!M709</f>
        <v>493924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485626.52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130325.14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61676867.579999998</v>
      </c>
      <c r="H185" s="14">
        <f>data!AQ74</f>
        <v>0</v>
      </c>
      <c r="I185" s="14">
        <f>data!AR74</f>
        <v>1133172.18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615951.66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61676867.579999998</v>
      </c>
      <c r="H186" s="14">
        <f>data!AQ75</f>
        <v>0</v>
      </c>
      <c r="I186" s="14">
        <f>data!AR75</f>
        <v>1133172.18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200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106787</v>
      </c>
      <c r="H188" s="14">
        <f>data!AQ76</f>
        <v>0</v>
      </c>
      <c r="I188" s="14">
        <f>data!AR76</f>
        <v>4239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27.27152999450556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14561.224367616325</v>
      </c>
      <c r="H190" s="14">
        <f>data!AQ78</f>
        <v>0</v>
      </c>
      <c r="I190" s="14">
        <f>data!AR78</f>
        <v>578.02007823354529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1.06</v>
      </c>
      <c r="H192" s="26">
        <f>data!AQ80</f>
        <v>0</v>
      </c>
      <c r="I192" s="26">
        <f>data!AR80</f>
        <v>5.93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RCCH Trios Health LLC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333727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26.7</v>
      </c>
      <c r="H202" s="26">
        <f>data!AX60</f>
        <v>0</v>
      </c>
      <c r="I202" s="26">
        <f>data!AY60</f>
        <v>24.33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1946495.24</v>
      </c>
      <c r="H203" s="14">
        <f>data!AX61</f>
        <v>0</v>
      </c>
      <c r="I203" s="14">
        <f>data!AY61</f>
        <v>915963.58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442342</v>
      </c>
      <c r="H204" s="14">
        <f>data!AX62</f>
        <v>0</v>
      </c>
      <c r="I204" s="14">
        <f>data!AY62</f>
        <v>208153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13214.63</v>
      </c>
      <c r="H205" s="14">
        <f>data!AX63</f>
        <v>0</v>
      </c>
      <c r="I205" s="14">
        <f>data!AY63</f>
        <v>32685.210000000003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30266.67</v>
      </c>
      <c r="H206" s="14">
        <f>data!AX64</f>
        <v>0</v>
      </c>
      <c r="I206" s="14">
        <f>data!AY64</f>
        <v>545407.63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561.38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15402.920000000002</v>
      </c>
      <c r="H208" s="14">
        <f>data!AX66</f>
        <v>0</v>
      </c>
      <c r="I208" s="14">
        <f>data!AY66</f>
        <v>59313.18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23052</v>
      </c>
      <c r="H209" s="14">
        <f>data!AX67</f>
        <v>0</v>
      </c>
      <c r="I209" s="14">
        <f>data!AY67</f>
        <v>171841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2110.84</v>
      </c>
      <c r="H210" s="14">
        <f>data!AX68</f>
        <v>0</v>
      </c>
      <c r="I210" s="14">
        <f>data!AY68</f>
        <v>2939.07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38380.46</v>
      </c>
      <c r="H211" s="14">
        <f>data!AX69</f>
        <v>0</v>
      </c>
      <c r="I211" s="14">
        <f>data!AY69</f>
        <v>14102.75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-19400</v>
      </c>
      <c r="H212" s="14">
        <f>-data!AX70</f>
        <v>0</v>
      </c>
      <c r="I212" s="14">
        <f>-data!AY70</f>
        <v>-494118.67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2492426.1399999997</v>
      </c>
      <c r="H213" s="14">
        <f>data!AX71</f>
        <v>0</v>
      </c>
      <c r="I213" s="14">
        <f>data!AY71</f>
        <v>1456286.75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1395</v>
      </c>
      <c r="H220" s="14">
        <f>data!AX76</f>
        <v>0</v>
      </c>
      <c r="I220" s="85">
        <f>data!AY76</f>
        <v>10399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190.21892171167627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RCCH Trios Health LLC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602427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6.4</v>
      </c>
      <c r="H234" s="26">
        <f>data!BE60</f>
        <v>7.45</v>
      </c>
      <c r="I234" s="26">
        <f>data!BF60</f>
        <v>37.4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393776.59</v>
      </c>
      <c r="H235" s="14">
        <f>data!BE61</f>
        <v>702681.45</v>
      </c>
      <c r="I235" s="14">
        <f>data!BF61</f>
        <v>1548715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89486</v>
      </c>
      <c r="H236" s="14">
        <f>data!BE62</f>
        <v>159685</v>
      </c>
      <c r="I236" s="14">
        <f>data!BF62</f>
        <v>351947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79675.58</v>
      </c>
      <c r="H237" s="14">
        <f>data!BE63</f>
        <v>14369.67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73266.7</v>
      </c>
      <c r="E238" s="14">
        <f>data!BB64</f>
        <v>0</v>
      </c>
      <c r="F238" s="14">
        <f>data!BC64</f>
        <v>0</v>
      </c>
      <c r="G238" s="14">
        <f>data!BD64</f>
        <v>10642.21</v>
      </c>
      <c r="H238" s="14">
        <f>data!BE64</f>
        <v>15337.07</v>
      </c>
      <c r="I238" s="14">
        <f>data!BF64</f>
        <v>157619.97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24798.75</v>
      </c>
      <c r="H239" s="14">
        <f>data!BE65</f>
        <v>1340444.23</v>
      </c>
      <c r="I239" s="14">
        <f>data!BF65</f>
        <v>108196.33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248249.39</v>
      </c>
      <c r="E240" s="14">
        <f>data!BB66</f>
        <v>0</v>
      </c>
      <c r="F240" s="14">
        <f>data!BC66</f>
        <v>0</v>
      </c>
      <c r="G240" s="14">
        <f>data!BD66</f>
        <v>29091.56</v>
      </c>
      <c r="H240" s="14">
        <f>data!BE66</f>
        <v>1114843.8799999997</v>
      </c>
      <c r="I240" s="14">
        <f>data!BF66</f>
        <v>42001.53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28257</v>
      </c>
      <c r="E241" s="14">
        <f>data!BB67</f>
        <v>0</v>
      </c>
      <c r="F241" s="14">
        <f>data!BC67</f>
        <v>0</v>
      </c>
      <c r="G241" s="14">
        <f>data!BD67</f>
        <v>131107</v>
      </c>
      <c r="H241" s="14">
        <f>data!BE67</f>
        <v>843654</v>
      </c>
      <c r="I241" s="14">
        <f>data!BF67</f>
        <v>46021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36662.76</v>
      </c>
      <c r="H242" s="14">
        <f>data!BE68</f>
        <v>6799.53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237650.78</v>
      </c>
      <c r="H243" s="14">
        <f>data!BE69</f>
        <v>4507.91</v>
      </c>
      <c r="I243" s="14">
        <f>data!BF69</f>
        <v>1167.72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-31800</v>
      </c>
      <c r="E244" s="14">
        <f>-data!BB70</f>
        <v>0</v>
      </c>
      <c r="F244" s="14">
        <f>-data!BC70</f>
        <v>0</v>
      </c>
      <c r="G244" s="14">
        <f>-data!BD70</f>
        <v>-52023.89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317973.09000000003</v>
      </c>
      <c r="E245" s="14">
        <f>data!BB71</f>
        <v>0</v>
      </c>
      <c r="F245" s="14">
        <f>data!BC71</f>
        <v>0</v>
      </c>
      <c r="G245" s="14">
        <f>data!BD71</f>
        <v>980867.34000000008</v>
      </c>
      <c r="H245" s="14">
        <f>data!BE71</f>
        <v>4202322.74</v>
      </c>
      <c r="I245" s="14">
        <f>data!BF71</f>
        <v>2255668.5499999998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1710</v>
      </c>
      <c r="E252" s="85">
        <f>data!BB76</f>
        <v>0</v>
      </c>
      <c r="F252" s="85">
        <f>data!BC76</f>
        <v>0</v>
      </c>
      <c r="G252" s="85">
        <f>data!BD76</f>
        <v>7934</v>
      </c>
      <c r="H252" s="85">
        <f>data!BE76</f>
        <v>51054</v>
      </c>
      <c r="I252" s="85">
        <f>data!BF76</f>
        <v>2785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275519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233.1715814530225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RCCH Trios Health LLC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</v>
      </c>
      <c r="D266" s="26">
        <f>data!BH60</f>
        <v>19.600000000000001</v>
      </c>
      <c r="E266" s="26">
        <f>data!BI60</f>
        <v>0</v>
      </c>
      <c r="F266" s="26">
        <f>data!BJ60</f>
        <v>6</v>
      </c>
      <c r="G266" s="26">
        <f>data!BK60</f>
        <v>17.5</v>
      </c>
      <c r="H266" s="26">
        <f>data!BL60</f>
        <v>19.07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218166.79</v>
      </c>
      <c r="D267" s="14">
        <f>data!BH61</f>
        <v>1543502.37</v>
      </c>
      <c r="E267" s="14">
        <f>data!BI61</f>
        <v>0</v>
      </c>
      <c r="F267" s="14">
        <f>data!BJ61</f>
        <v>442825.01</v>
      </c>
      <c r="G267" s="14">
        <f>data!BK61</f>
        <v>844387.32</v>
      </c>
      <c r="H267" s="14">
        <f>data!BL61</f>
        <v>728476.51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49579</v>
      </c>
      <c r="D268" s="14">
        <f>data!BH62</f>
        <v>350762</v>
      </c>
      <c r="E268" s="14">
        <f>data!BI62</f>
        <v>0</v>
      </c>
      <c r="F268" s="14">
        <f>data!BJ62</f>
        <v>100632</v>
      </c>
      <c r="G268" s="14">
        <f>data!BK62</f>
        <v>191888</v>
      </c>
      <c r="H268" s="14">
        <f>data!BL62</f>
        <v>165547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148132.71</v>
      </c>
      <c r="G269" s="14">
        <f>data!BK63</f>
        <v>881455.82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9063.5</v>
      </c>
      <c r="D270" s="14">
        <f>data!BH64</f>
        <v>88271.89</v>
      </c>
      <c r="E270" s="14">
        <f>data!BI64</f>
        <v>0</v>
      </c>
      <c r="F270" s="14">
        <f>data!BJ64</f>
        <v>4120.8500000000004</v>
      </c>
      <c r="G270" s="14">
        <f>data!BK64</f>
        <v>6298.9</v>
      </c>
      <c r="H270" s="14">
        <f>data!BL64</f>
        <v>26847.8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2001</v>
      </c>
      <c r="D271" s="14">
        <f>data!BH65</f>
        <v>300270.36</v>
      </c>
      <c r="E271" s="14">
        <f>data!BI65</f>
        <v>0</v>
      </c>
      <c r="F271" s="14">
        <f>data!BJ65</f>
        <v>9862.75</v>
      </c>
      <c r="G271" s="14">
        <f>data!BK65</f>
        <v>171.77</v>
      </c>
      <c r="H271" s="14">
        <f>data!BL65</f>
        <v>3599.1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87783.6</v>
      </c>
      <c r="D272" s="14">
        <f>data!BH66</f>
        <v>2299867.21</v>
      </c>
      <c r="E272" s="14">
        <f>data!BI66</f>
        <v>0</v>
      </c>
      <c r="F272" s="14">
        <f>data!BJ66</f>
        <v>155218.44</v>
      </c>
      <c r="G272" s="14">
        <f>data!BK66</f>
        <v>-212084.57</v>
      </c>
      <c r="H272" s="14">
        <f>data!BL66</f>
        <v>2438.0700000000002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27811</v>
      </c>
      <c r="D273" s="14">
        <f>data!BH67</f>
        <v>133156</v>
      </c>
      <c r="E273" s="14">
        <f>data!BI67</f>
        <v>0</v>
      </c>
      <c r="F273" s="14">
        <f>data!BJ67</f>
        <v>42138</v>
      </c>
      <c r="G273" s="14">
        <f>data!BK67</f>
        <v>98719</v>
      </c>
      <c r="H273" s="14">
        <f>data!BL67</f>
        <v>96769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4673.6000000000004</v>
      </c>
      <c r="E274" s="14">
        <f>data!BI68</f>
        <v>0</v>
      </c>
      <c r="F274" s="14">
        <f>data!BJ68</f>
        <v>5849.78</v>
      </c>
      <c r="G274" s="14">
        <f>data!BK68</f>
        <v>51460.7</v>
      </c>
      <c r="H274" s="14">
        <f>data!BL68</f>
        <v>24979.73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996.04</v>
      </c>
      <c r="D275" s="14">
        <f>data!BH69</f>
        <v>1378.27</v>
      </c>
      <c r="E275" s="14">
        <f>data!BI69</f>
        <v>0</v>
      </c>
      <c r="F275" s="14">
        <f>data!BJ69</f>
        <v>1645.97</v>
      </c>
      <c r="G275" s="14">
        <f>data!BK69</f>
        <v>20880.849999999999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-4459.4399999999996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-2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395400.93</v>
      </c>
      <c r="D277" s="14">
        <f>data!BH71</f>
        <v>4717422.2599999988</v>
      </c>
      <c r="E277" s="14">
        <f>data!BI71</f>
        <v>0</v>
      </c>
      <c r="F277" s="14">
        <f>data!BJ71</f>
        <v>910425.51</v>
      </c>
      <c r="G277" s="14">
        <f>data!BK71</f>
        <v>1883177.7899999998</v>
      </c>
      <c r="H277" s="14">
        <f>data!BL71</f>
        <v>1048655.21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1683</v>
      </c>
      <c r="D284" s="85">
        <f>data!BH76</f>
        <v>8058</v>
      </c>
      <c r="E284" s="85">
        <f>data!BI76</f>
        <v>0</v>
      </c>
      <c r="F284" s="85">
        <f>data!BJ76</f>
        <v>2550</v>
      </c>
      <c r="G284" s="85">
        <f>data!BK76</f>
        <v>5974</v>
      </c>
      <c r="H284" s="85">
        <f>data!BL76</f>
        <v>5856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1098.7699434786289</v>
      </c>
      <c r="E286" s="85">
        <f>data!BI78</f>
        <v>0</v>
      </c>
      <c r="F286" s="213" t="str">
        <f>IF(data!BJ78&gt;0,data!BJ78,"")</f>
        <v>x</v>
      </c>
      <c r="G286" s="85">
        <f>data!BK78</f>
        <v>814.60060093588095</v>
      </c>
      <c r="H286" s="85">
        <f>data!BL78</f>
        <v>798.51039823912265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RCCH Trios Health LLC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</v>
      </c>
      <c r="D298" s="26">
        <f>data!BO60</f>
        <v>1</v>
      </c>
      <c r="E298" s="26">
        <f>data!BP60</f>
        <v>0</v>
      </c>
      <c r="F298" s="26">
        <f>data!BQ60</f>
        <v>0</v>
      </c>
      <c r="G298" s="26">
        <f>data!BR60</f>
        <v>4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1164931.33</v>
      </c>
      <c r="D299" s="14">
        <f>data!BO61</f>
        <v>92243.37</v>
      </c>
      <c r="E299" s="14">
        <f>data!BP61</f>
        <v>172999.58</v>
      </c>
      <c r="F299" s="14">
        <f>data!BQ61</f>
        <v>0</v>
      </c>
      <c r="G299" s="14">
        <f>data!BR61</f>
        <v>358331.45</v>
      </c>
      <c r="H299" s="14">
        <f>data!BS61</f>
        <v>219570.88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264731</v>
      </c>
      <c r="D300" s="14">
        <f>data!BO62</f>
        <v>20962</v>
      </c>
      <c r="E300" s="14">
        <f>data!BP62</f>
        <v>39314</v>
      </c>
      <c r="F300" s="14">
        <f>data!BQ62</f>
        <v>0</v>
      </c>
      <c r="G300" s="14">
        <f>data!BR62</f>
        <v>81431</v>
      </c>
      <c r="H300" s="14">
        <f>data!BS62</f>
        <v>49898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5044595.22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25162.41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11881.72</v>
      </c>
      <c r="D302" s="14">
        <f>data!BO64</f>
        <v>9004.7800000000007</v>
      </c>
      <c r="E302" s="14">
        <f>data!BP64</f>
        <v>7253.81</v>
      </c>
      <c r="F302" s="14">
        <f>data!BQ64</f>
        <v>0</v>
      </c>
      <c r="G302" s="14">
        <f>data!BR64</f>
        <v>7745.05</v>
      </c>
      <c r="H302" s="14">
        <f>data!BS64</f>
        <v>14001.47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552</v>
      </c>
      <c r="D303" s="14">
        <f>data!BO65</f>
        <v>0</v>
      </c>
      <c r="E303" s="14">
        <f>data!BP65</f>
        <v>483</v>
      </c>
      <c r="F303" s="14">
        <f>data!BQ65</f>
        <v>0</v>
      </c>
      <c r="G303" s="14">
        <f>data!BR65</f>
        <v>21971.119999999999</v>
      </c>
      <c r="H303" s="14">
        <f>data!BS65</f>
        <v>483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674811.44</v>
      </c>
      <c r="D304" s="14">
        <f>data!BO66</f>
        <v>108308.45</v>
      </c>
      <c r="E304" s="14">
        <f>data!BP66</f>
        <v>185156.52</v>
      </c>
      <c r="F304" s="14">
        <f>data!BQ66</f>
        <v>0</v>
      </c>
      <c r="G304" s="14">
        <f>data!BR66</f>
        <v>289816.74</v>
      </c>
      <c r="H304" s="14">
        <f>data!BS66</f>
        <v>67412.73000000001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91332</v>
      </c>
      <c r="D305" s="14">
        <f>data!BO67</f>
        <v>3487</v>
      </c>
      <c r="E305" s="14">
        <f>data!BP67</f>
        <v>21780</v>
      </c>
      <c r="F305" s="14">
        <f>data!BQ67</f>
        <v>0</v>
      </c>
      <c r="G305" s="14">
        <f>data!BR67</f>
        <v>56349</v>
      </c>
      <c r="H305" s="14">
        <f>data!BS67</f>
        <v>79765</v>
      </c>
      <c r="I305" s="14">
        <f>data!BT67</f>
        <v>14261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4620.57</v>
      </c>
      <c r="D306" s="14">
        <f>data!BO68</f>
        <v>0</v>
      </c>
      <c r="E306" s="14">
        <f>data!BP68</f>
        <v>8020.51</v>
      </c>
      <c r="F306" s="14">
        <f>data!BQ68</f>
        <v>0</v>
      </c>
      <c r="G306" s="14">
        <f>data!BR68</f>
        <v>6856.58</v>
      </c>
      <c r="H306" s="14">
        <f>data!BS68</f>
        <v>4515.4799999999996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161284.82</v>
      </c>
      <c r="D307" s="14">
        <f>data!BO69</f>
        <v>1683.79</v>
      </c>
      <c r="E307" s="14">
        <f>data!BP69</f>
        <v>9684.77</v>
      </c>
      <c r="F307" s="14">
        <f>data!BQ69</f>
        <v>0</v>
      </c>
      <c r="G307" s="14">
        <f>data!BR69</f>
        <v>1127.5999999999999</v>
      </c>
      <c r="H307" s="14">
        <f>data!BS69</f>
        <v>1217.81</v>
      </c>
      <c r="I307" s="14">
        <f>data!BT69</f>
        <v>-168.53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-3010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7418740.0999999996</v>
      </c>
      <c r="D309" s="14">
        <f>data!BO71</f>
        <v>235689.38999999998</v>
      </c>
      <c r="E309" s="14">
        <f>data!BP71</f>
        <v>441682.19</v>
      </c>
      <c r="F309" s="14">
        <f>data!BQ71</f>
        <v>0</v>
      </c>
      <c r="G309" s="14">
        <f>data!BR71</f>
        <v>848790.95</v>
      </c>
      <c r="H309" s="14">
        <f>data!BS71</f>
        <v>436864.36999999994</v>
      </c>
      <c r="I309" s="14">
        <f>data!BT71</f>
        <v>14092.47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5527</v>
      </c>
      <c r="D316" s="85">
        <f>data!BO76</f>
        <v>211</v>
      </c>
      <c r="E316" s="85">
        <f>data!BP76</f>
        <v>1318</v>
      </c>
      <c r="F316" s="85">
        <f>data!BQ76</f>
        <v>0</v>
      </c>
      <c r="G316" s="85">
        <f>data!BR76</f>
        <v>3410</v>
      </c>
      <c r="H316" s="85">
        <f>data!BS76</f>
        <v>4827</v>
      </c>
      <c r="I316" s="85">
        <f>data!BT76</f>
        <v>863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658.19837641739161</v>
      </c>
      <c r="I318" s="85">
        <f>data!BT78</f>
        <v>117.67665192629148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RCCH Trios Health LLC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</v>
      </c>
      <c r="E330" s="26">
        <f>data!BW60</f>
        <v>2</v>
      </c>
      <c r="F330" s="26">
        <f>data!BX60</f>
        <v>8</v>
      </c>
      <c r="G330" s="26">
        <f>data!BY60</f>
        <v>14.9</v>
      </c>
      <c r="H330" s="26">
        <f>data!BZ60</f>
        <v>0</v>
      </c>
      <c r="I330" s="26">
        <f>data!CA60</f>
        <v>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612839.38</v>
      </c>
      <c r="E331" s="86">
        <f>data!BW61</f>
        <v>206722.82</v>
      </c>
      <c r="F331" s="86">
        <f>data!BX61</f>
        <v>1197800.77</v>
      </c>
      <c r="G331" s="86">
        <f>data!BY61</f>
        <v>1334823.27</v>
      </c>
      <c r="H331" s="86">
        <f>data!BZ61</f>
        <v>0</v>
      </c>
      <c r="I331" s="86">
        <f>data!CA61</f>
        <v>196407.23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139268</v>
      </c>
      <c r="E332" s="86">
        <f>data!BW62</f>
        <v>46978</v>
      </c>
      <c r="F332" s="86">
        <f>data!BX62</f>
        <v>272201</v>
      </c>
      <c r="G332" s="86">
        <f>data!BY62</f>
        <v>303339</v>
      </c>
      <c r="H332" s="86">
        <f>data!BZ62</f>
        <v>0</v>
      </c>
      <c r="I332" s="86">
        <f>data!CA62</f>
        <v>44634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83750</v>
      </c>
      <c r="F333" s="86">
        <f>data!BX63</f>
        <v>45638.17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4476.41</v>
      </c>
      <c r="E334" s="86">
        <f>data!BW64</f>
        <v>53136.57</v>
      </c>
      <c r="F334" s="86">
        <f>data!BX64</f>
        <v>4105.88</v>
      </c>
      <c r="G334" s="86">
        <f>data!BY64</f>
        <v>933.42</v>
      </c>
      <c r="H334" s="86">
        <f>data!BZ64</f>
        <v>0</v>
      </c>
      <c r="I334" s="86">
        <f>data!CA64</f>
        <v>12053.59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1242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880610.56</v>
      </c>
      <c r="E336" s="86">
        <f>data!BW66</f>
        <v>96923.53</v>
      </c>
      <c r="F336" s="86">
        <f>data!BX66</f>
        <v>341428.68</v>
      </c>
      <c r="G336" s="86">
        <f>data!BY66</f>
        <v>45673.72</v>
      </c>
      <c r="H336" s="86">
        <f>data!BZ66</f>
        <v>0</v>
      </c>
      <c r="I336" s="86">
        <f>data!CA66</f>
        <v>4970.79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14872</v>
      </c>
      <c r="E337" s="86">
        <f>data!BW67</f>
        <v>62579</v>
      </c>
      <c r="F337" s="86">
        <f>data!BX67</f>
        <v>11700</v>
      </c>
      <c r="G337" s="86">
        <f>data!BY67</f>
        <v>53722</v>
      </c>
      <c r="H337" s="86">
        <f>data!BZ67</f>
        <v>0</v>
      </c>
      <c r="I337" s="86">
        <f>data!CA67</f>
        <v>36387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12849.82</v>
      </c>
      <c r="E338" s="86">
        <f>data!BW68</f>
        <v>9231.31</v>
      </c>
      <c r="F338" s="86">
        <f>data!BX68</f>
        <v>4134.6399999999994</v>
      </c>
      <c r="G338" s="86">
        <f>data!BY68</f>
        <v>1912.62</v>
      </c>
      <c r="H338" s="86">
        <f>data!BZ68</f>
        <v>0</v>
      </c>
      <c r="I338" s="86">
        <f>data!CA68</f>
        <v>18387.95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1011.81</v>
      </c>
      <c r="E339" s="86">
        <f>data!BW69</f>
        <v>3026.95</v>
      </c>
      <c r="F339" s="86">
        <f>data!BX69</f>
        <v>12165.75</v>
      </c>
      <c r="G339" s="86">
        <f>data!BY69</f>
        <v>15225.86</v>
      </c>
      <c r="H339" s="86">
        <f>data!BZ69</f>
        <v>0</v>
      </c>
      <c r="I339" s="86">
        <f>data!CA69</f>
        <v>21538.11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-2671.22</v>
      </c>
      <c r="E340" s="14">
        <f>-data!BW70</f>
        <v>-22546.080000000002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-27379.72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1663256.7600000002</v>
      </c>
      <c r="E341" s="14">
        <f>data!BW71</f>
        <v>539802.10000000009</v>
      </c>
      <c r="F341" s="14">
        <f>data!BX71</f>
        <v>1889174.8899999997</v>
      </c>
      <c r="G341" s="14">
        <f>data!BY71</f>
        <v>1756871.8900000001</v>
      </c>
      <c r="H341" s="14">
        <f>data!BZ71</f>
        <v>0</v>
      </c>
      <c r="I341" s="14">
        <f>data!CA71</f>
        <v>306998.94999999995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900</v>
      </c>
      <c r="E348" s="85">
        <f>data!BW76</f>
        <v>3787</v>
      </c>
      <c r="F348" s="85">
        <f>data!BX76</f>
        <v>708</v>
      </c>
      <c r="G348" s="85">
        <f>data!BY76</f>
        <v>3251</v>
      </c>
      <c r="H348" s="85">
        <f>data!BZ76</f>
        <v>0</v>
      </c>
      <c r="I348" s="85">
        <f>data!CA76</f>
        <v>2202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122.72188497527502</v>
      </c>
      <c r="E350" s="85">
        <f>data!BW78</f>
        <v>516.38642044596281</v>
      </c>
      <c r="F350" s="85">
        <f>data!BX78</f>
        <v>96.541216180549682</v>
      </c>
      <c r="G350" s="85">
        <f>data!BY78</f>
        <v>443.2987200606878</v>
      </c>
      <c r="H350" s="85">
        <f>data!BZ78</f>
        <v>0</v>
      </c>
      <c r="I350" s="85">
        <f>data!CA78</f>
        <v>300.25954523950622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RCCH Trios Health LLC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</v>
      </c>
      <c r="D362" s="26">
        <f>data!CC60</f>
        <v>0</v>
      </c>
      <c r="E362" s="217"/>
      <c r="F362" s="211"/>
      <c r="G362" s="211"/>
      <c r="H362" s="211"/>
      <c r="I362" s="87">
        <f>data!CE60</f>
        <v>775.02000000000021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31368.639999999999</v>
      </c>
      <c r="D363" s="86">
        <f>data!CC61</f>
        <v>23750</v>
      </c>
      <c r="E363" s="218"/>
      <c r="F363" s="219"/>
      <c r="G363" s="219"/>
      <c r="H363" s="219"/>
      <c r="I363" s="86">
        <f>data!CE61</f>
        <v>74726926.50999999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7129</v>
      </c>
      <c r="D364" s="86">
        <f>data!CC62</f>
        <v>5397</v>
      </c>
      <c r="E364" s="218"/>
      <c r="F364" s="219"/>
      <c r="G364" s="219"/>
      <c r="H364" s="219"/>
      <c r="I364" s="86">
        <f>data!CE62</f>
        <v>16981743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82632.69</v>
      </c>
      <c r="E365" s="218"/>
      <c r="F365" s="219"/>
      <c r="G365" s="219"/>
      <c r="H365" s="219"/>
      <c r="I365" s="86">
        <f>data!CE63</f>
        <v>11913984.57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5933.28</v>
      </c>
      <c r="D366" s="86">
        <f>data!CC64</f>
        <v>1219.4100000000001</v>
      </c>
      <c r="E366" s="218"/>
      <c r="F366" s="219"/>
      <c r="G366" s="219"/>
      <c r="H366" s="219"/>
      <c r="I366" s="86">
        <f>data!CE64</f>
        <v>28514111.730000004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759</v>
      </c>
      <c r="E367" s="218"/>
      <c r="F367" s="219"/>
      <c r="G367" s="219"/>
      <c r="H367" s="219"/>
      <c r="I367" s="86">
        <f>data!CE65</f>
        <v>2238041.1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215746.58</v>
      </c>
      <c r="D368" s="86">
        <f>data!CC66</f>
        <v>100593.77</v>
      </c>
      <c r="E368" s="218"/>
      <c r="F368" s="219"/>
      <c r="G368" s="219"/>
      <c r="H368" s="219"/>
      <c r="I368" s="86">
        <f>data!CE66</f>
        <v>13330759.979999995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5106</v>
      </c>
      <c r="D369" s="86">
        <f>data!CC67</f>
        <v>2499120</v>
      </c>
      <c r="E369" s="218"/>
      <c r="F369" s="219"/>
      <c r="G369" s="219"/>
      <c r="H369" s="219"/>
      <c r="I369" s="86">
        <f>data!CE67</f>
        <v>9954950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746989.6</v>
      </c>
      <c r="E370" s="218"/>
      <c r="F370" s="219"/>
      <c r="G370" s="219"/>
      <c r="H370" s="219"/>
      <c r="I370" s="86">
        <f>data!CE68</f>
        <v>2016230.0700000003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2861.7</v>
      </c>
      <c r="E371" s="86">
        <f>data!CD69</f>
        <v>16850374.82</v>
      </c>
      <c r="F371" s="219"/>
      <c r="G371" s="219"/>
      <c r="H371" s="219"/>
      <c r="I371" s="86">
        <f>data!CE69</f>
        <v>17843980.740000002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-14168.75</v>
      </c>
      <c r="D372" s="14">
        <f>-data!CC70</f>
        <v>0</v>
      </c>
      <c r="E372" s="229">
        <f>data!CD70</f>
        <v>1150835.99</v>
      </c>
      <c r="F372" s="220"/>
      <c r="G372" s="220"/>
      <c r="H372" s="220"/>
      <c r="I372" s="14">
        <f>-data!CE70</f>
        <v>-4760725.16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251114.75</v>
      </c>
      <c r="D373" s="86">
        <f>data!CC71</f>
        <v>3463323.1700000004</v>
      </c>
      <c r="E373" s="86">
        <f>data!CD71</f>
        <v>15699538.83</v>
      </c>
      <c r="F373" s="219"/>
      <c r="G373" s="219"/>
      <c r="H373" s="219"/>
      <c r="I373" s="14">
        <f>data!CE71</f>
        <v>172760002.53999999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-806525.79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176757388.26000002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288733798.43000001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465491186.69000006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309</v>
      </c>
      <c r="D380" s="85">
        <f>data!CC76</f>
        <v>151235</v>
      </c>
      <c r="E380" s="214"/>
      <c r="F380" s="211"/>
      <c r="G380" s="211"/>
      <c r="H380" s="211"/>
      <c r="I380" s="14">
        <f>data!CE76</f>
        <v>602427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333727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42.134513841511087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49677.955395641293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652556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207.55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49" transitionEvaluation="1" transitionEntry="1" codeName="Sheet10">
    <pageSetUpPr autoPageBreaks="0" fitToPage="1"/>
  </sheetPr>
  <dimension ref="A1:CF817"/>
  <sheetViews>
    <sheetView showGridLines="0" topLeftCell="D49" zoomScaleNormal="100" workbookViewId="0">
      <selection activeCell="E80" sqref="E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41" width="11.75" style="180"/>
    <col min="42" max="42" width="15.6640625" style="180" bestFit="1" customWidth="1"/>
    <col min="43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20091363.559999999</v>
      </c>
      <c r="C48" s="245">
        <f>ROUND(((B48/CE61)*C61),0)</f>
        <v>492312</v>
      </c>
      <c r="D48" s="245">
        <f>ROUND(((B48/CE61)*D61),0)</f>
        <v>75</v>
      </c>
      <c r="E48" s="195">
        <f>ROUND(((B48/CE61)*E61),0)</f>
        <v>1427107</v>
      </c>
      <c r="F48" s="195">
        <f>ROUND(((B48/CE61)*F61),0)</f>
        <v>1053847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322391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448196</v>
      </c>
      <c r="Q48" s="195">
        <f>ROUND(((B48/CE61)*Q61),0)</f>
        <v>150678</v>
      </c>
      <c r="R48" s="195">
        <f>ROUND(((B48/CE61)*R61),0)</f>
        <v>38105</v>
      </c>
      <c r="S48" s="195">
        <f>ROUND(((B48/CE61)*S61),0)</f>
        <v>71970</v>
      </c>
      <c r="T48" s="195">
        <f>ROUND(((B48/CE61)*T61),0)</f>
        <v>40</v>
      </c>
      <c r="U48" s="195">
        <f>ROUND(((B48/CE61)*U61),0)</f>
        <v>439350</v>
      </c>
      <c r="V48" s="195">
        <f>ROUND(((B48/CE61)*V61),0)</f>
        <v>17095</v>
      </c>
      <c r="W48" s="195">
        <f>ROUND(((B48/CE61)*W61),0)</f>
        <v>82517</v>
      </c>
      <c r="X48" s="195">
        <f>ROUND(((B48/CE61)*X61),0)</f>
        <v>134873</v>
      </c>
      <c r="Y48" s="195">
        <f>ROUND(((B48/CE61)*Y61),0)</f>
        <v>736929</v>
      </c>
      <c r="Z48" s="195">
        <f>ROUND(((B48/CE61)*Z61),0)</f>
        <v>57</v>
      </c>
      <c r="AA48" s="195">
        <f>ROUND(((B48/CE61)*AA61),0)</f>
        <v>82711</v>
      </c>
      <c r="AB48" s="195">
        <f>ROUND(((B48/CE61)*AB61),0)</f>
        <v>461741</v>
      </c>
      <c r="AC48" s="195">
        <f>ROUND(((B48/CE61)*AC61),0)</f>
        <v>316683</v>
      </c>
      <c r="AD48" s="195">
        <f>ROUND(((B48/CE61)*AD61),0)</f>
        <v>0</v>
      </c>
      <c r="AE48" s="195">
        <f>ROUND(((B48/CE61)*AE61),0)</f>
        <v>240112</v>
      </c>
      <c r="AF48" s="195">
        <f>ROUND(((B48/CE61)*AF61),0)</f>
        <v>0</v>
      </c>
      <c r="AG48" s="195">
        <f>ROUND(((B48/CE61)*AG61),0)</f>
        <v>1752835</v>
      </c>
      <c r="AH48" s="195">
        <f>ROUND(((B48/CE61)*AH61),0)</f>
        <v>0</v>
      </c>
      <c r="AI48" s="195">
        <f>ROUND(((B48/CE61)*AI61),0)</f>
        <v>475216</v>
      </c>
      <c r="AJ48" s="195">
        <f>ROUND(((B48/CE61)*AJ61),0)</f>
        <v>288679</v>
      </c>
      <c r="AK48" s="195">
        <f>ROUND(((B48/CE61)*AK61),0)</f>
        <v>0</v>
      </c>
      <c r="AL48" s="195">
        <f>ROUND(((B48/CE61)*AL61),0)</f>
        <v>40321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6673276</v>
      </c>
      <c r="AQ48" s="195">
        <f>ROUND(((B48/CE61)*AQ61),0)</f>
        <v>0</v>
      </c>
      <c r="AR48" s="195">
        <f>ROUND(((B48/CE61)*AR61),0)</f>
        <v>452041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503288</v>
      </c>
      <c r="AX48" s="195">
        <f>ROUND(((B48/CE61)*AX61),0)</f>
        <v>0</v>
      </c>
      <c r="AY48" s="195">
        <f>ROUND(((B48/CE61)*AY61),0)</f>
        <v>302944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100033</v>
      </c>
      <c r="BE48" s="195">
        <f>ROUND(((B48/CE61)*BE61),0)</f>
        <v>212883</v>
      </c>
      <c r="BF48" s="195">
        <f>ROUND(((B48/CE61)*BF61),0)</f>
        <v>400830</v>
      </c>
      <c r="BG48" s="195">
        <f>ROUND(((B48/CE61)*BG61),0)</f>
        <v>65522</v>
      </c>
      <c r="BH48" s="195">
        <f>ROUND(((B48/CE61)*BH61),0)</f>
        <v>396979</v>
      </c>
      <c r="BI48" s="195">
        <f>ROUND(((B48/CE61)*BI61),0)</f>
        <v>0</v>
      </c>
      <c r="BJ48" s="195">
        <f>ROUND(((B48/CE61)*BJ61),0)</f>
        <v>125920</v>
      </c>
      <c r="BK48" s="195">
        <f>ROUND(((B48/CE61)*BK61),0)</f>
        <v>253818</v>
      </c>
      <c r="BL48" s="195">
        <f>ROUND(((B48/CE61)*BL61),0)</f>
        <v>240250</v>
      </c>
      <c r="BM48" s="195">
        <f>ROUND(((B48/CE61)*BM61),0)</f>
        <v>0</v>
      </c>
      <c r="BN48" s="195">
        <f>ROUND(((B48/CE61)*BN61),0)</f>
        <v>172041</v>
      </c>
      <c r="BO48" s="195">
        <f>ROUND(((B48/CE61)*BO61),0)</f>
        <v>30692</v>
      </c>
      <c r="BP48" s="195">
        <f>ROUND(((B48/CE61)*BP61),0)</f>
        <v>63283</v>
      </c>
      <c r="BQ48" s="195">
        <f>ROUND(((B48/CE61)*BQ61),0)</f>
        <v>0</v>
      </c>
      <c r="BR48" s="195">
        <f>ROUND(((B48/CE61)*BR61),0)</f>
        <v>96670</v>
      </c>
      <c r="BS48" s="195">
        <f>ROUND(((B48/CE61)*BS61),0)</f>
        <v>59963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133420</v>
      </c>
      <c r="BW48" s="195">
        <f>ROUND(((B48/CE61)*BW61),0)</f>
        <v>43885</v>
      </c>
      <c r="BX48" s="195">
        <f>ROUND(((B48/CE61)*BX61),0)</f>
        <v>259873</v>
      </c>
      <c r="BY48" s="195">
        <f>ROUND(((B48/CE61)*BY61),0)</f>
        <v>366135</v>
      </c>
      <c r="BZ48" s="195">
        <f>ROUND(((B48/CE61)*BZ61),0)</f>
        <v>0</v>
      </c>
      <c r="CA48" s="195">
        <f>ROUND(((B48/CE61)*CA61),0)</f>
        <v>40794</v>
      </c>
      <c r="CB48" s="195">
        <f>ROUND(((B48/CE61)*CB61),0)</f>
        <v>15831</v>
      </c>
      <c r="CC48" s="195">
        <f>ROUND(((B48/CE61)*CC61),0)</f>
        <v>7153</v>
      </c>
      <c r="CD48" s="195"/>
      <c r="CE48" s="195">
        <f>SUM(C48:CD48)</f>
        <v>20091364</v>
      </c>
    </row>
    <row r="49" spans="1:84" ht="12.6" customHeight="1" x14ac:dyDescent="0.25">
      <c r="A49" s="175" t="s">
        <v>206</v>
      </c>
      <c r="B49" s="195">
        <f>B47+B48</f>
        <v>20091363.559999999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12765535</v>
      </c>
      <c r="C52" s="195">
        <f>ROUND((B52/(CE76+CF76)*C76),0)</f>
        <v>165816</v>
      </c>
      <c r="D52" s="195">
        <f>ROUND((B52/(CE76+CF76)*D76),0)</f>
        <v>0</v>
      </c>
      <c r="E52" s="195">
        <f>ROUND((B52/(CE76+CF76)*E76),0)</f>
        <v>670092</v>
      </c>
      <c r="F52" s="195">
        <f>ROUND((B52/(CE76+CF76)*F76),0)</f>
        <v>265926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68204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452388</v>
      </c>
      <c r="Q52" s="195">
        <f>ROUND((B52/(CE76+CF76)*Q76),0)</f>
        <v>67680</v>
      </c>
      <c r="R52" s="195">
        <f>ROUND((B52/(CE76+CF76)*R76),0)</f>
        <v>12609</v>
      </c>
      <c r="S52" s="195">
        <f>ROUND((B52/(CE76+CF76)*S76),0)</f>
        <v>97995</v>
      </c>
      <c r="T52" s="195">
        <f>ROUND((B52/(CE76+CF76)*T76),0)</f>
        <v>0</v>
      </c>
      <c r="U52" s="195">
        <f>ROUND((B52/(CE76+CF76)*U76),0)</f>
        <v>312657</v>
      </c>
      <c r="V52" s="195">
        <f>ROUND((B52/(CE76+CF76)*V76),0)</f>
        <v>5499</v>
      </c>
      <c r="W52" s="195">
        <f>ROUND((B52/(CE76+CF76)*W76),0)</f>
        <v>128330</v>
      </c>
      <c r="X52" s="195">
        <f>ROUND((B52/(CE76+CF76)*X76),0)</f>
        <v>73622</v>
      </c>
      <c r="Y52" s="195">
        <f>ROUND((B52/(CE76+CF76)*Y76),0)</f>
        <v>498415</v>
      </c>
      <c r="Z52" s="195">
        <f>ROUND((B52/(CE76+CF76)*Z76),0)</f>
        <v>0</v>
      </c>
      <c r="AA52" s="195">
        <f>ROUND((B52/(CE76+CF76)*AA76),0)</f>
        <v>127847</v>
      </c>
      <c r="AB52" s="195">
        <f>ROUND((B52/(CE76+CF76)*AB76),0)</f>
        <v>151716</v>
      </c>
      <c r="AC52" s="195">
        <f>ROUND((B52/(CE76+CF76)*AC76),0)</f>
        <v>96585</v>
      </c>
      <c r="AD52" s="195">
        <f>ROUND((B52/(CE76+CF76)*AD76),0)</f>
        <v>0</v>
      </c>
      <c r="AE52" s="195">
        <f>ROUND((B52/(CE76+CF76)*AE76),0)</f>
        <v>164225</v>
      </c>
      <c r="AF52" s="195">
        <f>ROUND((B52/(CE76+CF76)*AF76),0)</f>
        <v>0</v>
      </c>
      <c r="AG52" s="195">
        <f>ROUND((B52/(CE76+CF76)*AG76),0)</f>
        <v>252027</v>
      </c>
      <c r="AH52" s="195">
        <f>ROUND((B52/(CE76+CF76)*AH76),0)</f>
        <v>0</v>
      </c>
      <c r="AI52" s="195">
        <f>ROUND((B52/(CE76+CF76)*AI76),0)</f>
        <v>509775</v>
      </c>
      <c r="AJ52" s="195">
        <f>ROUND((B52/(CE76+CF76)*AJ76),0)</f>
        <v>183602</v>
      </c>
      <c r="AK52" s="195">
        <f>ROUND((B52/(CE76+CF76)*AK76),0)</f>
        <v>0</v>
      </c>
      <c r="AL52" s="195">
        <f>ROUND((B52/(CE76+CF76)*AL76),0)</f>
        <v>4029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2855351</v>
      </c>
      <c r="AQ52" s="195">
        <f>ROUND((B52/(CE76+CF76)*AQ76),0)</f>
        <v>0</v>
      </c>
      <c r="AR52" s="195">
        <f>ROUND((B52/(CE76+CF76)*AR76),0)</f>
        <v>85386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40870</v>
      </c>
      <c r="AX52" s="195">
        <f>ROUND((B52/(CE76+CF76)*AX76),0)</f>
        <v>0</v>
      </c>
      <c r="AY52" s="195">
        <f>ROUND((B52/(CE76+CF76)*AY76),0)</f>
        <v>209466</v>
      </c>
      <c r="AZ52" s="195">
        <f>ROUND((B52/(CE76+CF76)*AZ76),0)</f>
        <v>0</v>
      </c>
      <c r="BA52" s="195">
        <f>ROUND((B52/(CE76+CF76)*BA76),0)</f>
        <v>34444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159813</v>
      </c>
      <c r="BE52" s="195">
        <f>ROUND((B52/(CE76+CF76)*BE76),0)</f>
        <v>944579</v>
      </c>
      <c r="BF52" s="195">
        <f>ROUND((B52/(CE76+CF76)*BF76),0)</f>
        <v>57931</v>
      </c>
      <c r="BG52" s="195">
        <f>ROUND((B52/(CE76+CF76)*BG76),0)</f>
        <v>66612</v>
      </c>
      <c r="BH52" s="195">
        <f>ROUND((B52/(CE76+CF76)*BH76),0)</f>
        <v>119931</v>
      </c>
      <c r="BI52" s="195">
        <f>ROUND((B52/(CE76+CF76)*BI76),0)</f>
        <v>0</v>
      </c>
      <c r="BJ52" s="195">
        <f>ROUND((B52/(CE76+CF76)*BJ76),0)</f>
        <v>48363</v>
      </c>
      <c r="BK52" s="195">
        <f>ROUND((B52/(CE76+CF76)*BK76),0)</f>
        <v>221712</v>
      </c>
      <c r="BL52" s="195">
        <f>ROUND((B52/(CE76+CF76)*BL76),0)</f>
        <v>117957</v>
      </c>
      <c r="BM52" s="195">
        <f>ROUND((B52/(CE76+CF76)*BM76),0)</f>
        <v>0</v>
      </c>
      <c r="BN52" s="195">
        <f>ROUND((B52/(CE76+CF76)*BN76),0)</f>
        <v>57709</v>
      </c>
      <c r="BO52" s="195">
        <f>ROUND((B52/(CE76+CF76)*BO76),0)</f>
        <v>4250</v>
      </c>
      <c r="BP52" s="195">
        <f>ROUND((B52/(CE76+CF76)*BP76),0)</f>
        <v>39943</v>
      </c>
      <c r="BQ52" s="195">
        <f>ROUND((B52/(CE76+CF76)*BQ76),0)</f>
        <v>0</v>
      </c>
      <c r="BR52" s="195">
        <f>ROUND((B52/(CE76+CF76)*BR76),0)</f>
        <v>33236</v>
      </c>
      <c r="BS52" s="195">
        <f>ROUND((B52/(CE76+CF76)*BS76),0)</f>
        <v>76825</v>
      </c>
      <c r="BT52" s="195">
        <f>ROUND((B52/(CE76+CF76)*BT76),0)</f>
        <v>17383</v>
      </c>
      <c r="BU52" s="195">
        <f>ROUND((B52/(CE76+CF76)*BU76),0)</f>
        <v>0</v>
      </c>
      <c r="BV52" s="195">
        <f>ROUND((B52/(CE76+CF76)*BV76),0)</f>
        <v>51344</v>
      </c>
      <c r="BW52" s="195">
        <f>ROUND((B52/(CE76+CF76)*BW76),0)</f>
        <v>76281</v>
      </c>
      <c r="BX52" s="195">
        <f>ROUND((B52/(CE76+CF76)*BX76),0)</f>
        <v>29670</v>
      </c>
      <c r="BY52" s="195">
        <f>ROUND((B52/(CE76+CF76)*BY76),0)</f>
        <v>97975</v>
      </c>
      <c r="BZ52" s="195">
        <f>ROUND((B52/(CE76+CF76)*BZ76),0)</f>
        <v>0</v>
      </c>
      <c r="CA52" s="195">
        <f>ROUND((B52/(CE76+CF76)*CA76),0)</f>
        <v>44355</v>
      </c>
      <c r="CB52" s="195">
        <f>ROUND((B52/(CE76+CF76)*CB76),0)</f>
        <v>6224</v>
      </c>
      <c r="CC52" s="195">
        <f>ROUND((B52/(CE76+CF76)*CC76),0)</f>
        <v>2958885</v>
      </c>
      <c r="CD52" s="195"/>
      <c r="CE52" s="195">
        <f>SUM(C52:CD52)</f>
        <v>12765534</v>
      </c>
    </row>
    <row r="53" spans="1:84" ht="12.6" customHeight="1" x14ac:dyDescent="0.25">
      <c r="A53" s="175" t="s">
        <v>206</v>
      </c>
      <c r="B53" s="195">
        <f>B51+B52</f>
        <v>12765535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1861</v>
      </c>
      <c r="D59" s="184"/>
      <c r="E59" s="184">
        <f>13+13546</f>
        <v>13559</v>
      </c>
      <c r="F59" s="184">
        <v>3325</v>
      </c>
      <c r="G59" s="184"/>
      <c r="H59" s="184"/>
      <c r="I59" s="184"/>
      <c r="J59" s="184">
        <v>3574</v>
      </c>
      <c r="K59" s="184"/>
      <c r="L59" s="184"/>
      <c r="M59" s="184"/>
      <c r="N59" s="184"/>
      <c r="O59" s="184"/>
      <c r="P59" s="185">
        <v>328103</v>
      </c>
      <c r="Q59" s="185">
        <v>144644</v>
      </c>
      <c r="R59" s="185"/>
      <c r="S59" s="248"/>
      <c r="T59" s="248"/>
      <c r="U59" s="224">
        <v>445324</v>
      </c>
      <c r="V59" s="185">
        <v>794</v>
      </c>
      <c r="W59" s="185">
        <f>1466+1820</f>
        <v>3286</v>
      </c>
      <c r="X59" s="185">
        <f>9018+2816+345</f>
        <v>12179</v>
      </c>
      <c r="Y59" s="185">
        <v>66506</v>
      </c>
      <c r="Z59" s="185"/>
      <c r="AA59" s="185">
        <f>1018+485</f>
        <v>1503</v>
      </c>
      <c r="AB59" s="248"/>
      <c r="AC59" s="185">
        <v>49974</v>
      </c>
      <c r="AD59" s="185"/>
      <c r="AE59" s="185">
        <v>32011</v>
      </c>
      <c r="AF59" s="185"/>
      <c r="AG59" s="185">
        <v>29126</v>
      </c>
      <c r="AH59" s="185"/>
      <c r="AI59" s="185">
        <f>12112+7812</f>
        <v>19924</v>
      </c>
      <c r="AJ59" s="185">
        <f>2701+842+6891</f>
        <v>10434</v>
      </c>
      <c r="AK59" s="185"/>
      <c r="AL59" s="185">
        <v>5702</v>
      </c>
      <c r="AM59" s="185"/>
      <c r="AN59" s="185"/>
      <c r="AO59" s="185"/>
      <c r="AP59" s="185">
        <v>206548</v>
      </c>
      <c r="AQ59" s="185"/>
      <c r="AR59" s="185">
        <v>12874</v>
      </c>
      <c r="AS59" s="185"/>
      <c r="AT59" s="185"/>
      <c r="AU59" s="185"/>
      <c r="AV59" s="248"/>
      <c r="AW59" s="248"/>
      <c r="AX59" s="248"/>
      <c r="AY59" s="185">
        <v>378225</v>
      </c>
      <c r="AZ59" s="185"/>
      <c r="BA59" s="248"/>
      <c r="BB59" s="248"/>
      <c r="BC59" s="248"/>
      <c r="BD59" s="248"/>
      <c r="BE59" s="185">
        <v>633750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20.9</v>
      </c>
      <c r="D60" s="187"/>
      <c r="E60" s="187">
        <f>40+38.9</f>
        <v>78.900000000000006</v>
      </c>
      <c r="F60" s="223">
        <v>48.48</v>
      </c>
      <c r="G60" s="187"/>
      <c r="H60" s="187"/>
      <c r="I60" s="187"/>
      <c r="J60" s="223">
        <v>12.9</v>
      </c>
      <c r="K60" s="187"/>
      <c r="L60" s="187"/>
      <c r="M60" s="187"/>
      <c r="N60" s="187"/>
      <c r="O60" s="187"/>
      <c r="P60" s="221">
        <f>26.7+0</f>
        <v>26.7</v>
      </c>
      <c r="Q60" s="221">
        <v>6</v>
      </c>
      <c r="R60" s="221">
        <v>2</v>
      </c>
      <c r="S60" s="221">
        <v>7</v>
      </c>
      <c r="T60" s="221"/>
      <c r="U60" s="221">
        <f>23.25+1+4.5</f>
        <v>28.75</v>
      </c>
      <c r="V60" s="221">
        <v>1</v>
      </c>
      <c r="W60" s="221">
        <v>3</v>
      </c>
      <c r="X60" s="221">
        <f>5</f>
        <v>5</v>
      </c>
      <c r="Y60" s="221">
        <f>18.9+7.5+3+2.6+2+4</f>
        <v>38</v>
      </c>
      <c r="Z60" s="221"/>
      <c r="AA60" s="221">
        <v>4</v>
      </c>
      <c r="AB60" s="221">
        <f>15.25+2.1</f>
        <v>17.350000000000001</v>
      </c>
      <c r="AC60" s="221">
        <v>15.6</v>
      </c>
      <c r="AD60" s="221"/>
      <c r="AE60" s="221">
        <v>10.55</v>
      </c>
      <c r="AF60" s="221"/>
      <c r="AG60" s="221">
        <f>29.7+12.7+1+1</f>
        <v>44.4</v>
      </c>
      <c r="AH60" s="221"/>
      <c r="AI60" s="221">
        <f>16.03+5.8</f>
        <v>21.830000000000002</v>
      </c>
      <c r="AJ60" s="221">
        <f>0.9+9.5+5.5</f>
        <v>15.9</v>
      </c>
      <c r="AK60" s="221"/>
      <c r="AL60" s="221">
        <v>1.5</v>
      </c>
      <c r="AM60" s="221"/>
      <c r="AN60" s="221"/>
      <c r="AO60" s="221"/>
      <c r="AP60" s="221">
        <f>6.85+4.2+8+23.9+17.6+12+28.3+35.03+11.4+5.15+12.35+31.7+14.5+2</f>
        <v>212.98</v>
      </c>
      <c r="AQ60" s="221"/>
      <c r="AR60" s="221">
        <v>18.2</v>
      </c>
      <c r="AS60" s="221"/>
      <c r="AT60" s="221"/>
      <c r="AU60" s="221"/>
      <c r="AV60" s="221"/>
      <c r="AW60" s="221">
        <v>32.700000000000003</v>
      </c>
      <c r="AX60" s="221"/>
      <c r="AY60" s="221">
        <v>28.19</v>
      </c>
      <c r="AZ60" s="221"/>
      <c r="BA60" s="221"/>
      <c r="BB60" s="221"/>
      <c r="BC60" s="221"/>
      <c r="BD60" s="221">
        <v>8.9</v>
      </c>
      <c r="BE60" s="221">
        <f>8.45+1</f>
        <v>9.4499999999999993</v>
      </c>
      <c r="BF60" s="221">
        <v>41.4</v>
      </c>
      <c r="BG60" s="221">
        <v>3</v>
      </c>
      <c r="BH60" s="221">
        <v>19.600000000000001</v>
      </c>
      <c r="BI60" s="221"/>
      <c r="BJ60" s="221">
        <v>8</v>
      </c>
      <c r="BK60" s="221">
        <f>25+4.5</f>
        <v>29.5</v>
      </c>
      <c r="BL60" s="221">
        <v>21.54</v>
      </c>
      <c r="BM60" s="221"/>
      <c r="BN60" s="221">
        <v>6</v>
      </c>
      <c r="BO60" s="221">
        <v>1</v>
      </c>
      <c r="BP60" s="221">
        <v>3</v>
      </c>
      <c r="BQ60" s="221"/>
      <c r="BR60" s="221">
        <v>4.5</v>
      </c>
      <c r="BS60" s="221">
        <v>3</v>
      </c>
      <c r="BT60" s="221"/>
      <c r="BU60" s="221"/>
      <c r="BV60" s="221">
        <v>9</v>
      </c>
      <c r="BW60" s="221">
        <v>3</v>
      </c>
      <c r="BX60" s="221">
        <v>15</v>
      </c>
      <c r="BY60" s="221">
        <v>18.7</v>
      </c>
      <c r="BZ60" s="221"/>
      <c r="CA60" s="221">
        <v>3</v>
      </c>
      <c r="CB60" s="221"/>
      <c r="CC60" s="221"/>
      <c r="CD60" s="249" t="s">
        <v>221</v>
      </c>
      <c r="CE60" s="251">
        <f t="shared" ref="CE60:CE70" si="0">SUM(C60:CD60)</f>
        <v>909.42000000000019</v>
      </c>
    </row>
    <row r="61" spans="1:84" ht="12.6" customHeight="1" x14ac:dyDescent="0.25">
      <c r="A61" s="171" t="s">
        <v>235</v>
      </c>
      <c r="B61" s="175"/>
      <c r="C61" s="184">
        <f>1704201.05+257853.83+34725.56</f>
        <v>1996780.4400000002</v>
      </c>
      <c r="D61" s="184">
        <v>304</v>
      </c>
      <c r="E61" s="184">
        <f>3203703.03+2584533.63</f>
        <v>5788236.6600000001</v>
      </c>
      <c r="F61" s="185">
        <v>4274323.9000000004</v>
      </c>
      <c r="G61" s="184"/>
      <c r="H61" s="184"/>
      <c r="I61" s="185"/>
      <c r="J61" s="185">
        <v>1307594.42</v>
      </c>
      <c r="K61" s="185"/>
      <c r="L61" s="185"/>
      <c r="M61" s="184"/>
      <c r="N61" s="184"/>
      <c r="O61" s="184"/>
      <c r="P61" s="185">
        <f>1814263.55+3586.76</f>
        <v>1817850.31</v>
      </c>
      <c r="Q61" s="185">
        <v>611139.63</v>
      </c>
      <c r="R61" s="185">
        <v>154550.06</v>
      </c>
      <c r="S61" s="185">
        <v>291906.02</v>
      </c>
      <c r="T61" s="185">
        <v>162.72</v>
      </c>
      <c r="U61" s="185">
        <f>1200574.74+268395.42+250792.32+62206.93</f>
        <v>1781969.41</v>
      </c>
      <c r="V61" s="185">
        <v>69336.100000000006</v>
      </c>
      <c r="W61" s="185">
        <f>214004.45+120676.38</f>
        <v>334680.83</v>
      </c>
      <c r="X61" s="185">
        <f>418450.4+72943.99+55639.66</f>
        <v>547034.05000000005</v>
      </c>
      <c r="Y61" s="185">
        <f>1014942.2+2501.86+845971.32+305771+266806.56+172024.78+177709.67+203200.4</f>
        <v>2988927.7899999996</v>
      </c>
      <c r="Z61" s="185">
        <v>230.44</v>
      </c>
      <c r="AA61" s="185">
        <f>276217.78+59250.47</f>
        <v>335468.25</v>
      </c>
      <c r="AB61" s="185">
        <f>1585659.17+287126.09</f>
        <v>1872785.26</v>
      </c>
      <c r="AC61" s="185">
        <v>1284443.75</v>
      </c>
      <c r="AD61" s="185"/>
      <c r="AE61" s="185">
        <v>973875.32</v>
      </c>
      <c r="AF61" s="185"/>
      <c r="AG61" s="185">
        <f>3178898.17+2583235.98+534551.62+715546.4+90931.48+6200</f>
        <v>7109363.6500000013</v>
      </c>
      <c r="AH61" s="185"/>
      <c r="AI61" s="185">
        <f>165436.56+1329460.77+432543.1</f>
        <v>1927440.4300000002</v>
      </c>
      <c r="AJ61" s="185">
        <f>95800.42+673736.04+401324.17</f>
        <v>1170860.6300000001</v>
      </c>
      <c r="AK61" s="185"/>
      <c r="AL61" s="185">
        <v>163536.95999999999</v>
      </c>
      <c r="AM61" s="185"/>
      <c r="AN61" s="185"/>
      <c r="AO61" s="185"/>
      <c r="AP61" s="185">
        <f>462792.57+3050605.88+536115.45+3881953.43+1755106.64+42388.25+1004928.81+6350895.02+415167.93+2343472.99+864588.3+797493.93+927502.04+820148.48+200359.75+661321.02+2576591.81+328885.33+3099.41+42883.4</f>
        <v>27066300.439999994</v>
      </c>
      <c r="AQ61" s="185"/>
      <c r="AR61" s="185">
        <v>1833442.99</v>
      </c>
      <c r="AS61" s="185"/>
      <c r="AT61" s="185"/>
      <c r="AU61" s="185"/>
      <c r="AV61" s="185"/>
      <c r="AW61" s="185">
        <v>2041296.53</v>
      </c>
      <c r="AX61" s="185"/>
      <c r="AY61" s="185">
        <v>1228716.3799999999</v>
      </c>
      <c r="AZ61" s="185"/>
      <c r="BA61" s="185"/>
      <c r="BB61" s="185"/>
      <c r="BC61" s="185"/>
      <c r="BD61" s="185">
        <f>405727.36</f>
        <v>405727.36</v>
      </c>
      <c r="BE61" s="185">
        <f>793816.44+14030.65+55588.57</f>
        <v>863435.65999999992</v>
      </c>
      <c r="BF61" s="185">
        <v>1625736.34</v>
      </c>
      <c r="BG61" s="185">
        <f>265751.98</f>
        <v>265751.98</v>
      </c>
      <c r="BH61" s="185">
        <f>1602115.82+8000</f>
        <v>1610115.82</v>
      </c>
      <c r="BI61" s="185"/>
      <c r="BJ61" s="185">
        <v>510722.96</v>
      </c>
      <c r="BK61" s="185">
        <f>443514.23+585954.21</f>
        <v>1029468.44</v>
      </c>
      <c r="BL61" s="185">
        <v>974436.78</v>
      </c>
      <c r="BM61" s="185"/>
      <c r="BN61" s="185">
        <f>1287611.42-589826.22</f>
        <v>697785.2</v>
      </c>
      <c r="BO61" s="185">
        <v>124482.79</v>
      </c>
      <c r="BP61" s="185">
        <v>256671.19</v>
      </c>
      <c r="BQ61" s="185"/>
      <c r="BR61" s="185">
        <f>315579.03+76506.93</f>
        <v>392085.96</v>
      </c>
      <c r="BS61" s="185">
        <f>84006.3+159198.08</f>
        <v>243204.38</v>
      </c>
      <c r="BT61" s="185"/>
      <c r="BU61" s="185"/>
      <c r="BV61" s="185">
        <v>541142.93000000005</v>
      </c>
      <c r="BW61" s="185">
        <f>177992.23</f>
        <v>177992.23</v>
      </c>
      <c r="BX61" s="185">
        <f>77.48+868807.71+4400.72+180739.82</f>
        <v>1054025.73</v>
      </c>
      <c r="BY61" s="185">
        <f>1482449.27+2566.66</f>
        <v>1485015.93</v>
      </c>
      <c r="BZ61" s="185"/>
      <c r="CA61" s="185">
        <v>165457.21</v>
      </c>
      <c r="CB61" s="185">
        <v>64210.48</v>
      </c>
      <c r="CC61" s="185">
        <v>29014</v>
      </c>
      <c r="CD61" s="249" t="s">
        <v>221</v>
      </c>
      <c r="CE61" s="195">
        <f t="shared" si="0"/>
        <v>81489040.739999995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492312</v>
      </c>
      <c r="D62" s="195">
        <f t="shared" si="1"/>
        <v>75</v>
      </c>
      <c r="E62" s="195">
        <f t="shared" si="1"/>
        <v>1427107</v>
      </c>
      <c r="F62" s="195">
        <f t="shared" si="1"/>
        <v>1053847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322391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448196</v>
      </c>
      <c r="Q62" s="195">
        <f t="shared" si="1"/>
        <v>150678</v>
      </c>
      <c r="R62" s="195">
        <f t="shared" si="1"/>
        <v>38105</v>
      </c>
      <c r="S62" s="195">
        <f t="shared" si="1"/>
        <v>71970</v>
      </c>
      <c r="T62" s="195">
        <f t="shared" si="1"/>
        <v>40</v>
      </c>
      <c r="U62" s="195">
        <f t="shared" si="1"/>
        <v>439350</v>
      </c>
      <c r="V62" s="195">
        <f t="shared" si="1"/>
        <v>17095</v>
      </c>
      <c r="W62" s="195">
        <f t="shared" si="1"/>
        <v>82517</v>
      </c>
      <c r="X62" s="195">
        <f t="shared" si="1"/>
        <v>134873</v>
      </c>
      <c r="Y62" s="195">
        <f t="shared" si="1"/>
        <v>736929</v>
      </c>
      <c r="Z62" s="195">
        <f t="shared" si="1"/>
        <v>57</v>
      </c>
      <c r="AA62" s="195">
        <f t="shared" si="1"/>
        <v>82711</v>
      </c>
      <c r="AB62" s="195">
        <f t="shared" si="1"/>
        <v>461741</v>
      </c>
      <c r="AC62" s="195">
        <f t="shared" si="1"/>
        <v>316683</v>
      </c>
      <c r="AD62" s="195">
        <f t="shared" si="1"/>
        <v>0</v>
      </c>
      <c r="AE62" s="195">
        <f t="shared" si="1"/>
        <v>240112</v>
      </c>
      <c r="AF62" s="195">
        <f t="shared" si="1"/>
        <v>0</v>
      </c>
      <c r="AG62" s="195">
        <f t="shared" si="1"/>
        <v>1752835</v>
      </c>
      <c r="AH62" s="195">
        <f t="shared" si="1"/>
        <v>0</v>
      </c>
      <c r="AI62" s="195">
        <f t="shared" si="1"/>
        <v>475216</v>
      </c>
      <c r="AJ62" s="195">
        <f t="shared" si="1"/>
        <v>288679</v>
      </c>
      <c r="AK62" s="195">
        <f t="shared" si="1"/>
        <v>0</v>
      </c>
      <c r="AL62" s="195">
        <f t="shared" si="1"/>
        <v>40321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6673276</v>
      </c>
      <c r="AQ62" s="195">
        <f t="shared" si="1"/>
        <v>0</v>
      </c>
      <c r="AR62" s="195">
        <f t="shared" si="1"/>
        <v>452041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503288</v>
      </c>
      <c r="AX62" s="195">
        <f t="shared" si="1"/>
        <v>0</v>
      </c>
      <c r="AY62" s="195">
        <f>ROUND(AY47+AY48,0)</f>
        <v>302944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100033</v>
      </c>
      <c r="BE62" s="195">
        <f t="shared" si="1"/>
        <v>212883</v>
      </c>
      <c r="BF62" s="195">
        <f t="shared" si="1"/>
        <v>400830</v>
      </c>
      <c r="BG62" s="195">
        <f t="shared" si="1"/>
        <v>65522</v>
      </c>
      <c r="BH62" s="195">
        <f t="shared" si="1"/>
        <v>396979</v>
      </c>
      <c r="BI62" s="195">
        <f t="shared" si="1"/>
        <v>0</v>
      </c>
      <c r="BJ62" s="195">
        <f t="shared" si="1"/>
        <v>125920</v>
      </c>
      <c r="BK62" s="195">
        <f t="shared" si="1"/>
        <v>253818</v>
      </c>
      <c r="BL62" s="195">
        <f t="shared" si="1"/>
        <v>240250</v>
      </c>
      <c r="BM62" s="195">
        <f t="shared" si="1"/>
        <v>0</v>
      </c>
      <c r="BN62" s="195">
        <f t="shared" si="1"/>
        <v>172041</v>
      </c>
      <c r="BO62" s="195">
        <f t="shared" ref="BO62:CC62" si="2">ROUND(BO47+BO48,0)</f>
        <v>30692</v>
      </c>
      <c r="BP62" s="195">
        <f t="shared" si="2"/>
        <v>63283</v>
      </c>
      <c r="BQ62" s="195">
        <f t="shared" si="2"/>
        <v>0</v>
      </c>
      <c r="BR62" s="195">
        <f t="shared" si="2"/>
        <v>96670</v>
      </c>
      <c r="BS62" s="195">
        <f t="shared" si="2"/>
        <v>59963</v>
      </c>
      <c r="BT62" s="195">
        <f t="shared" si="2"/>
        <v>0</v>
      </c>
      <c r="BU62" s="195">
        <f t="shared" si="2"/>
        <v>0</v>
      </c>
      <c r="BV62" s="195">
        <f t="shared" si="2"/>
        <v>133420</v>
      </c>
      <c r="BW62" s="195">
        <f t="shared" si="2"/>
        <v>43885</v>
      </c>
      <c r="BX62" s="195">
        <f t="shared" si="2"/>
        <v>259873</v>
      </c>
      <c r="BY62" s="195">
        <f t="shared" si="2"/>
        <v>366135</v>
      </c>
      <c r="BZ62" s="195">
        <f t="shared" si="2"/>
        <v>0</v>
      </c>
      <c r="CA62" s="195">
        <f t="shared" si="2"/>
        <v>40794</v>
      </c>
      <c r="CB62" s="195">
        <f t="shared" si="2"/>
        <v>15831</v>
      </c>
      <c r="CC62" s="195">
        <f t="shared" si="2"/>
        <v>7153</v>
      </c>
      <c r="CD62" s="249" t="s">
        <v>221</v>
      </c>
      <c r="CE62" s="195">
        <f t="shared" si="0"/>
        <v>20091364</v>
      </c>
      <c r="CF62" s="252"/>
    </row>
    <row r="63" spans="1:84" ht="12.6" customHeight="1" x14ac:dyDescent="0.25">
      <c r="A63" s="171" t="s">
        <v>236</v>
      </c>
      <c r="B63" s="175"/>
      <c r="C63" s="184">
        <v>111324</v>
      </c>
      <c r="D63" s="184"/>
      <c r="E63" s="184">
        <v>1691</v>
      </c>
      <c r="F63" s="185">
        <v>300346.5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163570.9</v>
      </c>
      <c r="Q63" s="185"/>
      <c r="R63" s="185"/>
      <c r="S63" s="185"/>
      <c r="T63" s="185"/>
      <c r="U63" s="185">
        <f>338909.5+95727+24691.4</f>
        <v>459327.9</v>
      </c>
      <c r="V63" s="185">
        <v>36400</v>
      </c>
      <c r="W63" s="185"/>
      <c r="X63" s="185"/>
      <c r="Y63" s="185">
        <f>1333833+295859.4+310000</f>
        <v>1939692.4</v>
      </c>
      <c r="Z63" s="185"/>
      <c r="AA63" s="185"/>
      <c r="AB63" s="185"/>
      <c r="AC63" s="185">
        <v>38929</v>
      </c>
      <c r="AD63" s="185"/>
      <c r="AE63" s="185"/>
      <c r="AF63" s="185"/>
      <c r="AG63" s="185">
        <f>303053.7+462205.2+374528.2+4400</f>
        <v>1144187.1000000001</v>
      </c>
      <c r="AH63" s="185"/>
      <c r="AI63" s="185"/>
      <c r="AJ63" s="185">
        <f>364662.9</f>
        <v>364662.9</v>
      </c>
      <c r="AK63" s="185"/>
      <c r="AL63" s="185"/>
      <c r="AM63" s="185"/>
      <c r="AN63" s="185"/>
      <c r="AO63" s="185"/>
      <c r="AP63" s="185">
        <f>1923.84+114165.1+58060.32+1092000+16289.64</f>
        <v>1282438.8999999999</v>
      </c>
      <c r="AQ63" s="185"/>
      <c r="AR63" s="185">
        <v>7464.27</v>
      </c>
      <c r="AS63" s="185"/>
      <c r="AT63" s="185"/>
      <c r="AU63" s="185"/>
      <c r="AV63" s="185"/>
      <c r="AW63" s="185">
        <v>33600</v>
      </c>
      <c r="AX63" s="185"/>
      <c r="AY63" s="185">
        <v>108975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93615.87</v>
      </c>
      <c r="BK63" s="185">
        <v>1339196</v>
      </c>
      <c r="BL63" s="185"/>
      <c r="BM63" s="185"/>
      <c r="BN63" s="185">
        <v>2958531</v>
      </c>
      <c r="BO63" s="185"/>
      <c r="BP63" s="185"/>
      <c r="BQ63" s="185"/>
      <c r="BR63" s="185">
        <f>42971.88+2358</f>
        <v>45329.88</v>
      </c>
      <c r="BS63" s="185"/>
      <c r="BT63" s="185"/>
      <c r="BU63" s="185"/>
      <c r="BV63" s="185"/>
      <c r="BW63" s="185">
        <v>77500</v>
      </c>
      <c r="BX63" s="185">
        <v>4616.3599999999997</v>
      </c>
      <c r="BY63" s="185"/>
      <c r="BZ63" s="185"/>
      <c r="CA63" s="185"/>
      <c r="CB63" s="185"/>
      <c r="CC63" s="185">
        <v>264527.8</v>
      </c>
      <c r="CD63" s="249" t="s">
        <v>221</v>
      </c>
      <c r="CE63" s="195">
        <f t="shared" si="0"/>
        <v>10775926.780000003</v>
      </c>
      <c r="CF63" s="252"/>
    </row>
    <row r="64" spans="1:84" ht="12.6" customHeight="1" x14ac:dyDescent="0.25">
      <c r="A64" s="171" t="s">
        <v>237</v>
      </c>
      <c r="B64" s="175"/>
      <c r="C64" s="184">
        <f>195849.07+6101.55+71246.45</f>
        <v>273197.07</v>
      </c>
      <c r="D64" s="184">
        <v>20</v>
      </c>
      <c r="E64" s="185">
        <f>295435.52+250534-5</f>
        <v>545964.52</v>
      </c>
      <c r="F64" s="185">
        <v>508371.29</v>
      </c>
      <c r="G64" s="184"/>
      <c r="H64" s="184"/>
      <c r="I64" s="185"/>
      <c r="J64" s="185">
        <v>103369.42</v>
      </c>
      <c r="K64" s="185"/>
      <c r="L64" s="185"/>
      <c r="M64" s="184"/>
      <c r="N64" s="184"/>
      <c r="O64" s="184"/>
      <c r="P64" s="185">
        <f>9955016.44+2939.22</f>
        <v>9957955.6600000001</v>
      </c>
      <c r="Q64" s="185">
        <v>22825.41</v>
      </c>
      <c r="R64" s="185">
        <v>297023.17</v>
      </c>
      <c r="S64" s="185">
        <v>652469.9</v>
      </c>
      <c r="T64" s="185">
        <v>1084464.47</v>
      </c>
      <c r="U64" s="185">
        <f>1460501.8+223642.31+202991.87-173.72</f>
        <v>1886962.26</v>
      </c>
      <c r="V64" s="185">
        <v>2922.4</v>
      </c>
      <c r="W64" s="185">
        <f>5604.2+3291.61</f>
        <v>8895.81</v>
      </c>
      <c r="X64" s="185">
        <f>200917.05+18274.89+56652.79</f>
        <v>275844.73</v>
      </c>
      <c r="Y64" s="185">
        <f>34.88+17833.16+588.48+107782.74+894057.37+3145.45-11020+4868.04+1153.67+3633.36+2198.84</f>
        <v>1024275.99</v>
      </c>
      <c r="Z64" s="185">
        <f>7269000.14+16268.31</f>
        <v>7285268.4499999993</v>
      </c>
      <c r="AA64" s="185">
        <f>290506.76+318.2+35171.47</f>
        <v>325996.43000000005</v>
      </c>
      <c r="AB64" s="185">
        <f>3603768.34+688.59+1055312.72</f>
        <v>4659769.6499999994</v>
      </c>
      <c r="AC64" s="185">
        <v>222331.53</v>
      </c>
      <c r="AD64" s="185"/>
      <c r="AE64" s="185">
        <v>15059.73</v>
      </c>
      <c r="AF64" s="185"/>
      <c r="AG64" s="185">
        <f>550589.39+2234.36+80-190+200</f>
        <v>552913.75</v>
      </c>
      <c r="AH64" s="185"/>
      <c r="AI64" s="185">
        <f>17313.5+178507.64+134919.06+40922.7+346879.07</f>
        <v>718541.97</v>
      </c>
      <c r="AJ64" s="185">
        <f>240</f>
        <v>240</v>
      </c>
      <c r="AK64" s="185"/>
      <c r="AL64" s="185">
        <v>483.94</v>
      </c>
      <c r="AM64" s="185"/>
      <c r="AN64" s="185"/>
      <c r="AO64" s="185"/>
      <c r="AP64" s="185">
        <f>125388.67+212+724.27+75178.24+568569.49+56718.2+22793.47+2392.11+866498.86+357228.21+16657.38+29760.07+8330.87+6870.23+51241.05-3687.29+1708.2+2605.64+5718.03+1223.45+20401.88+12524.98+2254.67+4896.14</f>
        <v>2236208.8199999998</v>
      </c>
      <c r="AQ64" s="185"/>
      <c r="AR64" s="185">
        <v>67359.210000000006</v>
      </c>
      <c r="AS64" s="185"/>
      <c r="AT64" s="185"/>
      <c r="AU64" s="185"/>
      <c r="AV64" s="185"/>
      <c r="AW64" s="185">
        <f>45086.67+2619+784.89+10202.34</f>
        <v>58692.899999999994</v>
      </c>
      <c r="AX64" s="185"/>
      <c r="AY64" s="185">
        <v>582879.59</v>
      </c>
      <c r="AZ64" s="185"/>
      <c r="BA64" s="185">
        <v>52123.22</v>
      </c>
      <c r="BB64" s="185"/>
      <c r="BC64" s="185"/>
      <c r="BD64" s="185">
        <v>-63510.05</v>
      </c>
      <c r="BE64" s="185">
        <f>18623.52-11390.86+2.28</f>
        <v>7234.94</v>
      </c>
      <c r="BF64" s="185">
        <v>134825.53</v>
      </c>
      <c r="BG64" s="185">
        <v>9481.98</v>
      </c>
      <c r="BH64" s="185">
        <v>118122.19</v>
      </c>
      <c r="BI64" s="185"/>
      <c r="BJ64" s="185">
        <v>4042.41</v>
      </c>
      <c r="BK64" s="185">
        <v>6726.08</v>
      </c>
      <c r="BL64" s="185">
        <v>38665.54</v>
      </c>
      <c r="BM64" s="185"/>
      <c r="BN64" s="185">
        <f>62096.13-6888.6</f>
        <v>55207.53</v>
      </c>
      <c r="BO64" s="185">
        <v>29954.799999999999</v>
      </c>
      <c r="BP64" s="185">
        <v>27005.34</v>
      </c>
      <c r="BQ64" s="185"/>
      <c r="BR64" s="185">
        <v>-347.36</v>
      </c>
      <c r="BS64" s="185">
        <f>17870.33+5020.04</f>
        <v>22890.370000000003</v>
      </c>
      <c r="BT64" s="185"/>
      <c r="BU64" s="185"/>
      <c r="BV64" s="185">
        <v>12150.46</v>
      </c>
      <c r="BW64" s="185">
        <v>134970.06</v>
      </c>
      <c r="BX64" s="185">
        <f>1223.38+55.32-8756+3738.51-1079+2345.08</f>
        <v>-2472.71</v>
      </c>
      <c r="BY64" s="185">
        <f>505+863.6</f>
        <v>1368.6</v>
      </c>
      <c r="BZ64" s="185"/>
      <c r="CA64" s="185">
        <v>22617.599999999999</v>
      </c>
      <c r="CB64" s="185">
        <f>9902.12-1043.99</f>
        <v>8858.130000000001</v>
      </c>
      <c r="CC64" s="185">
        <f>4306.28</f>
        <v>4306.28</v>
      </c>
      <c r="CD64" s="249" t="s">
        <v>221</v>
      </c>
      <c r="CE64" s="195">
        <f t="shared" si="0"/>
        <v>33994529.010000005</v>
      </c>
      <c r="CF64" s="252"/>
    </row>
    <row r="65" spans="1:84" ht="12.6" customHeight="1" x14ac:dyDescent="0.25">
      <c r="A65" s="171" t="s">
        <v>238</v>
      </c>
      <c r="B65" s="175"/>
      <c r="C65" s="184">
        <v>138</v>
      </c>
      <c r="D65" s="184"/>
      <c r="E65" s="184">
        <f>483+828</f>
        <v>1311</v>
      </c>
      <c r="F65" s="184">
        <v>2470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>
        <v>828</v>
      </c>
      <c r="AD65" s="185"/>
      <c r="AE65" s="185">
        <v>828</v>
      </c>
      <c r="AF65" s="185"/>
      <c r="AG65" s="185">
        <f>207+8458.2+600+840</f>
        <v>10105.200000000001</v>
      </c>
      <c r="AH65" s="185"/>
      <c r="AI65" s="185"/>
      <c r="AJ65" s="185"/>
      <c r="AK65" s="185"/>
      <c r="AL65" s="185"/>
      <c r="AM65" s="185"/>
      <c r="AN65" s="185"/>
      <c r="AO65" s="185"/>
      <c r="AP65" s="185">
        <f>7932+173492.48+11376.57+50962.48+35352.57+119932.25+7772.79-25333+16622</f>
        <v>398110.14</v>
      </c>
      <c r="AQ65" s="185"/>
      <c r="AR65" s="185">
        <v>10469.82</v>
      </c>
      <c r="AS65" s="185"/>
      <c r="AT65" s="185"/>
      <c r="AU65" s="185"/>
      <c r="AV65" s="185"/>
      <c r="AW65" s="185">
        <f>695+279.05</f>
        <v>974.05</v>
      </c>
      <c r="AX65" s="185"/>
      <c r="AY65" s="185"/>
      <c r="AZ65" s="185"/>
      <c r="BA65" s="185"/>
      <c r="BB65" s="185"/>
      <c r="BC65" s="185"/>
      <c r="BD65" s="185">
        <f>21406.2+3734.41+0</f>
        <v>25140.61</v>
      </c>
      <c r="BE65" s="185">
        <f>1335210+828+7756.81+10288.68+1447.63</f>
        <v>1355531.1199999999</v>
      </c>
      <c r="BF65" s="185">
        <v>105057.85</v>
      </c>
      <c r="BG65" s="185">
        <v>2484</v>
      </c>
      <c r="BH65" s="185">
        <f>411509.45+1065.69+0</f>
        <v>412575.14</v>
      </c>
      <c r="BI65" s="185"/>
      <c r="BJ65" s="185">
        <f>1863+7503.44</f>
        <v>9366.4399999999987</v>
      </c>
      <c r="BK65" s="185"/>
      <c r="BL65" s="185"/>
      <c r="BM65" s="185"/>
      <c r="BN65" s="185">
        <v>2501</v>
      </c>
      <c r="BO65" s="185"/>
      <c r="BP65" s="185">
        <v>828</v>
      </c>
      <c r="BQ65" s="185"/>
      <c r="BR65" s="185">
        <f>21822.78</f>
        <v>21822.78</v>
      </c>
      <c r="BS65" s="185">
        <v>1010.77</v>
      </c>
      <c r="BT65" s="185"/>
      <c r="BU65" s="185"/>
      <c r="BV65" s="185"/>
      <c r="BW65" s="185"/>
      <c r="BX65" s="185"/>
      <c r="BY65" s="185">
        <v>1104</v>
      </c>
      <c r="BZ65" s="185"/>
      <c r="CA65" s="185"/>
      <c r="CB65" s="185"/>
      <c r="CC65" s="185">
        <v>828</v>
      </c>
      <c r="CD65" s="249" t="s">
        <v>221</v>
      </c>
      <c r="CE65" s="195">
        <f t="shared" si="0"/>
        <v>2363483.92</v>
      </c>
      <c r="CF65" s="252"/>
    </row>
    <row r="66" spans="1:84" ht="12.6" customHeight="1" x14ac:dyDescent="0.25">
      <c r="A66" s="171" t="s">
        <v>239</v>
      </c>
      <c r="B66" s="175"/>
      <c r="C66" s="184">
        <f>7494.92+24027.42</f>
        <v>31522.339999999997</v>
      </c>
      <c r="D66" s="184">
        <v>-30</v>
      </c>
      <c r="E66" s="184">
        <f>380700.93+2773.74+179.19</f>
        <v>383653.86</v>
      </c>
      <c r="F66" s="184">
        <v>117302.45</v>
      </c>
      <c r="G66" s="184"/>
      <c r="H66" s="184"/>
      <c r="I66" s="184"/>
      <c r="J66" s="184">
        <v>-143</v>
      </c>
      <c r="K66" s="185"/>
      <c r="L66" s="185"/>
      <c r="M66" s="184"/>
      <c r="N66" s="184"/>
      <c r="O66" s="185"/>
      <c r="P66" s="185">
        <f>536992.35+4422.59</f>
        <v>541414.93999999994</v>
      </c>
      <c r="Q66" s="185">
        <v>405.12</v>
      </c>
      <c r="R66" s="185">
        <v>919.75</v>
      </c>
      <c r="S66" s="184">
        <v>132711.79</v>
      </c>
      <c r="T66" s="184">
        <v>7680</v>
      </c>
      <c r="U66" s="185">
        <f>893375.18+154117.93+281075.79-60</f>
        <v>1328508.9000000001</v>
      </c>
      <c r="V66" s="185">
        <v>1400</v>
      </c>
      <c r="W66" s="185">
        <v>40373.160000000003</v>
      </c>
      <c r="X66" s="185">
        <f>32079.34+1676.25</f>
        <v>33755.589999999997</v>
      </c>
      <c r="Y66" s="185">
        <f>68.2+224504.2+13283.73+2172282.93+170787.29+7115.14+123919.82+2826.83+97757.1</f>
        <v>2812545.24</v>
      </c>
      <c r="Z66" s="185">
        <f>419.25</f>
        <v>419.25</v>
      </c>
      <c r="AA66" s="185">
        <f>14392.56+6288.31</f>
        <v>20680.87</v>
      </c>
      <c r="AB66" s="185">
        <f>355118.37+22177.98</f>
        <v>377296.35</v>
      </c>
      <c r="AC66" s="185">
        <v>1412.32</v>
      </c>
      <c r="AD66" s="185"/>
      <c r="AE66" s="185">
        <f>9540.62</f>
        <v>9540.6200000000008</v>
      </c>
      <c r="AF66" s="185"/>
      <c r="AG66" s="185">
        <f>136137.05+24757.29+7259.22+4164.85</f>
        <v>172318.41</v>
      </c>
      <c r="AH66" s="185"/>
      <c r="AI66" s="185">
        <f>2992.75+2394.24+632</f>
        <v>6018.99</v>
      </c>
      <c r="AJ66" s="185">
        <f>1227.94+62844.61+19884.12+955.1</f>
        <v>84911.77</v>
      </c>
      <c r="AK66" s="185"/>
      <c r="AL66" s="185">
        <v>161.81</v>
      </c>
      <c r="AM66" s="185"/>
      <c r="AN66" s="185"/>
      <c r="AO66" s="185"/>
      <c r="AP66" s="185">
        <f>65911.46+136872.62+301.33+2130505.79-2961.3+10113.29+65626.46+14321.74</f>
        <v>2420691.3900000006</v>
      </c>
      <c r="AQ66" s="185"/>
      <c r="AR66" s="185">
        <f>73752.41+825.36</f>
        <v>74577.77</v>
      </c>
      <c r="AS66" s="185"/>
      <c r="AT66" s="185"/>
      <c r="AU66" s="185"/>
      <c r="AV66" s="185"/>
      <c r="AW66" s="185">
        <f>4346.99+8030.12</f>
        <v>12377.11</v>
      </c>
      <c r="AX66" s="185"/>
      <c r="AY66" s="185">
        <v>51180.959999999999</v>
      </c>
      <c r="AZ66" s="185"/>
      <c r="BA66" s="185">
        <v>271762.65999999997</v>
      </c>
      <c r="BB66" s="185"/>
      <c r="BC66" s="185"/>
      <c r="BD66" s="185">
        <f>24930.48+21718</f>
        <v>46648.479999999996</v>
      </c>
      <c r="BE66" s="185">
        <f>1008613.49+372477.89+1600.35+3336.87+254.11</f>
        <v>1386282.7100000002</v>
      </c>
      <c r="BF66" s="185">
        <v>71728.11</v>
      </c>
      <c r="BG66" s="185">
        <v>119728.41</v>
      </c>
      <c r="BH66" s="185">
        <f>1603982.52-660</f>
        <v>1603322.52</v>
      </c>
      <c r="BI66" s="185"/>
      <c r="BJ66" s="185">
        <f>232898.8+7434</f>
        <v>240332.79999999999</v>
      </c>
      <c r="BK66" s="185">
        <v>-304322.33</v>
      </c>
      <c r="BL66" s="185">
        <v>1428</v>
      </c>
      <c r="BM66" s="185"/>
      <c r="BN66" s="185">
        <v>373597.46</v>
      </c>
      <c r="BO66" s="185">
        <v>28180.15</v>
      </c>
      <c r="BP66" s="185">
        <v>400557.64</v>
      </c>
      <c r="BQ66" s="185"/>
      <c r="BR66" s="185">
        <f>308452.13+1613.06</f>
        <v>310065.19</v>
      </c>
      <c r="BS66" s="185">
        <f>36.81+485.47+76990.5</f>
        <v>77512.78</v>
      </c>
      <c r="BT66" s="185"/>
      <c r="BU66" s="185"/>
      <c r="BV66" s="185">
        <v>752102.33</v>
      </c>
      <c r="BW66" s="185">
        <v>97569.34</v>
      </c>
      <c r="BX66" s="185">
        <f>-1611+35134.38+355581.15+10560.3+50+40124.84</f>
        <v>439839.67000000004</v>
      </c>
      <c r="BY66" s="185">
        <f>18167.07+5100</f>
        <v>23267.07</v>
      </c>
      <c r="BZ66" s="185"/>
      <c r="CA66" s="185">
        <v>76543.039999999994</v>
      </c>
      <c r="CB66" s="185">
        <v>326431.3</v>
      </c>
      <c r="CC66" s="185">
        <v>68253</v>
      </c>
      <c r="CD66" s="249" t="s">
        <v>221</v>
      </c>
      <c r="CE66" s="195">
        <f t="shared" si="0"/>
        <v>15074438.090000004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165816</v>
      </c>
      <c r="D67" s="195">
        <f>ROUND(D51+D52,0)</f>
        <v>0</v>
      </c>
      <c r="E67" s="195">
        <f t="shared" ref="E67:BP67" si="3">ROUND(E51+E52,0)</f>
        <v>670092</v>
      </c>
      <c r="F67" s="195">
        <f t="shared" si="3"/>
        <v>265926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68204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452388</v>
      </c>
      <c r="Q67" s="195">
        <f t="shared" si="3"/>
        <v>67680</v>
      </c>
      <c r="R67" s="195">
        <f t="shared" si="3"/>
        <v>12609</v>
      </c>
      <c r="S67" s="195">
        <f t="shared" si="3"/>
        <v>97995</v>
      </c>
      <c r="T67" s="195">
        <f t="shared" si="3"/>
        <v>0</v>
      </c>
      <c r="U67" s="195">
        <f t="shared" si="3"/>
        <v>312657</v>
      </c>
      <c r="V67" s="195">
        <f t="shared" si="3"/>
        <v>5499</v>
      </c>
      <c r="W67" s="195">
        <f t="shared" si="3"/>
        <v>128330</v>
      </c>
      <c r="X67" s="195">
        <f t="shared" si="3"/>
        <v>73622</v>
      </c>
      <c r="Y67" s="195">
        <f t="shared" si="3"/>
        <v>498415</v>
      </c>
      <c r="Z67" s="195">
        <f t="shared" si="3"/>
        <v>0</v>
      </c>
      <c r="AA67" s="195">
        <f t="shared" si="3"/>
        <v>127847</v>
      </c>
      <c r="AB67" s="195">
        <f t="shared" si="3"/>
        <v>151716</v>
      </c>
      <c r="AC67" s="195">
        <f t="shared" si="3"/>
        <v>96585</v>
      </c>
      <c r="AD67" s="195">
        <f t="shared" si="3"/>
        <v>0</v>
      </c>
      <c r="AE67" s="195">
        <f t="shared" si="3"/>
        <v>164225</v>
      </c>
      <c r="AF67" s="195">
        <f t="shared" si="3"/>
        <v>0</v>
      </c>
      <c r="AG67" s="195">
        <f t="shared" si="3"/>
        <v>252027</v>
      </c>
      <c r="AH67" s="195">
        <f t="shared" si="3"/>
        <v>0</v>
      </c>
      <c r="AI67" s="195">
        <f t="shared" si="3"/>
        <v>509775</v>
      </c>
      <c r="AJ67" s="195">
        <f t="shared" si="3"/>
        <v>183602</v>
      </c>
      <c r="AK67" s="195">
        <f t="shared" si="3"/>
        <v>0</v>
      </c>
      <c r="AL67" s="195">
        <f t="shared" si="3"/>
        <v>4029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2855351</v>
      </c>
      <c r="AQ67" s="195">
        <f t="shared" si="3"/>
        <v>0</v>
      </c>
      <c r="AR67" s="195">
        <f t="shared" si="3"/>
        <v>85386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40870</v>
      </c>
      <c r="AX67" s="195">
        <f t="shared" si="3"/>
        <v>0</v>
      </c>
      <c r="AY67" s="195">
        <f t="shared" si="3"/>
        <v>209466</v>
      </c>
      <c r="AZ67" s="195">
        <f>ROUND(AZ51+AZ52,0)</f>
        <v>0</v>
      </c>
      <c r="BA67" s="195">
        <f>ROUND(BA51+BA52,0)</f>
        <v>34444</v>
      </c>
      <c r="BB67" s="195">
        <f t="shared" si="3"/>
        <v>0</v>
      </c>
      <c r="BC67" s="195">
        <f t="shared" si="3"/>
        <v>0</v>
      </c>
      <c r="BD67" s="195">
        <f t="shared" si="3"/>
        <v>159813</v>
      </c>
      <c r="BE67" s="195">
        <f t="shared" si="3"/>
        <v>944579</v>
      </c>
      <c r="BF67" s="195">
        <f t="shared" si="3"/>
        <v>57931</v>
      </c>
      <c r="BG67" s="195">
        <f t="shared" si="3"/>
        <v>66612</v>
      </c>
      <c r="BH67" s="195">
        <f t="shared" si="3"/>
        <v>119931</v>
      </c>
      <c r="BI67" s="195">
        <f t="shared" si="3"/>
        <v>0</v>
      </c>
      <c r="BJ67" s="195">
        <f t="shared" si="3"/>
        <v>48363</v>
      </c>
      <c r="BK67" s="195">
        <f t="shared" si="3"/>
        <v>221712</v>
      </c>
      <c r="BL67" s="195">
        <f t="shared" si="3"/>
        <v>117957</v>
      </c>
      <c r="BM67" s="195">
        <f t="shared" si="3"/>
        <v>0</v>
      </c>
      <c r="BN67" s="195">
        <f t="shared" si="3"/>
        <v>57709</v>
      </c>
      <c r="BO67" s="195">
        <f t="shared" si="3"/>
        <v>4250</v>
      </c>
      <c r="BP67" s="195">
        <f t="shared" si="3"/>
        <v>39943</v>
      </c>
      <c r="BQ67" s="195">
        <f t="shared" ref="BQ67:CC67" si="4">ROUND(BQ51+BQ52,0)</f>
        <v>0</v>
      </c>
      <c r="BR67" s="195">
        <f t="shared" si="4"/>
        <v>33236</v>
      </c>
      <c r="BS67" s="195">
        <f t="shared" si="4"/>
        <v>76825</v>
      </c>
      <c r="BT67" s="195">
        <f t="shared" si="4"/>
        <v>17383</v>
      </c>
      <c r="BU67" s="195">
        <f t="shared" si="4"/>
        <v>0</v>
      </c>
      <c r="BV67" s="195">
        <f t="shared" si="4"/>
        <v>51344</v>
      </c>
      <c r="BW67" s="195">
        <f t="shared" si="4"/>
        <v>76281</v>
      </c>
      <c r="BX67" s="195">
        <f t="shared" si="4"/>
        <v>29670</v>
      </c>
      <c r="BY67" s="195">
        <f t="shared" si="4"/>
        <v>97975</v>
      </c>
      <c r="BZ67" s="195">
        <f t="shared" si="4"/>
        <v>0</v>
      </c>
      <c r="CA67" s="195">
        <f t="shared" si="4"/>
        <v>44355</v>
      </c>
      <c r="CB67" s="195">
        <f t="shared" si="4"/>
        <v>6224</v>
      </c>
      <c r="CC67" s="195">
        <f t="shared" si="4"/>
        <v>2958885</v>
      </c>
      <c r="CD67" s="249" t="s">
        <v>221</v>
      </c>
      <c r="CE67" s="195">
        <f t="shared" si="0"/>
        <v>12765534</v>
      </c>
      <c r="CF67" s="252"/>
    </row>
    <row r="68" spans="1:84" ht="12.6" customHeight="1" x14ac:dyDescent="0.25">
      <c r="A68" s="171" t="s">
        <v>240</v>
      </c>
      <c r="B68" s="175"/>
      <c r="C68" s="184">
        <v>3964.2</v>
      </c>
      <c r="D68" s="184"/>
      <c r="E68" s="184">
        <v>25090.6</v>
      </c>
      <c r="F68" s="184">
        <v>16524.71</v>
      </c>
      <c r="G68" s="184"/>
      <c r="H68" s="184"/>
      <c r="I68" s="184"/>
      <c r="J68" s="184">
        <v>1418.1</v>
      </c>
      <c r="K68" s="185"/>
      <c r="L68" s="185"/>
      <c r="M68" s="184"/>
      <c r="N68" s="184"/>
      <c r="O68" s="184"/>
      <c r="P68" s="185">
        <f>166669.3+69.57</f>
        <v>166738.87</v>
      </c>
      <c r="Q68" s="185">
        <v>379.34</v>
      </c>
      <c r="R68" s="185"/>
      <c r="S68" s="185">
        <v>6039.5</v>
      </c>
      <c r="T68" s="185"/>
      <c r="U68" s="185">
        <f>176365.89+347.25</f>
        <v>176713.14</v>
      </c>
      <c r="V68" s="185"/>
      <c r="W68" s="185">
        <v>218.03</v>
      </c>
      <c r="X68" s="185">
        <f>1394.89+247.63+256050.8</f>
        <v>257693.31999999998</v>
      </c>
      <c r="Y68" s="185">
        <v>19056.62</v>
      </c>
      <c r="Z68" s="185"/>
      <c r="AA68" s="185">
        <v>1225.03</v>
      </c>
      <c r="AB68" s="185">
        <v>73897.52</v>
      </c>
      <c r="AC68" s="185">
        <v>27870.6</v>
      </c>
      <c r="AD68" s="185"/>
      <c r="AE68" s="185">
        <v>2767.39</v>
      </c>
      <c r="AF68" s="185"/>
      <c r="AG68" s="185">
        <v>15062.11</v>
      </c>
      <c r="AH68" s="185"/>
      <c r="AI68" s="185">
        <v>7628.61</v>
      </c>
      <c r="AJ68" s="185">
        <f>4474.54+5344.04</f>
        <v>9818.58</v>
      </c>
      <c r="AK68" s="185"/>
      <c r="AL68" s="185"/>
      <c r="AM68" s="185"/>
      <c r="AN68" s="185"/>
      <c r="AO68" s="185"/>
      <c r="AP68" s="185">
        <f>840447.57+729273.51</f>
        <v>1569721.08</v>
      </c>
      <c r="AQ68" s="185"/>
      <c r="AR68" s="185">
        <v>8168.52</v>
      </c>
      <c r="AS68" s="185"/>
      <c r="AT68" s="185"/>
      <c r="AU68" s="185"/>
      <c r="AV68" s="185">
        <v>60834.26</v>
      </c>
      <c r="AW68" s="185">
        <v>2531.37</v>
      </c>
      <c r="AX68" s="185"/>
      <c r="AY68" s="185">
        <v>6560.94</v>
      </c>
      <c r="AZ68" s="185"/>
      <c r="BA68" s="185"/>
      <c r="BB68" s="185"/>
      <c r="BC68" s="185"/>
      <c r="BD68" s="185">
        <v>41670.589999999997</v>
      </c>
      <c r="BE68" s="185">
        <v>53561.07</v>
      </c>
      <c r="BF68" s="185">
        <v>675</v>
      </c>
      <c r="BG68" s="185">
        <v>10</v>
      </c>
      <c r="BH68" s="185">
        <v>3525.52</v>
      </c>
      <c r="BI68" s="185"/>
      <c r="BJ68" s="185">
        <v>2120.27</v>
      </c>
      <c r="BK68" s="185">
        <v>48505.77</v>
      </c>
      <c r="BL68" s="185">
        <v>24216.400000000001</v>
      </c>
      <c r="BM68" s="185"/>
      <c r="BN68" s="185">
        <v>3720.74</v>
      </c>
      <c r="BO68" s="185">
        <v>20.16</v>
      </c>
      <c r="BP68" s="185">
        <v>8974.18</v>
      </c>
      <c r="BQ68" s="185"/>
      <c r="BR68" s="185">
        <v>5891.79</v>
      </c>
      <c r="BS68" s="185">
        <f>2078.83+4548.97</f>
        <v>6627.8</v>
      </c>
      <c r="BT68" s="185">
        <v>359.76</v>
      </c>
      <c r="BU68" s="185"/>
      <c r="BV68" s="185">
        <v>17717.71</v>
      </c>
      <c r="BW68" s="185">
        <v>3534.96</v>
      </c>
      <c r="BX68" s="185">
        <f>9.24+2149.49</f>
        <v>2158.7299999999996</v>
      </c>
      <c r="BY68" s="185">
        <v>3698.89</v>
      </c>
      <c r="BZ68" s="185"/>
      <c r="CA68" s="185">
        <v>7389.71</v>
      </c>
      <c r="CB68" s="185">
        <v>5</v>
      </c>
      <c r="CC68" s="185"/>
      <c r="CD68" s="249" t="s">
        <v>221</v>
      </c>
      <c r="CE68" s="195">
        <f t="shared" si="0"/>
        <v>2694306.4899999998</v>
      </c>
      <c r="CF68" s="252"/>
    </row>
    <row r="69" spans="1:84" ht="12.6" customHeight="1" x14ac:dyDescent="0.25">
      <c r="A69" s="171" t="s">
        <v>241</v>
      </c>
      <c r="B69" s="175"/>
      <c r="C69" s="184">
        <v>2115.5700000000002</v>
      </c>
      <c r="D69" s="184"/>
      <c r="E69" s="185">
        <f>783.2+1002.4</f>
        <v>1785.6</v>
      </c>
      <c r="F69" s="185">
        <v>9131.1200000000008</v>
      </c>
      <c r="G69" s="184"/>
      <c r="H69" s="184"/>
      <c r="I69" s="185"/>
      <c r="J69" s="185">
        <v>3018.94</v>
      </c>
      <c r="K69" s="185"/>
      <c r="L69" s="185"/>
      <c r="M69" s="184"/>
      <c r="N69" s="184"/>
      <c r="O69" s="184"/>
      <c r="P69" s="185">
        <v>1094.94</v>
      </c>
      <c r="Q69" s="185">
        <v>562</v>
      </c>
      <c r="R69" s="224">
        <v>187.26</v>
      </c>
      <c r="S69" s="185">
        <v>210</v>
      </c>
      <c r="T69" s="184"/>
      <c r="U69" s="185">
        <f>89.78+93.56</f>
        <v>183.34</v>
      </c>
      <c r="V69" s="185"/>
      <c r="W69" s="184"/>
      <c r="X69" s="185"/>
      <c r="Y69" s="185">
        <f>1379.68+6917.03+789.65+18.76</f>
        <v>9105.119999999999</v>
      </c>
      <c r="Z69" s="185">
        <v>620</v>
      </c>
      <c r="AA69" s="185">
        <v>34.78</v>
      </c>
      <c r="AB69" s="185">
        <f>3508.23+1451</f>
        <v>4959.2299999999996</v>
      </c>
      <c r="AC69" s="185"/>
      <c r="AD69" s="185"/>
      <c r="AE69" s="185">
        <v>2917.46</v>
      </c>
      <c r="AF69" s="185"/>
      <c r="AG69" s="185">
        <f>10029.05+27152.54+1229.01+17020.18+1129.89+4066.98</f>
        <v>60627.65</v>
      </c>
      <c r="AH69" s="185"/>
      <c r="AI69" s="185">
        <f>1310.55</f>
        <v>1310.55</v>
      </c>
      <c r="AJ69" s="185">
        <f>1355.85+2119.09</f>
        <v>3474.94</v>
      </c>
      <c r="AK69" s="185"/>
      <c r="AL69" s="185">
        <v>3390.41</v>
      </c>
      <c r="AM69" s="185"/>
      <c r="AN69" s="185"/>
      <c r="AO69" s="184"/>
      <c r="AP69" s="185">
        <f>45122.53+266295.18</f>
        <v>311417.70999999996</v>
      </c>
      <c r="AQ69" s="184"/>
      <c r="AR69" s="184">
        <v>80249.919999999998</v>
      </c>
      <c r="AS69" s="184"/>
      <c r="AT69" s="184"/>
      <c r="AU69" s="185"/>
      <c r="AV69" s="185">
        <v>14961.55</v>
      </c>
      <c r="AW69" s="185">
        <f>90+46776.61</f>
        <v>46866.61</v>
      </c>
      <c r="AX69" s="185"/>
      <c r="AY69" s="185">
        <v>2875.45</v>
      </c>
      <c r="AZ69" s="185"/>
      <c r="BA69" s="185"/>
      <c r="BB69" s="185"/>
      <c r="BC69" s="185"/>
      <c r="BD69" s="185">
        <v>254796.06</v>
      </c>
      <c r="BE69" s="185">
        <v>15632.73</v>
      </c>
      <c r="BF69" s="185">
        <v>4420.49</v>
      </c>
      <c r="BG69" s="185">
        <v>3839.29</v>
      </c>
      <c r="BH69" s="224">
        <v>2877.55</v>
      </c>
      <c r="BI69" s="185"/>
      <c r="BJ69" s="185">
        <v>986.05</v>
      </c>
      <c r="BK69" s="185">
        <v>21121.37</v>
      </c>
      <c r="BL69" s="185">
        <v>146.93</v>
      </c>
      <c r="BM69" s="185"/>
      <c r="BN69" s="185">
        <f>123652.48+35158.62</f>
        <v>158811.1</v>
      </c>
      <c r="BO69" s="185">
        <v>1229.31</v>
      </c>
      <c r="BP69" s="185">
        <v>10999.84</v>
      </c>
      <c r="BQ69" s="185"/>
      <c r="BR69" s="185">
        <v>1393.72</v>
      </c>
      <c r="BS69" s="185">
        <v>1254.28</v>
      </c>
      <c r="BT69" s="185">
        <v>168.53</v>
      </c>
      <c r="BU69" s="185"/>
      <c r="BV69" s="185">
        <v>3923.01</v>
      </c>
      <c r="BW69" s="185">
        <v>102</v>
      </c>
      <c r="BX69" s="185">
        <f>910+168.01+364.15</f>
        <v>1442.1599999999999</v>
      </c>
      <c r="BY69" s="185">
        <v>13486.43</v>
      </c>
      <c r="BZ69" s="185"/>
      <c r="CA69" s="185">
        <v>38709.300000000003</v>
      </c>
      <c r="CB69" s="185">
        <f>24.98</f>
        <v>24.98</v>
      </c>
      <c r="CC69" s="185">
        <v>1729.98</v>
      </c>
      <c r="CD69" s="188">
        <v>21888326</v>
      </c>
      <c r="CE69" s="195">
        <f t="shared" si="0"/>
        <v>22986521.260000002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>
        <v>9180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>
        <v>94360.13</v>
      </c>
      <c r="V70" s="184"/>
      <c r="W70" s="184"/>
      <c r="X70" s="185"/>
      <c r="Y70" s="185"/>
      <c r="Z70" s="185"/>
      <c r="AA70" s="185"/>
      <c r="AB70" s="185">
        <f>3338812.87+18709.68</f>
        <v>3357522.5500000003</v>
      </c>
      <c r="AC70" s="185"/>
      <c r="AD70" s="185"/>
      <c r="AE70" s="185"/>
      <c r="AF70" s="185"/>
      <c r="AG70" s="185">
        <v>26609</v>
      </c>
      <c r="AH70" s="185"/>
      <c r="AI70" s="185"/>
      <c r="AJ70" s="185"/>
      <c r="AK70" s="185"/>
      <c r="AL70" s="185"/>
      <c r="AM70" s="185"/>
      <c r="AN70" s="185"/>
      <c r="AO70" s="185"/>
      <c r="AP70" s="185">
        <f>932558.05-109.66+2-29.69-38.65</f>
        <v>932382.05</v>
      </c>
      <c r="AQ70" s="185"/>
      <c r="AR70" s="185">
        <v>40.98</v>
      </c>
      <c r="AS70" s="185"/>
      <c r="AT70" s="185"/>
      <c r="AU70" s="185"/>
      <c r="AV70" s="185"/>
      <c r="AW70" s="185">
        <v>41250</v>
      </c>
      <c r="AX70" s="185"/>
      <c r="AY70" s="185">
        <v>634022.51</v>
      </c>
      <c r="AZ70" s="185"/>
      <c r="BA70" s="185">
        <v>31800</v>
      </c>
      <c r="BB70" s="185"/>
      <c r="BC70" s="185"/>
      <c r="BD70" s="185">
        <v>167026.53</v>
      </c>
      <c r="BE70" s="185">
        <v>147</v>
      </c>
      <c r="BF70" s="185"/>
      <c r="BG70" s="185">
        <v>120</v>
      </c>
      <c r="BH70" s="185">
        <v>6183.29</v>
      </c>
      <c r="BI70" s="185"/>
      <c r="BJ70" s="185">
        <v>180.33</v>
      </c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5232.79</v>
      </c>
      <c r="BW70" s="185">
        <v>25896.95</v>
      </c>
      <c r="BX70" s="185"/>
      <c r="BY70" s="185"/>
      <c r="BZ70" s="185"/>
      <c r="CA70" s="185">
        <v>63562.27</v>
      </c>
      <c r="CB70" s="185">
        <v>22887.5</v>
      </c>
      <c r="CC70" s="185"/>
      <c r="CD70" s="188">
        <f>17844.15+1754.64+246673.72+62719.29+73727.17+43887.31-219680.33+897818.58</f>
        <v>1124744.53</v>
      </c>
      <c r="CE70" s="195">
        <f t="shared" si="0"/>
        <v>6543148.4100000011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3077169.62</v>
      </c>
      <c r="D71" s="195">
        <f t="shared" ref="D71:AI71" si="5">SUM(D61:D69)-D70</f>
        <v>369</v>
      </c>
      <c r="E71" s="195">
        <f t="shared" si="5"/>
        <v>8844932.2399999984</v>
      </c>
      <c r="F71" s="195">
        <f t="shared" si="5"/>
        <v>6539062.9700000007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1805852.88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13549209.619999999</v>
      </c>
      <c r="Q71" s="195">
        <f t="shared" si="5"/>
        <v>853669.5</v>
      </c>
      <c r="R71" s="195">
        <f t="shared" si="5"/>
        <v>503394.24</v>
      </c>
      <c r="S71" s="195">
        <f t="shared" si="5"/>
        <v>1253302.21</v>
      </c>
      <c r="T71" s="195">
        <f t="shared" si="5"/>
        <v>1092347.19</v>
      </c>
      <c r="U71" s="195">
        <f t="shared" si="5"/>
        <v>6291311.8200000003</v>
      </c>
      <c r="V71" s="195">
        <f t="shared" si="5"/>
        <v>132652.5</v>
      </c>
      <c r="W71" s="195">
        <f t="shared" si="5"/>
        <v>595014.83000000007</v>
      </c>
      <c r="X71" s="195">
        <f t="shared" si="5"/>
        <v>1322822.6900000002</v>
      </c>
      <c r="Y71" s="195">
        <f t="shared" si="5"/>
        <v>10028947.159999998</v>
      </c>
      <c r="Z71" s="195">
        <f t="shared" si="5"/>
        <v>7286595.1399999997</v>
      </c>
      <c r="AA71" s="195">
        <f t="shared" si="5"/>
        <v>893963.3600000001</v>
      </c>
      <c r="AB71" s="195">
        <f t="shared" si="5"/>
        <v>4244642.459999999</v>
      </c>
      <c r="AC71" s="195">
        <f t="shared" si="5"/>
        <v>1989083.2000000002</v>
      </c>
      <c r="AD71" s="195">
        <f t="shared" si="5"/>
        <v>0</v>
      </c>
      <c r="AE71" s="195">
        <f t="shared" si="5"/>
        <v>1409325.5199999998</v>
      </c>
      <c r="AF71" s="195">
        <f t="shared" si="5"/>
        <v>0</v>
      </c>
      <c r="AG71" s="195">
        <f t="shared" si="5"/>
        <v>11042830.870000001</v>
      </c>
      <c r="AH71" s="195">
        <f t="shared" si="5"/>
        <v>0</v>
      </c>
      <c r="AI71" s="195">
        <f t="shared" si="5"/>
        <v>3645931.5500000003</v>
      </c>
      <c r="AJ71" s="195">
        <f t="shared" ref="AJ71:BO71" si="6">SUM(AJ61:AJ69)-AJ70</f>
        <v>2106249.8200000003</v>
      </c>
      <c r="AK71" s="195">
        <f t="shared" si="6"/>
        <v>0</v>
      </c>
      <c r="AL71" s="195">
        <f t="shared" si="6"/>
        <v>211923.12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43881133.43</v>
      </c>
      <c r="AQ71" s="195">
        <f t="shared" si="6"/>
        <v>0</v>
      </c>
      <c r="AR71" s="195">
        <f t="shared" si="6"/>
        <v>2619118.52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75795.81</v>
      </c>
      <c r="AW71" s="195">
        <f t="shared" si="6"/>
        <v>2699246.57</v>
      </c>
      <c r="AX71" s="195">
        <f t="shared" si="6"/>
        <v>0</v>
      </c>
      <c r="AY71" s="195">
        <f t="shared" si="6"/>
        <v>1859575.8099999998</v>
      </c>
      <c r="AZ71" s="195">
        <f t="shared" si="6"/>
        <v>0</v>
      </c>
      <c r="BA71" s="195">
        <f t="shared" si="6"/>
        <v>326529.88</v>
      </c>
      <c r="BB71" s="195">
        <f t="shared" si="6"/>
        <v>0</v>
      </c>
      <c r="BC71" s="195">
        <f t="shared" si="6"/>
        <v>0</v>
      </c>
      <c r="BD71" s="195">
        <f t="shared" si="6"/>
        <v>803292.51999999979</v>
      </c>
      <c r="BE71" s="195">
        <f t="shared" si="6"/>
        <v>4838993.2300000004</v>
      </c>
      <c r="BF71" s="195">
        <f t="shared" si="6"/>
        <v>2401204.3200000003</v>
      </c>
      <c r="BG71" s="195">
        <f t="shared" si="6"/>
        <v>533309.66</v>
      </c>
      <c r="BH71" s="195">
        <f t="shared" si="6"/>
        <v>4261265.4499999993</v>
      </c>
      <c r="BI71" s="195">
        <f t="shared" si="6"/>
        <v>0</v>
      </c>
      <c r="BJ71" s="195">
        <f t="shared" si="6"/>
        <v>1035289.4700000001</v>
      </c>
      <c r="BK71" s="195">
        <f t="shared" si="6"/>
        <v>2616225.33</v>
      </c>
      <c r="BL71" s="195">
        <f t="shared" si="6"/>
        <v>1397100.65</v>
      </c>
      <c r="BM71" s="195">
        <f t="shared" si="6"/>
        <v>0</v>
      </c>
      <c r="BN71" s="195">
        <f t="shared" si="6"/>
        <v>4479904.03</v>
      </c>
      <c r="BO71" s="195">
        <f t="shared" si="6"/>
        <v>218809.20999999996</v>
      </c>
      <c r="BP71" s="195">
        <f t="shared" ref="BP71:CC71" si="7">SUM(BP61:BP69)-BP70</f>
        <v>808262.19000000006</v>
      </c>
      <c r="BQ71" s="195">
        <f t="shared" si="7"/>
        <v>0</v>
      </c>
      <c r="BR71" s="195">
        <f t="shared" si="7"/>
        <v>906147.96</v>
      </c>
      <c r="BS71" s="195">
        <f t="shared" si="7"/>
        <v>489288.38000000006</v>
      </c>
      <c r="BT71" s="195">
        <f t="shared" si="7"/>
        <v>17911.289999999997</v>
      </c>
      <c r="BU71" s="195">
        <f t="shared" si="7"/>
        <v>0</v>
      </c>
      <c r="BV71" s="195">
        <f t="shared" si="7"/>
        <v>1506567.65</v>
      </c>
      <c r="BW71" s="195">
        <f t="shared" si="7"/>
        <v>585937.64</v>
      </c>
      <c r="BX71" s="195">
        <f t="shared" si="7"/>
        <v>1789152.9400000002</v>
      </c>
      <c r="BY71" s="195">
        <f t="shared" si="7"/>
        <v>1992050.92</v>
      </c>
      <c r="BZ71" s="195">
        <f t="shared" si="7"/>
        <v>0</v>
      </c>
      <c r="CA71" s="195">
        <f t="shared" si="7"/>
        <v>332303.58999999997</v>
      </c>
      <c r="CB71" s="195">
        <f t="shared" si="7"/>
        <v>398697.39</v>
      </c>
      <c r="CC71" s="195">
        <f t="shared" si="7"/>
        <v>3334697.06</v>
      </c>
      <c r="CD71" s="245">
        <f>CD69-CD70</f>
        <v>20763581.469999999</v>
      </c>
      <c r="CE71" s="195">
        <f>SUM(CE61:CE69)-CE70</f>
        <v>195691995.88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1471683.45</v>
      </c>
      <c r="CF72" s="252"/>
    </row>
    <row r="73" spans="1:84" ht="12.6" customHeight="1" x14ac:dyDescent="0.25">
      <c r="A73" s="171" t="s">
        <v>245</v>
      </c>
      <c r="B73" s="175"/>
      <c r="C73" s="184">
        <f>5140060.57+606060</f>
        <v>5746120.5700000003</v>
      </c>
      <c r="D73" s="184">
        <f>12499870.04+8385002.95+364775.7</f>
        <v>21249648.689999998</v>
      </c>
      <c r="E73" s="185"/>
      <c r="F73" s="185">
        <v>15502317.98</v>
      </c>
      <c r="G73" s="184"/>
      <c r="H73" s="184"/>
      <c r="I73" s="185"/>
      <c r="J73" s="185">
        <v>3130655.09</v>
      </c>
      <c r="K73" s="185"/>
      <c r="L73" s="185"/>
      <c r="M73" s="184"/>
      <c r="N73" s="184"/>
      <c r="O73" s="184"/>
      <c r="P73" s="185">
        <v>24332710.440000001</v>
      </c>
      <c r="Q73" s="185">
        <v>1142318</v>
      </c>
      <c r="R73" s="185">
        <v>3503717</v>
      </c>
      <c r="S73" s="185">
        <f>4539156.93+18137.6</f>
        <v>4557294.5299999993</v>
      </c>
      <c r="T73" s="185">
        <v>4515780.7</v>
      </c>
      <c r="U73" s="185">
        <f>18780526.71+2560409.98+609573.94</f>
        <v>21950510.630000003</v>
      </c>
      <c r="V73" s="185">
        <v>173500</v>
      </c>
      <c r="W73" s="185">
        <v>1469080.5</v>
      </c>
      <c r="X73" s="185">
        <v>8071294.6100000003</v>
      </c>
      <c r="Y73" s="185">
        <f>3106301.48+4384593.32+4278110.6+2530+2225+59628.02</f>
        <v>11833388.42</v>
      </c>
      <c r="Z73" s="185">
        <v>1273702.6499999999</v>
      </c>
      <c r="AA73" s="185">
        <v>597851</v>
      </c>
      <c r="AB73" s="185">
        <v>22476156.52</v>
      </c>
      <c r="AC73" s="185">
        <v>9111983.8900000006</v>
      </c>
      <c r="AD73" s="185"/>
      <c r="AE73" s="185">
        <v>1328781.47</v>
      </c>
      <c r="AF73" s="185"/>
      <c r="AG73" s="185">
        <f>11784731.61+3329818+1298138+743271.01</f>
        <v>17155958.620000001</v>
      </c>
      <c r="AH73" s="185"/>
      <c r="AI73" s="185">
        <f>83995.4+7399</f>
        <v>91394.4</v>
      </c>
      <c r="AJ73" s="185">
        <v>409869</v>
      </c>
      <c r="AK73" s="185"/>
      <c r="AL73" s="185">
        <v>290073.73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179914108.44000003</v>
      </c>
      <c r="CF73" s="252"/>
    </row>
    <row r="74" spans="1:84" ht="12.6" customHeight="1" x14ac:dyDescent="0.25">
      <c r="A74" s="171" t="s">
        <v>246</v>
      </c>
      <c r="B74" s="175"/>
      <c r="C74" s="184">
        <f>139383.13+141960</f>
        <v>281343.13</v>
      </c>
      <c r="D74" s="184"/>
      <c r="E74" s="185">
        <f>1902995.36+1365386.3+224591.15</f>
        <v>3492972.81</v>
      </c>
      <c r="F74" s="185">
        <v>1587628.24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29517194.719999999</v>
      </c>
      <c r="Q74" s="185">
        <v>2004179</v>
      </c>
      <c r="R74" s="185">
        <v>5753665</v>
      </c>
      <c r="S74" s="185">
        <f>4540963.16+1533.15</f>
        <v>4542496.3100000005</v>
      </c>
      <c r="T74" s="185">
        <v>5615729.0999999996</v>
      </c>
      <c r="U74" s="185">
        <f>17512375.51+307481.56+2040865.66</f>
        <v>19860722.73</v>
      </c>
      <c r="V74" s="185">
        <v>537164</v>
      </c>
      <c r="W74" s="185">
        <f>3416907.74+5684609.94</f>
        <v>9101517.6799999997</v>
      </c>
      <c r="X74" s="185">
        <f>18927524+8093487.9+2534924</f>
        <v>29555935.899999999</v>
      </c>
      <c r="Y74" s="185">
        <f>5951020.52+942924.01+10456046.96+2909538.07+854022.68+557777.02+1691812.71+3097515.89+3436141.2</f>
        <v>29896799.060000002</v>
      </c>
      <c r="Z74" s="185">
        <v>41005472.359999999</v>
      </c>
      <c r="AA74" s="185">
        <f>3462530.84+1464323.17</f>
        <v>4926854.01</v>
      </c>
      <c r="AB74" s="185">
        <f>13981315.64+2004947.3</f>
        <v>15986262.940000001</v>
      </c>
      <c r="AC74" s="185">
        <v>5096097.2</v>
      </c>
      <c r="AD74" s="185"/>
      <c r="AE74" s="185">
        <v>2583539</v>
      </c>
      <c r="AF74" s="185"/>
      <c r="AG74" s="185">
        <v>29723622.600000001</v>
      </c>
      <c r="AH74" s="185"/>
      <c r="AI74" s="185">
        <f>5808119.62+3949699.9</f>
        <v>9757819.5199999996</v>
      </c>
      <c r="AJ74" s="185">
        <f>3066084.4+3611637.3+509536.45</f>
        <v>7187258.1499999994</v>
      </c>
      <c r="AK74" s="185"/>
      <c r="AL74" s="185">
        <v>593791.71</v>
      </c>
      <c r="AM74" s="185"/>
      <c r="AN74" s="185"/>
      <c r="AO74" s="185"/>
      <c r="AP74" s="185">
        <f>8861686.75+60+1792983+456099+1970525+2671853.2+2096593+2155656+6029790.45+1115542+14836058.44+2885324+1344681+3861516.35+8688087.01+1532402+1096115+514390+1236</f>
        <v>61910598.199999996</v>
      </c>
      <c r="AQ74" s="185"/>
      <c r="AR74" s="185">
        <v>2445175.7799999998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322963839.14999998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6027463.7000000002</v>
      </c>
      <c r="D75" s="195">
        <f t="shared" si="9"/>
        <v>21249648.689999998</v>
      </c>
      <c r="E75" s="195">
        <f t="shared" si="9"/>
        <v>3492972.81</v>
      </c>
      <c r="F75" s="195">
        <f t="shared" si="9"/>
        <v>17089946.219999999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3130655.09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53849905.159999996</v>
      </c>
      <c r="Q75" s="195">
        <f t="shared" si="9"/>
        <v>3146497</v>
      </c>
      <c r="R75" s="195">
        <f t="shared" si="9"/>
        <v>9257382</v>
      </c>
      <c r="S75" s="195">
        <f t="shared" si="9"/>
        <v>9099790.8399999999</v>
      </c>
      <c r="T75" s="195">
        <f t="shared" si="9"/>
        <v>10131509.800000001</v>
      </c>
      <c r="U75" s="195">
        <f t="shared" si="9"/>
        <v>41811233.359999999</v>
      </c>
      <c r="V75" s="195">
        <f t="shared" si="9"/>
        <v>710664</v>
      </c>
      <c r="W75" s="195">
        <f t="shared" si="9"/>
        <v>10570598.18</v>
      </c>
      <c r="X75" s="195">
        <f t="shared" si="9"/>
        <v>37627230.509999998</v>
      </c>
      <c r="Y75" s="195">
        <f t="shared" si="9"/>
        <v>41730187.480000004</v>
      </c>
      <c r="Z75" s="195">
        <f t="shared" si="9"/>
        <v>42279175.009999998</v>
      </c>
      <c r="AA75" s="195">
        <f t="shared" si="9"/>
        <v>5524705.0099999998</v>
      </c>
      <c r="AB75" s="195">
        <f t="shared" si="9"/>
        <v>38462419.460000001</v>
      </c>
      <c r="AC75" s="195">
        <f t="shared" si="9"/>
        <v>14208081.09</v>
      </c>
      <c r="AD75" s="195">
        <f t="shared" si="9"/>
        <v>0</v>
      </c>
      <c r="AE75" s="195">
        <f t="shared" si="9"/>
        <v>3912320.4699999997</v>
      </c>
      <c r="AF75" s="195">
        <f t="shared" si="9"/>
        <v>0</v>
      </c>
      <c r="AG75" s="195">
        <f t="shared" si="9"/>
        <v>46879581.219999999</v>
      </c>
      <c r="AH75" s="195">
        <f t="shared" si="9"/>
        <v>0</v>
      </c>
      <c r="AI75" s="195">
        <f t="shared" si="9"/>
        <v>9849213.9199999999</v>
      </c>
      <c r="AJ75" s="195">
        <f t="shared" si="9"/>
        <v>7597127.1499999994</v>
      </c>
      <c r="AK75" s="195">
        <f t="shared" si="9"/>
        <v>0</v>
      </c>
      <c r="AL75" s="195">
        <f t="shared" si="9"/>
        <v>883865.44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61910598.199999996</v>
      </c>
      <c r="AQ75" s="195">
        <f t="shared" si="9"/>
        <v>0</v>
      </c>
      <c r="AR75" s="195">
        <f t="shared" si="9"/>
        <v>2445175.7799999998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502877947.58999997</v>
      </c>
      <c r="CF75" s="252"/>
    </row>
    <row r="76" spans="1:84" ht="12.6" customHeight="1" x14ac:dyDescent="0.25">
      <c r="A76" s="171" t="s">
        <v>248</v>
      </c>
      <c r="B76" s="175"/>
      <c r="C76" s="184">
        <v>8232</v>
      </c>
      <c r="D76" s="184"/>
      <c r="E76" s="185">
        <f>13916+13916+5435</f>
        <v>33267</v>
      </c>
      <c r="F76" s="185">
        <v>13202</v>
      </c>
      <c r="G76" s="184"/>
      <c r="H76" s="184"/>
      <c r="I76" s="185"/>
      <c r="J76" s="185">
        <v>3386</v>
      </c>
      <c r="K76" s="185"/>
      <c r="L76" s="185"/>
      <c r="M76" s="185"/>
      <c r="N76" s="185"/>
      <c r="O76" s="185"/>
      <c r="P76" s="185">
        <v>22459</v>
      </c>
      <c r="Q76" s="185">
        <v>3360</v>
      </c>
      <c r="R76" s="185">
        <v>626</v>
      </c>
      <c r="S76" s="185">
        <v>4865</v>
      </c>
      <c r="T76" s="185"/>
      <c r="U76" s="185">
        <f>10447+5075</f>
        <v>15522</v>
      </c>
      <c r="V76" s="185">
        <v>273</v>
      </c>
      <c r="W76" s="185">
        <f>5560+811</f>
        <v>6371</v>
      </c>
      <c r="X76" s="185">
        <f>3170+485</f>
        <v>3655</v>
      </c>
      <c r="Y76" s="185">
        <v>24744</v>
      </c>
      <c r="Z76" s="185"/>
      <c r="AA76" s="185">
        <f>5831+516</f>
        <v>6347</v>
      </c>
      <c r="AB76" s="185">
        <f>7063+469</f>
        <v>7532</v>
      </c>
      <c r="AC76" s="185">
        <v>4795</v>
      </c>
      <c r="AD76" s="185"/>
      <c r="AE76" s="185">
        <v>8153</v>
      </c>
      <c r="AF76" s="185"/>
      <c r="AG76" s="185">
        <v>12512</v>
      </c>
      <c r="AH76" s="185"/>
      <c r="AI76" s="185">
        <f>3360+21948</f>
        <v>25308</v>
      </c>
      <c r="AJ76" s="185">
        <f>6578+2537</f>
        <v>9115</v>
      </c>
      <c r="AK76" s="185"/>
      <c r="AL76" s="185">
        <v>200</v>
      </c>
      <c r="AM76" s="185"/>
      <c r="AN76" s="185"/>
      <c r="AO76" s="185"/>
      <c r="AP76" s="185">
        <v>141755</v>
      </c>
      <c r="AQ76" s="185"/>
      <c r="AR76" s="185">
        <v>4239</v>
      </c>
      <c r="AS76" s="185"/>
      <c r="AT76" s="185"/>
      <c r="AU76" s="185"/>
      <c r="AV76" s="185"/>
      <c r="AW76" s="185">
        <v>2029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7934</v>
      </c>
      <c r="BE76" s="185">
        <f>46486+408</f>
        <v>46894</v>
      </c>
      <c r="BF76" s="185">
        <v>2876</v>
      </c>
      <c r="BG76" s="185">
        <v>3307</v>
      </c>
      <c r="BH76" s="185">
        <v>5954</v>
      </c>
      <c r="BI76" s="185"/>
      <c r="BJ76" s="185">
        <v>2401</v>
      </c>
      <c r="BK76" s="185">
        <v>11007</v>
      </c>
      <c r="BL76" s="185">
        <v>5856</v>
      </c>
      <c r="BM76" s="185"/>
      <c r="BN76" s="185">
        <v>2865</v>
      </c>
      <c r="BO76" s="185">
        <v>211</v>
      </c>
      <c r="BP76" s="185">
        <v>1983</v>
      </c>
      <c r="BQ76" s="185"/>
      <c r="BR76" s="185">
        <v>1650</v>
      </c>
      <c r="BS76" s="185">
        <f>3214+600</f>
        <v>3814</v>
      </c>
      <c r="BT76" s="185">
        <v>863</v>
      </c>
      <c r="BU76" s="185"/>
      <c r="BV76" s="185">
        <v>2549</v>
      </c>
      <c r="BW76" s="185">
        <v>3787</v>
      </c>
      <c r="BX76" s="185">
        <f>708+765</f>
        <v>1473</v>
      </c>
      <c r="BY76" s="185">
        <v>4864</v>
      </c>
      <c r="BZ76" s="185"/>
      <c r="CA76" s="185">
        <v>2202</v>
      </c>
      <c r="CB76" s="185">
        <v>309</v>
      </c>
      <c r="CC76" s="185">
        <f>143179+3716</f>
        <v>146895</v>
      </c>
      <c r="CD76" s="249" t="s">
        <v>221</v>
      </c>
      <c r="CE76" s="195">
        <f t="shared" si="8"/>
        <v>633750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3279</v>
      </c>
      <c r="D77" s="184"/>
      <c r="E77" s="184">
        <f>17154+22900</f>
        <v>40054</v>
      </c>
      <c r="F77" s="184">
        <v>8693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475</v>
      </c>
      <c r="AH77" s="184"/>
      <c r="AI77" s="184">
        <f>695+682</f>
        <v>1377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f>34791+266166+13668+9722</f>
        <v>324347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378225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f>(C76/$CE$76)*85076.75</f>
        <v>1105.0916071005918</v>
      </c>
      <c r="D78" s="184">
        <f t="shared" ref="D78:AW78" si="10">(D76/$CE$76)*85076.75</f>
        <v>0</v>
      </c>
      <c r="E78" s="184">
        <f t="shared" si="10"/>
        <v>4465.8749384615385</v>
      </c>
      <c r="F78" s="184">
        <f t="shared" si="10"/>
        <v>1772.2812678500984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454.54812702169625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0</v>
      </c>
      <c r="P78" s="184">
        <f t="shared" si="10"/>
        <v>3014.9723522682448</v>
      </c>
      <c r="Q78" s="184">
        <f t="shared" si="10"/>
        <v>451.05779881656809</v>
      </c>
      <c r="R78" s="184">
        <f t="shared" si="10"/>
        <v>84.036363708086782</v>
      </c>
      <c r="S78" s="184">
        <f t="shared" si="10"/>
        <v>653.09410453648911</v>
      </c>
      <c r="T78" s="184">
        <f t="shared" si="10"/>
        <v>0</v>
      </c>
      <c r="U78" s="184">
        <f t="shared" si="10"/>
        <v>2083.7259384615386</v>
      </c>
      <c r="V78" s="184">
        <f t="shared" si="10"/>
        <v>36.648446153846152</v>
      </c>
      <c r="W78" s="184">
        <f t="shared" si="10"/>
        <v>855.26465364891521</v>
      </c>
      <c r="X78" s="184">
        <f t="shared" si="10"/>
        <v>490.65959960552266</v>
      </c>
      <c r="Y78" s="184">
        <f t="shared" si="10"/>
        <v>3321.7185041420121</v>
      </c>
      <c r="Z78" s="184">
        <f t="shared" si="10"/>
        <v>0</v>
      </c>
      <c r="AA78" s="184">
        <f t="shared" si="10"/>
        <v>852.04281222879683</v>
      </c>
      <c r="AB78" s="184">
        <f t="shared" si="10"/>
        <v>1011.12123234714</v>
      </c>
      <c r="AC78" s="184">
        <f t="shared" si="10"/>
        <v>643.69706706114403</v>
      </c>
      <c r="AD78" s="184">
        <f t="shared" si="10"/>
        <v>0</v>
      </c>
      <c r="AE78" s="184">
        <f t="shared" si="10"/>
        <v>1094.4863790927022</v>
      </c>
      <c r="AF78" s="184">
        <f t="shared" si="10"/>
        <v>0</v>
      </c>
      <c r="AG78" s="184">
        <f t="shared" si="10"/>
        <v>1679.6533270216962</v>
      </c>
      <c r="AH78" s="184">
        <f t="shared" si="10"/>
        <v>0</v>
      </c>
      <c r="AI78" s="184">
        <f t="shared" si="10"/>
        <v>3397.4317775147929</v>
      </c>
      <c r="AJ78" s="184">
        <f t="shared" si="10"/>
        <v>1223.6285226824457</v>
      </c>
      <c r="AK78" s="184">
        <f t="shared" si="10"/>
        <v>0</v>
      </c>
      <c r="AL78" s="184">
        <f t="shared" si="10"/>
        <v>26.848678500986193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19029.67210453649</v>
      </c>
      <c r="AQ78" s="184">
        <f t="shared" si="10"/>
        <v>0</v>
      </c>
      <c r="AR78" s="184">
        <f t="shared" si="10"/>
        <v>569.0577408284023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0</v>
      </c>
      <c r="AW78" s="184">
        <f t="shared" si="10"/>
        <v>272.37984339250494</v>
      </c>
      <c r="AX78" s="249" t="s">
        <v>221</v>
      </c>
      <c r="AY78" s="249" t="s">
        <v>221</v>
      </c>
      <c r="AZ78" s="249" t="s">
        <v>221</v>
      </c>
      <c r="BA78" s="184">
        <f>(BA76/$CE$76)*85076.75</f>
        <v>229.55620118343194</v>
      </c>
      <c r="BB78" s="184">
        <f t="shared" ref="BB78:BC78" si="11">(BB76/$CE$76)*85076.75</f>
        <v>0</v>
      </c>
      <c r="BC78" s="184">
        <f t="shared" si="11"/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f>(BH76/$CE$76)*85076.75</f>
        <v>799.28515897435886</v>
      </c>
      <c r="BI78" s="184">
        <f>(BI76/$CE$76)*85076.75</f>
        <v>0</v>
      </c>
      <c r="BJ78" s="249" t="s">
        <v>221</v>
      </c>
      <c r="BK78" s="184">
        <f>(BK76/$CE$76)*85076.75</f>
        <v>1477.6170213017751</v>
      </c>
      <c r="BL78" s="184">
        <f t="shared" ref="BL78:BM78" si="12">(BL76/$CE$76)*85076.75</f>
        <v>786.12930650887563</v>
      </c>
      <c r="BM78" s="184">
        <f t="shared" si="12"/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f>(BS76/$CE$76)*85076.75</f>
        <v>512.00429901380676</v>
      </c>
      <c r="BT78" s="184">
        <f t="shared" ref="BT78:CB78" si="13">(BT76/$CE$76)*85076.75</f>
        <v>115.85204773175543</v>
      </c>
      <c r="BU78" s="184">
        <f t="shared" si="13"/>
        <v>0</v>
      </c>
      <c r="BV78" s="184">
        <f t="shared" si="13"/>
        <v>342.18640749506903</v>
      </c>
      <c r="BW78" s="184">
        <f t="shared" si="13"/>
        <v>508.37972741617358</v>
      </c>
      <c r="BX78" s="184">
        <f t="shared" si="13"/>
        <v>197.74051715976333</v>
      </c>
      <c r="BY78" s="184">
        <f t="shared" si="13"/>
        <v>652.9598611439842</v>
      </c>
      <c r="BZ78" s="184">
        <f t="shared" si="13"/>
        <v>0</v>
      </c>
      <c r="CA78" s="184">
        <f t="shared" si="13"/>
        <v>295.603950295858</v>
      </c>
      <c r="CB78" s="184">
        <f t="shared" si="13"/>
        <v>41.481208284023666</v>
      </c>
      <c r="CC78" s="249" t="s">
        <v>221</v>
      </c>
      <c r="CD78" s="249" t="s">
        <v>221</v>
      </c>
      <c r="CE78" s="195">
        <f t="shared" si="8"/>
        <v>54547.788893491132</v>
      </c>
      <c r="CF78" s="195"/>
    </row>
    <row r="79" spans="1:84" ht="12.6" customHeight="1" x14ac:dyDescent="0.25">
      <c r="A79" s="171" t="s">
        <v>251</v>
      </c>
      <c r="B79" s="175"/>
      <c r="C79" s="225">
        <v>56500</v>
      </c>
      <c r="D79" s="225"/>
      <c r="E79" s="184">
        <f>76624+64553</f>
        <v>141177</v>
      </c>
      <c r="F79" s="184">
        <v>77735</v>
      </c>
      <c r="G79" s="184"/>
      <c r="H79" s="184"/>
      <c r="I79" s="184"/>
      <c r="J79" s="184">
        <v>38393</v>
      </c>
      <c r="K79" s="184"/>
      <c r="L79" s="184"/>
      <c r="M79" s="184"/>
      <c r="N79" s="184"/>
      <c r="O79" s="184"/>
      <c r="P79" s="184">
        <f>7414+7582+24844</f>
        <v>39840</v>
      </c>
      <c r="Q79" s="184"/>
      <c r="R79" s="184"/>
      <c r="S79" s="184">
        <v>12866</v>
      </c>
      <c r="T79" s="184"/>
      <c r="U79" s="184"/>
      <c r="V79" s="184">
        <v>277</v>
      </c>
      <c r="W79" s="184">
        <v>2121</v>
      </c>
      <c r="X79" s="184">
        <v>7327</v>
      </c>
      <c r="Y79" s="184">
        <f>26950+33530</f>
        <v>60480</v>
      </c>
      <c r="Z79" s="184"/>
      <c r="AA79" s="184">
        <v>14396</v>
      </c>
      <c r="AB79" s="184"/>
      <c r="AC79" s="184"/>
      <c r="AD79" s="184"/>
      <c r="AE79" s="184">
        <v>20392</v>
      </c>
      <c r="AF79" s="184"/>
      <c r="AG79" s="184">
        <v>76634</v>
      </c>
      <c r="AH79" s="184"/>
      <c r="AI79" s="184">
        <f>53964+25037</f>
        <v>79001</v>
      </c>
      <c r="AJ79" s="184">
        <v>30114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657253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11.1</v>
      </c>
      <c r="D80" s="187"/>
      <c r="E80" s="187">
        <f>24.6+23+6.9</f>
        <v>54.5</v>
      </c>
      <c r="F80" s="187">
        <v>33.58</v>
      </c>
      <c r="G80" s="187"/>
      <c r="H80" s="187"/>
      <c r="I80" s="187"/>
      <c r="J80" s="187">
        <v>12.9</v>
      </c>
      <c r="K80" s="187"/>
      <c r="L80" s="187"/>
      <c r="M80" s="187"/>
      <c r="N80" s="187"/>
      <c r="O80" s="187"/>
      <c r="P80" s="187">
        <v>9.9</v>
      </c>
      <c r="Q80" s="187">
        <v>6</v>
      </c>
      <c r="R80" s="187">
        <v>1</v>
      </c>
      <c r="S80" s="187"/>
      <c r="T80" s="187"/>
      <c r="U80" s="187"/>
      <c r="V80" s="187"/>
      <c r="W80" s="187"/>
      <c r="X80" s="187"/>
      <c r="Y80" s="187">
        <f>1.3+1</f>
        <v>2.2999999999999998</v>
      </c>
      <c r="Z80" s="187"/>
      <c r="AA80" s="187"/>
      <c r="AB80" s="187"/>
      <c r="AC80" s="187"/>
      <c r="AD80" s="187"/>
      <c r="AE80" s="187"/>
      <c r="AF80" s="187"/>
      <c r="AG80" s="187">
        <v>21.3</v>
      </c>
      <c r="AH80" s="187"/>
      <c r="AI80" s="187">
        <f>13.13+4</f>
        <v>17.130000000000003</v>
      </c>
      <c r="AJ80" s="187">
        <f>0.9+6</f>
        <v>6.9</v>
      </c>
      <c r="AK80" s="187"/>
      <c r="AL80" s="187"/>
      <c r="AM80" s="187"/>
      <c r="AN80" s="187"/>
      <c r="AO80" s="187"/>
      <c r="AP80" s="187">
        <f>0.9</f>
        <v>0.9</v>
      </c>
      <c r="AQ80" s="187"/>
      <c r="AR80" s="187">
        <v>9.6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187.11000000000004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6061</v>
      </c>
      <c r="D111" s="174">
        <v>18745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1446</v>
      </c>
      <c r="D114" s="174">
        <v>3574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7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111</v>
      </c>
    </row>
    <row r="128" spans="1:5" ht="12.6" customHeight="1" x14ac:dyDescent="0.25">
      <c r="A128" s="173" t="s">
        <v>292</v>
      </c>
      <c r="B128" s="172" t="s">
        <v>256</v>
      </c>
      <c r="C128" s="189">
        <v>111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2574</v>
      </c>
      <c r="C138" s="189">
        <v>1533</v>
      </c>
      <c r="D138" s="174">
        <f>C111-B138-C138</f>
        <v>1954</v>
      </c>
      <c r="E138" s="175">
        <f>SUM(B138:D138)</f>
        <v>6061</v>
      </c>
    </row>
    <row r="139" spans="1:6" ht="12.6" customHeight="1" x14ac:dyDescent="0.25">
      <c r="A139" s="173" t="s">
        <v>215</v>
      </c>
      <c r="B139" s="174">
        <v>9684</v>
      </c>
      <c r="C139" s="189">
        <v>4438</v>
      </c>
      <c r="D139" s="174">
        <f>D111-B139-C139</f>
        <v>4623</v>
      </c>
      <c r="E139" s="175">
        <f>SUM(B139:D139)</f>
        <v>18745</v>
      </c>
    </row>
    <row r="140" spans="1:6" ht="12.6" customHeight="1" x14ac:dyDescent="0.25">
      <c r="A140" s="173" t="s">
        <v>298</v>
      </c>
      <c r="B140" s="174">
        <v>22835</v>
      </c>
      <c r="C140" s="174">
        <v>24284</v>
      </c>
      <c r="D140" s="174">
        <v>26449</v>
      </c>
      <c r="E140" s="175">
        <f>SUM(B140:D140)</f>
        <v>73568</v>
      </c>
    </row>
    <row r="141" spans="1:6" ht="12.6" customHeight="1" x14ac:dyDescent="0.25">
      <c r="A141" s="173" t="s">
        <v>245</v>
      </c>
      <c r="B141" s="174">
        <v>92218715</v>
      </c>
      <c r="C141" s="189">
        <v>39275601</v>
      </c>
      <c r="D141" s="174">
        <v>48419793</v>
      </c>
      <c r="E141" s="175">
        <f>SUM(B141:D141)</f>
        <v>179914109</v>
      </c>
      <c r="F141" s="199"/>
    </row>
    <row r="142" spans="1:6" ht="12.6" customHeight="1" x14ac:dyDescent="0.25">
      <c r="A142" s="173" t="s">
        <v>246</v>
      </c>
      <c r="B142" s="174">
        <v>112930721</v>
      </c>
      <c r="C142" s="189">
        <v>72172733</v>
      </c>
      <c r="D142" s="174">
        <v>137860385</v>
      </c>
      <c r="E142" s="175">
        <f>SUM(B142:D142)</f>
        <v>322963839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5685569.6100000003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144046.20000000001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92356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7201881.76+1626218.56</f>
        <v>8828100.3200000003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295934+27707</f>
        <v>323641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3941041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648006.63+20491.45+67.79+126844.24+1689.8+8232.5+28888.24+242388.67</f>
        <v>1076609.32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20091363.450000003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592041.56000000006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2102264.34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2694305.9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1453124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319267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1772391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118707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2385307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2504014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17611920.949999999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17611920.949999999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1580987</v>
      </c>
      <c r="C195" s="189"/>
      <c r="D195" s="174"/>
      <c r="E195" s="175">
        <f t="shared" ref="E195:E203" si="14">SUM(B195:C195)-D195</f>
        <v>1580987</v>
      </c>
    </row>
    <row r="196" spans="1:8" ht="12.6" customHeight="1" x14ac:dyDescent="0.25">
      <c r="A196" s="173" t="s">
        <v>333</v>
      </c>
      <c r="B196" s="174">
        <v>2501845</v>
      </c>
      <c r="C196" s="189"/>
      <c r="D196" s="174"/>
      <c r="E196" s="175">
        <f t="shared" si="14"/>
        <v>2501845</v>
      </c>
    </row>
    <row r="197" spans="1:8" ht="12.6" customHeight="1" x14ac:dyDescent="0.25">
      <c r="A197" s="173" t="s">
        <v>334</v>
      </c>
      <c r="B197" s="174">
        <v>208988170</v>
      </c>
      <c r="C197" s="189">
        <v>89822</v>
      </c>
      <c r="D197" s="174"/>
      <c r="E197" s="175">
        <f t="shared" si="14"/>
        <v>209077992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4"/>
        <v>0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4"/>
        <v>0</v>
      </c>
    </row>
    <row r="200" spans="1:8" ht="12.6" customHeight="1" x14ac:dyDescent="0.25">
      <c r="A200" s="173" t="s">
        <v>337</v>
      </c>
      <c r="B200" s="174">
        <v>80635210</v>
      </c>
      <c r="C200" s="189">
        <v>349416</v>
      </c>
      <c r="D200" s="174">
        <v>1379325</v>
      </c>
      <c r="E200" s="175">
        <f t="shared" si="14"/>
        <v>79605301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4"/>
        <v>0</v>
      </c>
    </row>
    <row r="202" spans="1:8" ht="12.6" customHeight="1" x14ac:dyDescent="0.25">
      <c r="A202" s="173" t="s">
        <v>339</v>
      </c>
      <c r="B202" s="174">
        <v>18910528</v>
      </c>
      <c r="C202" s="189">
        <v>277102</v>
      </c>
      <c r="D202" s="174">
        <v>1791433</v>
      </c>
      <c r="E202" s="175">
        <f t="shared" si="14"/>
        <v>17396197</v>
      </c>
    </row>
    <row r="203" spans="1:8" ht="12.6" customHeight="1" x14ac:dyDescent="0.25">
      <c r="A203" s="173" t="s">
        <v>340</v>
      </c>
      <c r="B203" s="174">
        <v>992745</v>
      </c>
      <c r="C203" s="189">
        <v>171151</v>
      </c>
      <c r="D203" s="174">
        <v>459442</v>
      </c>
      <c r="E203" s="175">
        <f t="shared" si="14"/>
        <v>704454</v>
      </c>
    </row>
    <row r="204" spans="1:8" ht="12.6" customHeight="1" x14ac:dyDescent="0.25">
      <c r="A204" s="173" t="s">
        <v>203</v>
      </c>
      <c r="B204" s="175">
        <f>SUM(B195:B203)</f>
        <v>313609485</v>
      </c>
      <c r="C204" s="191">
        <f>SUM(C195:C203)</f>
        <v>887491</v>
      </c>
      <c r="D204" s="175">
        <f>SUM(D195:D203)</f>
        <v>3630200</v>
      </c>
      <c r="E204" s="175">
        <f>SUM(E195:E203)</f>
        <v>310866776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2455360</v>
      </c>
      <c r="C209" s="189">
        <v>17733</v>
      </c>
      <c r="D209" s="174"/>
      <c r="E209" s="175">
        <f t="shared" ref="E209:E216" si="15">SUM(B209:C209)-D209</f>
        <v>2473093</v>
      </c>
      <c r="H209" s="259"/>
    </row>
    <row r="210" spans="1:8" ht="12.6" customHeight="1" x14ac:dyDescent="0.25">
      <c r="A210" s="173" t="s">
        <v>334</v>
      </c>
      <c r="B210" s="174">
        <v>54996084</v>
      </c>
      <c r="C210" s="189">
        <v>6537416</v>
      </c>
      <c r="D210" s="174"/>
      <c r="E210" s="175">
        <f t="shared" si="15"/>
        <v>61533500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5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5"/>
        <v>0</v>
      </c>
      <c r="H212" s="259"/>
    </row>
    <row r="213" spans="1:8" ht="12.6" customHeight="1" x14ac:dyDescent="0.25">
      <c r="A213" s="173" t="s">
        <v>337</v>
      </c>
      <c r="B213" s="174">
        <v>60421536</v>
      </c>
      <c r="C213" s="189">
        <v>5165950</v>
      </c>
      <c r="D213" s="174">
        <v>2964218</v>
      </c>
      <c r="E213" s="175">
        <f t="shared" si="15"/>
        <v>62623268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5"/>
        <v>0</v>
      </c>
      <c r="H214" s="259"/>
    </row>
    <row r="215" spans="1:8" ht="12.6" customHeight="1" x14ac:dyDescent="0.25">
      <c r="A215" s="173" t="s">
        <v>339</v>
      </c>
      <c r="B215" s="174">
        <v>3473204</v>
      </c>
      <c r="C215" s="189">
        <v>1044435</v>
      </c>
      <c r="D215" s="174">
        <v>206540</v>
      </c>
      <c r="E215" s="175">
        <f t="shared" si="15"/>
        <v>4311099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5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121346184</v>
      </c>
      <c r="C217" s="191">
        <f>SUM(C208:C216)</f>
        <v>12765534</v>
      </c>
      <c r="D217" s="175">
        <f>SUM(D208:D216)</f>
        <v>3170758</v>
      </c>
      <c r="E217" s="175">
        <f>SUM(E208:E216)</f>
        <v>130940960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7742658.7800000003</v>
      </c>
      <c r="D221" s="172">
        <f>C221</f>
        <v>7742658.7800000003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140235029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99357789.689999998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9831097.6199999992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2312448.75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77896348.650000006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329632713.71000004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f>140+1301</f>
        <v>1441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751230.16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1430121.61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2181351.77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1472668.89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1472668.89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341029393.14999998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2634877.94+2500485.9</f>
        <v>5135363.84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50594023.11-5011.39-10072.22+1326.95+357611.29+387335.2+1617167.54+4978235.05+229404.25+58448.29</f>
        <v>58208468.07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1034754.72+4677070.94+467315.2+14535.31+11911752.45+2581966.86+6837396.63+10093278.14+594315.2+594315.2+594315.2+63000</f>
        <v>39464015.850000009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3751161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558498.18999999994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3382951.93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1627809.41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33200236.589999989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f>31307.39+9463.27+881823.96+0.12</f>
        <v>922594.74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693493.28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1616088.02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644695.64+31813+229802.15+464988.39+209687.5</f>
        <v>1580986.6800000002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1252967.34+1248878.28</f>
        <v>2501845.62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177067362.05+11909517.03+20101113.03</f>
        <v>209077992.11000001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74889454.94+4652991.43+62855.71</f>
        <v>79605302.079999998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15122667.17+22531.99+2158533.97+92463.51</f>
        <v>17396196.640000001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628363.55+40104.51+35985.44</f>
        <v>704453.5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310866776.63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1233730.02+1239363.28+46223052.68+15310450.39+58252267.12+4261455.85+2203823.63+22531.99+2051153.02+143133.3</f>
        <v>130940961.27999997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179925815.35000002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328919.43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6719011.5300000003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51973.39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7099904.3499999996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221842044.31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f>330416.33+141185.67</f>
        <v>471602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29094351-1760725.99-69.73</f>
        <v>27333555.280000001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3614365.97+2722642.72+2940847.93</f>
        <v>9277856.620000001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637409.37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99999.55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37820422.82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4015746.41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4015746.41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1760725.99+69.73+195733.43+311881.65+95359.68+1345155.62+430555.55</f>
        <v>4139481.65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662440.55-1411646.65+22426558.62+333901.09+1114388.09+159433319.8-169194.14-1</f>
        <v>182389766.36000001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4075000+4050000</f>
        <v>8125000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194654248.01000002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194654248.01000002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189">
        <v>14073185.529999999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-28721559.199999999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221842043.57000002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221842044.31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179914108.69999999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322963839.16000003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502877947.86000001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7742658.7800000003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331105382.49-1472669</f>
        <v>329632713.49000001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2181351.77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1472669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341029393.03999996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161848554.82000005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897818.58+5645329.83</f>
        <v>6543148.4100000001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1471683.45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8014831.8600000003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169863386.68000007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81489040.530000001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20091363.559999999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8371903.56+2404022</f>
        <v>10775925.559999999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33994528.950000003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2363483.44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15074438.24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12765534.52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2694305.9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1772391.26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2504013.79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17611920.949999999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1098195.51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202235142.21000001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-32371755.529999942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168251.54+618160.22+13080.4+2850704</f>
        <v>3650196.16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-28721559.369999941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-28721559.369999941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Kennewick General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6061</v>
      </c>
      <c r="C414" s="194">
        <f>E138</f>
        <v>6061</v>
      </c>
      <c r="D414" s="179"/>
    </row>
    <row r="415" spans="1:5" ht="12.6" customHeight="1" x14ac:dyDescent="0.25">
      <c r="A415" s="179" t="s">
        <v>464</v>
      </c>
      <c r="B415" s="179">
        <f>D111</f>
        <v>18745</v>
      </c>
      <c r="C415" s="179">
        <f>E139</f>
        <v>18745</v>
      </c>
      <c r="D415" s="194">
        <f>SUM(C59:H59)+N59</f>
        <v>18745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1446</v>
      </c>
    </row>
    <row r="424" spans="1:7" ht="12.6" customHeight="1" x14ac:dyDescent="0.25">
      <c r="A424" s="179" t="s">
        <v>1244</v>
      </c>
      <c r="B424" s="179">
        <f>D114</f>
        <v>3574</v>
      </c>
      <c r="D424" s="179">
        <f>J59</f>
        <v>3574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6">C378</f>
        <v>81489040.530000001</v>
      </c>
      <c r="C427" s="179">
        <f t="shared" ref="C427:C434" si="17">CE61</f>
        <v>81489040.739999995</v>
      </c>
      <c r="D427" s="179"/>
    </row>
    <row r="428" spans="1:7" ht="12.6" customHeight="1" x14ac:dyDescent="0.25">
      <c r="A428" s="179" t="s">
        <v>3</v>
      </c>
      <c r="B428" s="179">
        <f t="shared" si="16"/>
        <v>20091363.559999999</v>
      </c>
      <c r="C428" s="179">
        <f t="shared" si="17"/>
        <v>20091364</v>
      </c>
      <c r="D428" s="179">
        <f>D173</f>
        <v>20091363.450000003</v>
      </c>
    </row>
    <row r="429" spans="1:7" ht="12.6" customHeight="1" x14ac:dyDescent="0.25">
      <c r="A429" s="179" t="s">
        <v>236</v>
      </c>
      <c r="B429" s="179">
        <f t="shared" si="16"/>
        <v>10775925.559999999</v>
      </c>
      <c r="C429" s="179">
        <f t="shared" si="17"/>
        <v>10775926.780000003</v>
      </c>
      <c r="D429" s="179"/>
    </row>
    <row r="430" spans="1:7" ht="12.6" customHeight="1" x14ac:dyDescent="0.25">
      <c r="A430" s="179" t="s">
        <v>237</v>
      </c>
      <c r="B430" s="179">
        <f t="shared" si="16"/>
        <v>33994528.950000003</v>
      </c>
      <c r="C430" s="179">
        <f t="shared" si="17"/>
        <v>33994529.010000005</v>
      </c>
      <c r="D430" s="179"/>
    </row>
    <row r="431" spans="1:7" ht="12.6" customHeight="1" x14ac:dyDescent="0.25">
      <c r="A431" s="179" t="s">
        <v>444</v>
      </c>
      <c r="B431" s="179">
        <f t="shared" si="16"/>
        <v>2363483.44</v>
      </c>
      <c r="C431" s="179">
        <f t="shared" si="17"/>
        <v>2363483.92</v>
      </c>
      <c r="D431" s="179"/>
    </row>
    <row r="432" spans="1:7" ht="12.6" customHeight="1" x14ac:dyDescent="0.25">
      <c r="A432" s="179" t="s">
        <v>445</v>
      </c>
      <c r="B432" s="179">
        <f t="shared" si="16"/>
        <v>15074438.24</v>
      </c>
      <c r="C432" s="179">
        <f t="shared" si="17"/>
        <v>15074438.090000004</v>
      </c>
      <c r="D432" s="179"/>
    </row>
    <row r="433" spans="1:7" ht="12.6" customHeight="1" x14ac:dyDescent="0.25">
      <c r="A433" s="179" t="s">
        <v>6</v>
      </c>
      <c r="B433" s="179">
        <f t="shared" si="16"/>
        <v>12765534.52</v>
      </c>
      <c r="C433" s="179">
        <f t="shared" si="17"/>
        <v>12765534</v>
      </c>
      <c r="D433" s="179">
        <f>C217</f>
        <v>12765534</v>
      </c>
    </row>
    <row r="434" spans="1:7" ht="12.6" customHeight="1" x14ac:dyDescent="0.25">
      <c r="A434" s="179" t="s">
        <v>474</v>
      </c>
      <c r="B434" s="179">
        <f t="shared" si="16"/>
        <v>2694305.9</v>
      </c>
      <c r="C434" s="179">
        <f t="shared" si="17"/>
        <v>2694306.4899999998</v>
      </c>
      <c r="D434" s="179">
        <f>D177</f>
        <v>2694305.9</v>
      </c>
    </row>
    <row r="435" spans="1:7" ht="12.6" customHeight="1" x14ac:dyDescent="0.25">
      <c r="A435" s="179" t="s">
        <v>447</v>
      </c>
      <c r="B435" s="179">
        <f t="shared" si="16"/>
        <v>1772391.26</v>
      </c>
      <c r="C435" s="179"/>
      <c r="D435" s="179">
        <f>D181</f>
        <v>1772391</v>
      </c>
    </row>
    <row r="436" spans="1:7" ht="12.6" customHeight="1" x14ac:dyDescent="0.25">
      <c r="A436" s="179" t="s">
        <v>475</v>
      </c>
      <c r="B436" s="179">
        <f t="shared" si="16"/>
        <v>2504013.79</v>
      </c>
      <c r="C436" s="179"/>
      <c r="D436" s="179">
        <f>D186</f>
        <v>2504014</v>
      </c>
    </row>
    <row r="437" spans="1:7" ht="12.6" customHeight="1" x14ac:dyDescent="0.25">
      <c r="A437" s="194" t="s">
        <v>449</v>
      </c>
      <c r="B437" s="194">
        <f t="shared" si="16"/>
        <v>17611920.949999999</v>
      </c>
      <c r="C437" s="194"/>
      <c r="D437" s="194">
        <f>D190</f>
        <v>17611920.949999999</v>
      </c>
    </row>
    <row r="438" spans="1:7" ht="12.6" customHeight="1" x14ac:dyDescent="0.25">
      <c r="A438" s="194" t="s">
        <v>476</v>
      </c>
      <c r="B438" s="194">
        <f>C386+C387+C388</f>
        <v>21888326</v>
      </c>
      <c r="C438" s="194">
        <f>CD69</f>
        <v>21888326</v>
      </c>
      <c r="D438" s="194">
        <f>D181+D186+D190</f>
        <v>21888325.949999999</v>
      </c>
    </row>
    <row r="439" spans="1:7" ht="12.6" customHeight="1" x14ac:dyDescent="0.25">
      <c r="A439" s="179" t="s">
        <v>451</v>
      </c>
      <c r="B439" s="194">
        <f>C389</f>
        <v>1098195.51</v>
      </c>
      <c r="C439" s="194">
        <f>SUM(C69:CC69)</f>
        <v>1098195.2600000002</v>
      </c>
      <c r="D439" s="179"/>
    </row>
    <row r="440" spans="1:7" ht="12.6" customHeight="1" x14ac:dyDescent="0.25">
      <c r="A440" s="179" t="s">
        <v>477</v>
      </c>
      <c r="B440" s="194">
        <f>B438+B439</f>
        <v>22986521.510000002</v>
      </c>
      <c r="C440" s="194">
        <f>CE69</f>
        <v>22986521.260000002</v>
      </c>
      <c r="D440" s="179"/>
    </row>
    <row r="441" spans="1:7" ht="12.6" customHeight="1" x14ac:dyDescent="0.25">
      <c r="A441" s="179" t="s">
        <v>478</v>
      </c>
      <c r="B441" s="179">
        <f>D390</f>
        <v>202235142.21000001</v>
      </c>
      <c r="C441" s="179">
        <f>SUM(C427:C437)+C440</f>
        <v>202235144.28999999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7742658.7800000003</v>
      </c>
      <c r="C444" s="179">
        <f>C363</f>
        <v>7742658.7800000003</v>
      </c>
      <c r="D444" s="179"/>
    </row>
    <row r="445" spans="1:7" ht="12.6" customHeight="1" x14ac:dyDescent="0.25">
      <c r="A445" s="179" t="s">
        <v>343</v>
      </c>
      <c r="B445" s="179">
        <f>D229</f>
        <v>329632713.71000004</v>
      </c>
      <c r="C445" s="179">
        <f>C364</f>
        <v>329632713.49000001</v>
      </c>
      <c r="D445" s="179"/>
    </row>
    <row r="446" spans="1:7" ht="12.6" customHeight="1" x14ac:dyDescent="0.25">
      <c r="A446" s="179" t="s">
        <v>351</v>
      </c>
      <c r="B446" s="179">
        <f>D236</f>
        <v>2181351.77</v>
      </c>
      <c r="C446" s="179">
        <f>C365</f>
        <v>2181351.77</v>
      </c>
      <c r="D446" s="179"/>
    </row>
    <row r="447" spans="1:7" ht="12.6" customHeight="1" x14ac:dyDescent="0.25">
      <c r="A447" s="179" t="s">
        <v>356</v>
      </c>
      <c r="B447" s="179">
        <f>D240</f>
        <v>1472668.89</v>
      </c>
      <c r="C447" s="179">
        <f>C366</f>
        <v>1472669</v>
      </c>
      <c r="D447" s="179"/>
    </row>
    <row r="448" spans="1:7" ht="12.6" customHeight="1" x14ac:dyDescent="0.25">
      <c r="A448" s="179" t="s">
        <v>358</v>
      </c>
      <c r="B448" s="179">
        <f>D242</f>
        <v>341029393.14999998</v>
      </c>
      <c r="C448" s="179">
        <f>D367</f>
        <v>341029393.03999996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1441</v>
      </c>
    </row>
    <row r="454" spans="1:7" ht="12.6" customHeight="1" x14ac:dyDescent="0.25">
      <c r="A454" s="179" t="s">
        <v>168</v>
      </c>
      <c r="B454" s="179">
        <f>C233</f>
        <v>751230.16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1430121.61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6543148.4100000001</v>
      </c>
      <c r="C458" s="194">
        <f>CE70</f>
        <v>6543148.4100000011</v>
      </c>
      <c r="D458" s="194"/>
    </row>
    <row r="459" spans="1:7" ht="12.6" customHeight="1" x14ac:dyDescent="0.25">
      <c r="A459" s="179" t="s">
        <v>244</v>
      </c>
      <c r="B459" s="194">
        <f>C371</f>
        <v>1471683.45</v>
      </c>
      <c r="C459" s="194">
        <f>CE72</f>
        <v>1471683.45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179914108.69999999</v>
      </c>
      <c r="C463" s="194">
        <f>CE73</f>
        <v>179914108.44000003</v>
      </c>
      <c r="D463" s="194">
        <f>E141+E147+E153</f>
        <v>179914109</v>
      </c>
    </row>
    <row r="464" spans="1:7" ht="12.6" customHeight="1" x14ac:dyDescent="0.25">
      <c r="A464" s="179" t="s">
        <v>246</v>
      </c>
      <c r="B464" s="194">
        <f>C360</f>
        <v>322963839.16000003</v>
      </c>
      <c r="C464" s="194">
        <f>CE74</f>
        <v>322963839.14999998</v>
      </c>
      <c r="D464" s="194">
        <f>E142+E148+E154</f>
        <v>322963839</v>
      </c>
    </row>
    <row r="465" spans="1:7" ht="12.6" customHeight="1" x14ac:dyDescent="0.25">
      <c r="A465" s="179" t="s">
        <v>247</v>
      </c>
      <c r="B465" s="194">
        <f>D361</f>
        <v>502877947.86000001</v>
      </c>
      <c r="C465" s="194">
        <f>CE75</f>
        <v>502877947.58999997</v>
      </c>
      <c r="D465" s="194">
        <f>D463+D464</f>
        <v>502877948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8">C267</f>
        <v>1580986.6800000002</v>
      </c>
      <c r="C468" s="179">
        <f>E195</f>
        <v>1580987</v>
      </c>
      <c r="D468" s="179"/>
    </row>
    <row r="469" spans="1:7" ht="12.6" customHeight="1" x14ac:dyDescent="0.25">
      <c r="A469" s="179" t="s">
        <v>333</v>
      </c>
      <c r="B469" s="179">
        <f t="shared" si="18"/>
        <v>2501845.62</v>
      </c>
      <c r="C469" s="179">
        <f>E196</f>
        <v>2501845</v>
      </c>
      <c r="D469" s="179"/>
    </row>
    <row r="470" spans="1:7" ht="12.6" customHeight="1" x14ac:dyDescent="0.25">
      <c r="A470" s="179" t="s">
        <v>334</v>
      </c>
      <c r="B470" s="179">
        <f t="shared" si="18"/>
        <v>209077992.11000001</v>
      </c>
      <c r="C470" s="179">
        <f>E197</f>
        <v>209077992</v>
      </c>
      <c r="D470" s="179"/>
    </row>
    <row r="471" spans="1:7" ht="12.6" customHeight="1" x14ac:dyDescent="0.25">
      <c r="A471" s="179" t="s">
        <v>494</v>
      </c>
      <c r="B471" s="179">
        <f t="shared" si="18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8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8"/>
        <v>79605302.079999998</v>
      </c>
      <c r="C473" s="179">
        <f>SUM(E200:E201)</f>
        <v>79605301</v>
      </c>
      <c r="D473" s="179"/>
    </row>
    <row r="474" spans="1:7" ht="12.6" customHeight="1" x14ac:dyDescent="0.25">
      <c r="A474" s="179" t="s">
        <v>339</v>
      </c>
      <c r="B474" s="179">
        <f t="shared" si="18"/>
        <v>17396196.640000001</v>
      </c>
      <c r="C474" s="179">
        <f>E202</f>
        <v>17396197</v>
      </c>
      <c r="D474" s="179"/>
    </row>
    <row r="475" spans="1:7" ht="12.6" customHeight="1" x14ac:dyDescent="0.25">
      <c r="A475" s="179" t="s">
        <v>340</v>
      </c>
      <c r="B475" s="179">
        <f t="shared" si="18"/>
        <v>704453.5</v>
      </c>
      <c r="C475" s="179">
        <f>E203</f>
        <v>704454</v>
      </c>
      <c r="D475" s="179"/>
    </row>
    <row r="476" spans="1:7" ht="12.6" customHeight="1" x14ac:dyDescent="0.25">
      <c r="A476" s="179" t="s">
        <v>203</v>
      </c>
      <c r="B476" s="179">
        <f>D275</f>
        <v>310866776.63</v>
      </c>
      <c r="C476" s="179">
        <f>E204</f>
        <v>310866776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130940961.27999997</v>
      </c>
      <c r="C478" s="179">
        <f>E217</f>
        <v>130940960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221842044.31</v>
      </c>
    </row>
    <row r="482" spans="1:12" ht="12.6" customHeight="1" x14ac:dyDescent="0.25">
      <c r="A482" s="180" t="s">
        <v>499</v>
      </c>
      <c r="C482" s="180">
        <f>D339</f>
        <v>221842043.57000002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Kennewick General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3252727.53</v>
      </c>
      <c r="C496" s="240">
        <f>C71</f>
        <v>3077169.62</v>
      </c>
      <c r="D496" s="240">
        <v>2065</v>
      </c>
      <c r="E496" s="180">
        <f>C59</f>
        <v>1861</v>
      </c>
      <c r="F496" s="263">
        <f t="shared" ref="F496:G511" si="19">IF(B496=0,"",IF(D496=0,"",B496/D496))</f>
        <v>1575.1707167070217</v>
      </c>
      <c r="G496" s="264">
        <f t="shared" si="19"/>
        <v>1653.5032885545406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1187.96</v>
      </c>
      <c r="C497" s="240">
        <f>D71</f>
        <v>369</v>
      </c>
      <c r="D497" s="240">
        <v>0</v>
      </c>
      <c r="E497" s="180">
        <f>D59</f>
        <v>0</v>
      </c>
      <c r="F497" s="263" t="str">
        <f t="shared" si="19"/>
        <v/>
      </c>
      <c r="G497" s="263" t="str">
        <f t="shared" si="19"/>
        <v/>
      </c>
      <c r="H497" s="265" t="str">
        <f t="shared" ref="H497:H550" si="20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9528186.7600000016</v>
      </c>
      <c r="C498" s="240">
        <f>E71</f>
        <v>8844932.2399999984</v>
      </c>
      <c r="D498" s="240">
        <v>13586</v>
      </c>
      <c r="E498" s="180">
        <f>E59</f>
        <v>13559</v>
      </c>
      <c r="F498" s="263">
        <f t="shared" si="19"/>
        <v>701.32391873987945</v>
      </c>
      <c r="G498" s="263">
        <f t="shared" si="19"/>
        <v>652.32924551958092</v>
      </c>
      <c r="H498" s="265" t="str">
        <f t="shared" si="20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6458353.0099999988</v>
      </c>
      <c r="C499" s="240">
        <f>F71</f>
        <v>6539062.9700000007</v>
      </c>
      <c r="D499" s="240">
        <v>3491</v>
      </c>
      <c r="E499" s="180">
        <f>F59</f>
        <v>3325</v>
      </c>
      <c r="F499" s="263">
        <f t="shared" si="19"/>
        <v>1850.0008622171295</v>
      </c>
      <c r="G499" s="263">
        <f t="shared" si="19"/>
        <v>1966.6354796992484</v>
      </c>
      <c r="H499" s="265" t="str">
        <f t="shared" si="20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9"/>
        <v/>
      </c>
      <c r="G500" s="263" t="str">
        <f t="shared" si="19"/>
        <v/>
      </c>
      <c r="H500" s="265" t="str">
        <f t="shared" si="20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9"/>
        <v/>
      </c>
      <c r="G501" s="263" t="str">
        <f t="shared" si="19"/>
        <v/>
      </c>
      <c r="H501" s="265" t="str">
        <f t="shared" si="20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9"/>
        <v/>
      </c>
      <c r="G502" s="263" t="str">
        <f t="shared" si="19"/>
        <v/>
      </c>
      <c r="H502" s="265" t="str">
        <f t="shared" si="20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1394812.8499999999</v>
      </c>
      <c r="C503" s="240">
        <f>J71</f>
        <v>1805852.88</v>
      </c>
      <c r="D503" s="240">
        <v>2982</v>
      </c>
      <c r="E503" s="180">
        <f>J59</f>
        <v>3574</v>
      </c>
      <c r="F503" s="263">
        <f t="shared" si="19"/>
        <v>467.74408115358813</v>
      </c>
      <c r="G503" s="263">
        <f t="shared" si="19"/>
        <v>505.27500839395634</v>
      </c>
      <c r="H503" s="265" t="str">
        <f t="shared" si="20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9"/>
        <v/>
      </c>
      <c r="G504" s="263" t="str">
        <f t="shared" si="19"/>
        <v/>
      </c>
      <c r="H504" s="265" t="str">
        <f t="shared" si="20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9"/>
        <v/>
      </c>
      <c r="G505" s="263" t="str">
        <f t="shared" si="19"/>
        <v/>
      </c>
      <c r="H505" s="265" t="str">
        <f t="shared" si="20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9"/>
        <v/>
      </c>
      <c r="G506" s="263" t="str">
        <f t="shared" si="19"/>
        <v/>
      </c>
      <c r="H506" s="265" t="str">
        <f t="shared" si="20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9"/>
        <v/>
      </c>
      <c r="G507" s="263" t="str">
        <f t="shared" si="19"/>
        <v/>
      </c>
      <c r="H507" s="265" t="str">
        <f t="shared" si="20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9"/>
        <v/>
      </c>
      <c r="G508" s="263" t="str">
        <f t="shared" si="19"/>
        <v/>
      </c>
      <c r="H508" s="265" t="str">
        <f t="shared" si="20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10126763.07</v>
      </c>
      <c r="C509" s="240">
        <f>P71</f>
        <v>13549209.619999999</v>
      </c>
      <c r="D509" s="240">
        <v>327124</v>
      </c>
      <c r="E509" s="180">
        <f>P59</f>
        <v>328103</v>
      </c>
      <c r="F509" s="263">
        <f t="shared" si="19"/>
        <v>30.956955374720291</v>
      </c>
      <c r="G509" s="263">
        <f t="shared" si="19"/>
        <v>41.295598089624292</v>
      </c>
      <c r="H509" s="265">
        <f t="shared" si="20"/>
        <v>0.33396833085680711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895860.50999999989</v>
      </c>
      <c r="C510" s="240">
        <f>Q71</f>
        <v>853669.5</v>
      </c>
      <c r="D510" s="240">
        <v>170502</v>
      </c>
      <c r="E510" s="180">
        <f>Q59</f>
        <v>144644</v>
      </c>
      <c r="F510" s="263">
        <f t="shared" si="19"/>
        <v>5.2542522081852407</v>
      </c>
      <c r="G510" s="263">
        <f t="shared" si="19"/>
        <v>5.9018659605652495</v>
      </c>
      <c r="H510" s="265" t="str">
        <f t="shared" si="20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518999.39999999997</v>
      </c>
      <c r="C511" s="240">
        <f>R71</f>
        <v>503394.24</v>
      </c>
      <c r="D511" s="240">
        <v>0</v>
      </c>
      <c r="E511" s="180">
        <f>R59</f>
        <v>0</v>
      </c>
      <c r="F511" s="263" t="str">
        <f t="shared" si="19"/>
        <v/>
      </c>
      <c r="G511" s="263" t="str">
        <f t="shared" si="19"/>
        <v/>
      </c>
      <c r="H511" s="265" t="str">
        <f t="shared" si="20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1192107.94</v>
      </c>
      <c r="C512" s="240">
        <f>S71</f>
        <v>1253302.21</v>
      </c>
      <c r="D512" s="181" t="s">
        <v>529</v>
      </c>
      <c r="E512" s="181" t="s">
        <v>529</v>
      </c>
      <c r="F512" s="263" t="str">
        <f t="shared" ref="F512:G527" si="21">IF(B512=0,"",IF(D512=0,"",B512/D512))</f>
        <v/>
      </c>
      <c r="G512" s="263" t="str">
        <f t="shared" si="21"/>
        <v/>
      </c>
      <c r="H512" s="265" t="str">
        <f t="shared" si="20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1113757.79</v>
      </c>
      <c r="C513" s="240">
        <f>T71</f>
        <v>1092347.19</v>
      </c>
      <c r="D513" s="181" t="s">
        <v>529</v>
      </c>
      <c r="E513" s="181" t="s">
        <v>529</v>
      </c>
      <c r="F513" s="263" t="str">
        <f t="shared" si="21"/>
        <v/>
      </c>
      <c r="G513" s="263" t="str">
        <f t="shared" si="21"/>
        <v/>
      </c>
      <c r="H513" s="265" t="str">
        <f t="shared" si="20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6610410.5199999996</v>
      </c>
      <c r="C514" s="240">
        <f>U71</f>
        <v>6291311.8200000003</v>
      </c>
      <c r="D514" s="240">
        <v>455971</v>
      </c>
      <c r="E514" s="180">
        <f>U59</f>
        <v>445324</v>
      </c>
      <c r="F514" s="263">
        <f t="shared" si="21"/>
        <v>14.497436284325099</v>
      </c>
      <c r="G514" s="263">
        <f t="shared" si="21"/>
        <v>14.127493285787427</v>
      </c>
      <c r="H514" s="265" t="str">
        <f t="shared" si="20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143445.16</v>
      </c>
      <c r="C515" s="240">
        <f>V71</f>
        <v>132652.5</v>
      </c>
      <c r="D515" s="240">
        <v>518</v>
      </c>
      <c r="E515" s="180">
        <f>V59</f>
        <v>794</v>
      </c>
      <c r="F515" s="263">
        <f t="shared" si="21"/>
        <v>276.9211583011583</v>
      </c>
      <c r="G515" s="263">
        <f t="shared" si="21"/>
        <v>167.06863979848868</v>
      </c>
      <c r="H515" s="265">
        <f t="shared" si="20"/>
        <v>-0.39669239857505734</v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603573.46000000008</v>
      </c>
      <c r="C516" s="240">
        <f>W71</f>
        <v>595014.83000000007</v>
      </c>
      <c r="D516" s="240">
        <v>3311</v>
      </c>
      <c r="E516" s="180">
        <f>W59</f>
        <v>3286</v>
      </c>
      <c r="F516" s="263">
        <f t="shared" si="21"/>
        <v>182.29340380549687</v>
      </c>
      <c r="G516" s="263">
        <f t="shared" si="21"/>
        <v>181.07572428484482</v>
      </c>
      <c r="H516" s="265" t="str">
        <f t="shared" si="20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1358881.78</v>
      </c>
      <c r="C517" s="240">
        <f>X71</f>
        <v>1322822.6900000002</v>
      </c>
      <c r="D517" s="240">
        <v>12424</v>
      </c>
      <c r="E517" s="180">
        <f>X59</f>
        <v>12179</v>
      </c>
      <c r="F517" s="263">
        <f t="shared" si="21"/>
        <v>109.37554571796522</v>
      </c>
      <c r="G517" s="263">
        <f t="shared" si="21"/>
        <v>108.61504967567126</v>
      </c>
      <c r="H517" s="265" t="str">
        <f t="shared" si="20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9557474.8700000029</v>
      </c>
      <c r="C518" s="240">
        <f>Y71</f>
        <v>10028947.159999998</v>
      </c>
      <c r="D518" s="240">
        <v>69709</v>
      </c>
      <c r="E518" s="180">
        <f>Y59</f>
        <v>66506</v>
      </c>
      <c r="F518" s="263">
        <f t="shared" si="21"/>
        <v>137.10532169447279</v>
      </c>
      <c r="G518" s="263">
        <f t="shared" si="21"/>
        <v>150.79762968754696</v>
      </c>
      <c r="H518" s="265" t="str">
        <f t="shared" si="20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6872764.2600000007</v>
      </c>
      <c r="C519" s="240">
        <f>Z71</f>
        <v>7286595.1399999997</v>
      </c>
      <c r="D519" s="240">
        <v>0</v>
      </c>
      <c r="E519" s="180">
        <f>Z59</f>
        <v>0</v>
      </c>
      <c r="F519" s="263" t="str">
        <f t="shared" si="21"/>
        <v/>
      </c>
      <c r="G519" s="263" t="str">
        <f t="shared" si="21"/>
        <v/>
      </c>
      <c r="H519" s="265" t="str">
        <f t="shared" si="20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1111581.93</v>
      </c>
      <c r="C520" s="240">
        <f>AA71</f>
        <v>893963.3600000001</v>
      </c>
      <c r="D520" s="240">
        <v>1496</v>
      </c>
      <c r="E520" s="180">
        <f>AA59</f>
        <v>1503</v>
      </c>
      <c r="F520" s="263">
        <f t="shared" si="21"/>
        <v>743.03604946524058</v>
      </c>
      <c r="G520" s="263">
        <f t="shared" si="21"/>
        <v>594.78600133067209</v>
      </c>
      <c r="H520" s="265" t="str">
        <f t="shared" si="20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5045759.2300000004</v>
      </c>
      <c r="C521" s="240">
        <f>AB71</f>
        <v>4244642.459999999</v>
      </c>
      <c r="D521" s="181" t="s">
        <v>529</v>
      </c>
      <c r="E521" s="181" t="s">
        <v>529</v>
      </c>
      <c r="F521" s="263" t="str">
        <f t="shared" si="21"/>
        <v/>
      </c>
      <c r="G521" s="263" t="str">
        <f t="shared" si="21"/>
        <v/>
      </c>
      <c r="H521" s="265" t="str">
        <f t="shared" si="20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1912382.08</v>
      </c>
      <c r="C522" s="240">
        <f>AC71</f>
        <v>1989083.2000000002</v>
      </c>
      <c r="D522" s="240">
        <v>52009</v>
      </c>
      <c r="E522" s="180">
        <f>AC59</f>
        <v>49974</v>
      </c>
      <c r="F522" s="263">
        <f t="shared" si="21"/>
        <v>36.770214385971663</v>
      </c>
      <c r="G522" s="263">
        <f t="shared" si="21"/>
        <v>39.802361227838482</v>
      </c>
      <c r="H522" s="265" t="str">
        <f t="shared" si="20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21"/>
        <v/>
      </c>
      <c r="G523" s="263" t="str">
        <f t="shared" si="21"/>
        <v/>
      </c>
      <c r="H523" s="265" t="str">
        <f t="shared" si="20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1325655.9000000001</v>
      </c>
      <c r="C524" s="240">
        <f>AE71</f>
        <v>1409325.5199999998</v>
      </c>
      <c r="D524" s="240">
        <v>21371</v>
      </c>
      <c r="E524" s="180">
        <f>AE59</f>
        <v>32011</v>
      </c>
      <c r="F524" s="263">
        <f t="shared" si="21"/>
        <v>62.030597538720706</v>
      </c>
      <c r="G524" s="263">
        <f t="shared" si="21"/>
        <v>44.02628846334072</v>
      </c>
      <c r="H524" s="265">
        <f t="shared" si="20"/>
        <v>-0.29024884153568475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21"/>
        <v/>
      </c>
      <c r="G525" s="263" t="str">
        <f t="shared" si="21"/>
        <v/>
      </c>
      <c r="H525" s="265" t="str">
        <f t="shared" si="20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10040696.08</v>
      </c>
      <c r="C526" s="240">
        <f>AG71</f>
        <v>11042830.870000001</v>
      </c>
      <c r="D526" s="240">
        <v>29529</v>
      </c>
      <c r="E526" s="180">
        <f>AG59</f>
        <v>29126</v>
      </c>
      <c r="F526" s="263">
        <f t="shared" si="21"/>
        <v>340.02831386095028</v>
      </c>
      <c r="G526" s="263">
        <f t="shared" si="21"/>
        <v>379.13997356313951</v>
      </c>
      <c r="H526" s="265" t="str">
        <f t="shared" si="20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21"/>
        <v/>
      </c>
      <c r="G527" s="263" t="str">
        <f t="shared" si="21"/>
        <v/>
      </c>
      <c r="H527" s="265" t="str">
        <f t="shared" si="20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3594796.6399999997</v>
      </c>
      <c r="C528" s="240">
        <f>AI71</f>
        <v>3645931.5500000003</v>
      </c>
      <c r="D528" s="240">
        <v>18348</v>
      </c>
      <c r="E528" s="180">
        <f>AI59</f>
        <v>19924</v>
      </c>
      <c r="F528" s="263">
        <f t="shared" ref="F528:G540" si="22">IF(B528=0,"",IF(D528=0,"",B528/D528))</f>
        <v>195.92307826466097</v>
      </c>
      <c r="G528" s="263">
        <f t="shared" si="22"/>
        <v>182.99194689821323</v>
      </c>
      <c r="H528" s="265" t="str">
        <f t="shared" si="20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2645043.1599999997</v>
      </c>
      <c r="C529" s="240">
        <f>AJ71</f>
        <v>2106249.8200000003</v>
      </c>
      <c r="D529" s="240">
        <v>11578</v>
      </c>
      <c r="E529" s="180">
        <f>AJ59</f>
        <v>10434</v>
      </c>
      <c r="F529" s="263">
        <f t="shared" si="22"/>
        <v>228.45423734669197</v>
      </c>
      <c r="G529" s="263">
        <f t="shared" si="22"/>
        <v>201.86408088940007</v>
      </c>
      <c r="H529" s="265" t="str">
        <f t="shared" si="20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22"/>
        <v/>
      </c>
      <c r="G530" s="263" t="str">
        <f t="shared" si="22"/>
        <v/>
      </c>
      <c r="H530" s="265" t="str">
        <f t="shared" si="20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185820.52000000002</v>
      </c>
      <c r="C531" s="240">
        <f>AL71</f>
        <v>211923.12</v>
      </c>
      <c r="D531" s="240">
        <v>2366</v>
      </c>
      <c r="E531" s="180">
        <f>AL59</f>
        <v>5702</v>
      </c>
      <c r="F531" s="263">
        <f t="shared" si="22"/>
        <v>78.537836010143707</v>
      </c>
      <c r="G531" s="263">
        <f t="shared" si="22"/>
        <v>37.166453875833042</v>
      </c>
      <c r="H531" s="265">
        <f t="shared" si="20"/>
        <v>-0.52677007969722089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22"/>
        <v/>
      </c>
      <c r="G532" s="263" t="str">
        <f t="shared" si="22"/>
        <v/>
      </c>
      <c r="H532" s="265" t="str">
        <f t="shared" si="20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22"/>
        <v/>
      </c>
      <c r="G533" s="263" t="str">
        <f t="shared" si="22"/>
        <v/>
      </c>
      <c r="H533" s="265" t="str">
        <f t="shared" si="20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22"/>
        <v/>
      </c>
      <c r="G534" s="263" t="str">
        <f t="shared" si="22"/>
        <v/>
      </c>
      <c r="H534" s="265" t="str">
        <f t="shared" si="20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48767696.469999999</v>
      </c>
      <c r="C535" s="240">
        <f>AP71</f>
        <v>43881133.43</v>
      </c>
      <c r="D535" s="240">
        <v>0</v>
      </c>
      <c r="E535" s="180">
        <f>AP59</f>
        <v>206548</v>
      </c>
      <c r="F535" s="263" t="str">
        <f t="shared" si="22"/>
        <v/>
      </c>
      <c r="G535" s="263">
        <f t="shared" si="22"/>
        <v>212.45005243333267</v>
      </c>
      <c r="H535" s="265" t="str">
        <f t="shared" si="20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22"/>
        <v/>
      </c>
      <c r="G536" s="263" t="str">
        <f t="shared" si="22"/>
        <v/>
      </c>
      <c r="H536" s="265" t="str">
        <f t="shared" si="20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2627678.5700000003</v>
      </c>
      <c r="C537" s="240">
        <f>AR71</f>
        <v>2619118.52</v>
      </c>
      <c r="D537" s="240">
        <v>13455</v>
      </c>
      <c r="E537" s="180">
        <f>AR59</f>
        <v>12874</v>
      </c>
      <c r="F537" s="263">
        <f t="shared" si="22"/>
        <v>195.29383649201043</v>
      </c>
      <c r="G537" s="263">
        <f t="shared" si="22"/>
        <v>203.44248252291439</v>
      </c>
      <c r="H537" s="265" t="str">
        <f t="shared" si="20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22"/>
        <v/>
      </c>
      <c r="G538" s="263" t="str">
        <f t="shared" si="22"/>
        <v/>
      </c>
      <c r="H538" s="265" t="str">
        <f t="shared" si="20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22"/>
        <v/>
      </c>
      <c r="G539" s="263" t="str">
        <f t="shared" si="22"/>
        <v/>
      </c>
      <c r="H539" s="265" t="str">
        <f t="shared" si="20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22"/>
        <v/>
      </c>
      <c r="G540" s="263" t="str">
        <f t="shared" si="22"/>
        <v/>
      </c>
      <c r="H540" s="265" t="str">
        <f t="shared" si="20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75795.81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1912215.1999999997</v>
      </c>
      <c r="C542" s="240">
        <f>AW71</f>
        <v>2699246.57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1909693.8999999994</v>
      </c>
      <c r="C544" s="240">
        <f>AY71</f>
        <v>1859575.8099999998</v>
      </c>
      <c r="D544" s="240">
        <v>425292</v>
      </c>
      <c r="E544" s="180">
        <f>AY59</f>
        <v>378225</v>
      </c>
      <c r="F544" s="263">
        <f t="shared" ref="F544:G550" si="23">IF(B544=0,"",IF(D544=0,"",B544/D544))</f>
        <v>4.4903123030764736</v>
      </c>
      <c r="G544" s="263">
        <f t="shared" si="23"/>
        <v>4.9165861854716102</v>
      </c>
      <c r="H544" s="265" t="str">
        <f t="shared" si="20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3"/>
        <v/>
      </c>
      <c r="G545" s="263" t="str">
        <f t="shared" si="23"/>
        <v/>
      </c>
      <c r="H545" s="265" t="str">
        <f t="shared" si="20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402848.17000000004</v>
      </c>
      <c r="C546" s="240">
        <f>BA71</f>
        <v>326529.88</v>
      </c>
      <c r="D546" s="240">
        <v>0</v>
      </c>
      <c r="E546" s="180">
        <f>BA59</f>
        <v>0</v>
      </c>
      <c r="F546" s="263" t="str">
        <f t="shared" si="23"/>
        <v/>
      </c>
      <c r="G546" s="263" t="str">
        <f t="shared" si="23"/>
        <v/>
      </c>
      <c r="H546" s="265" t="str">
        <f t="shared" si="20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1086535.74</v>
      </c>
      <c r="C549" s="240">
        <f>BD71</f>
        <v>803292.51999999979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4995057.629999999</v>
      </c>
      <c r="C550" s="240">
        <f>BE71</f>
        <v>4838993.2300000004</v>
      </c>
      <c r="D550" s="240">
        <v>617825</v>
      </c>
      <c r="E550" s="180">
        <f>BE59</f>
        <v>633750</v>
      </c>
      <c r="F550" s="263">
        <f t="shared" si="23"/>
        <v>8.0849069396673805</v>
      </c>
      <c r="G550" s="263">
        <f t="shared" si="23"/>
        <v>7.6354922761341228</v>
      </c>
      <c r="H550" s="265" t="str">
        <f t="shared" si="20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2346889.56</v>
      </c>
      <c r="C551" s="240">
        <f>BF71</f>
        <v>2401204.3200000003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616017.25000000012</v>
      </c>
      <c r="C552" s="240">
        <f>BG71</f>
        <v>533309.66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3881445.37</v>
      </c>
      <c r="C553" s="240">
        <f>BH71</f>
        <v>4261265.4499999993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1143448.3900000001</v>
      </c>
      <c r="C555" s="240">
        <f>BJ71</f>
        <v>1035289.4700000001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3117646.68</v>
      </c>
      <c r="C556" s="240">
        <f>BK71</f>
        <v>2616225.33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1558273.38</v>
      </c>
      <c r="C557" s="240">
        <f>BL71</f>
        <v>1397100.65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4135088.4800000004</v>
      </c>
      <c r="C559" s="240">
        <f>BN71</f>
        <v>4479904.03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199748.94999999998</v>
      </c>
      <c r="C560" s="240">
        <f>BO71</f>
        <v>218809.20999999996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1218870.3</v>
      </c>
      <c r="C561" s="240">
        <f>BP71</f>
        <v>808262.19000000006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1035163.9199999999</v>
      </c>
      <c r="C563" s="240">
        <f>BR71</f>
        <v>906147.96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471684.44000000006</v>
      </c>
      <c r="C564" s="240">
        <f>BS71</f>
        <v>489288.38000000006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153327.40999999997</v>
      </c>
      <c r="C565" s="240">
        <f>BT71</f>
        <v>17911.289999999997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2351781.87</v>
      </c>
      <c r="C567" s="240">
        <f>BV71</f>
        <v>1506567.65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600312.88</v>
      </c>
      <c r="C568" s="240">
        <f>BW71</f>
        <v>585937.64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1097960.7900000003</v>
      </c>
      <c r="C569" s="240">
        <f>BX71</f>
        <v>1789152.9400000002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1878072.6099999999</v>
      </c>
      <c r="C570" s="240">
        <f>BY71</f>
        <v>1992050.92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353440.87999999995</v>
      </c>
      <c r="C572" s="240">
        <f>CA71</f>
        <v>332303.58999999997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445690.07999999996</v>
      </c>
      <c r="C573" s="240">
        <f>CB71</f>
        <v>398697.39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3565729.16</v>
      </c>
      <c r="C574" s="240">
        <f>CC71</f>
        <v>3334697.06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20290328.619999997</v>
      </c>
      <c r="C575" s="240">
        <f>CD71</f>
        <v>20763581.469999999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586856</v>
      </c>
      <c r="E612" s="180">
        <f>SUM(C624:D647)+SUM(C668:D713)</f>
        <v>178219292.1771141</v>
      </c>
      <c r="F612" s="180">
        <f>CE64-(AX64+BD64+BE64+BG64+BJ64+BN64+BP64+BQ64+CB64+CC64+CD64)</f>
        <v>33941902.450000003</v>
      </c>
      <c r="G612" s="180">
        <f>CE77-(AX77+AY77+BD77+BE77+BG77+BJ77+BN77+BP77+BQ77+CB77+CC77+CD77)</f>
        <v>378225</v>
      </c>
      <c r="H612" s="197">
        <f>CE60-(AX60+AY60+AZ60+BD60+BE60+BG60+BJ60+BN60+BO60+BP60+BQ60+BR60+CB60+CC60+CD60)</f>
        <v>837.38000000000022</v>
      </c>
      <c r="I612" s="180">
        <f>CE78-(AX78+AY78+AZ78+BD78+BE78+BF78+BG78+BJ78+BN78+BO78+BP78+BQ78+BR78+CB78+CC78+CD78)</f>
        <v>54506.30768520711</v>
      </c>
      <c r="J612" s="180">
        <f>CE79-(AX79+AY79+AZ79+BA79+BD79+BE79+BF79+BG79+BJ79+BN79+BO79+BP79+BQ79+BR79+CB79+CC79+CD79)</f>
        <v>657253</v>
      </c>
      <c r="K612" s="180">
        <f>CE75-(AW75+AX75+AY75+AZ75+BA75+BB75+BC75+BD75+BE75+BF75+BG75+BH75+BI75+BJ75+BK75+BL75+BM75+BN75+BO75+BP75+BQ75+BR75+BS75+BT75+BU75+BV75+BW75+BX75+CB75+CC75+CD75)</f>
        <v>502877947.58999997</v>
      </c>
      <c r="L612" s="197">
        <f>CE80-(AW80+AX80+AY80+AZ80+BA80+BB80+BC80+BD80+BE80+BF80+BG80+BH80+BI80+BJ80+BK80+BL80+BM80+BN80+BO80+BP80+BQ80+BR80+BS80+BT80+BU80+BV80+BW80+BX80+BY80+BZ80+CA80+CB80+CC80+CD80)</f>
        <v>187.11000000000004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4838993.2300000004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20763581.469999999</v>
      </c>
      <c r="D615" s="266">
        <f>SUM(C614:C615)</f>
        <v>25602574.699999999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1035289.4700000001</v>
      </c>
      <c r="D617" s="180">
        <f>(D615/D612)*BJ76</f>
        <v>104747.64142259771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533309.66</v>
      </c>
      <c r="D618" s="180">
        <f>(D615/D612)*BG76</f>
        <v>144273.40699064167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4479904.03</v>
      </c>
      <c r="D619" s="180">
        <f>(D615/D612)*BN76</f>
        <v>124990.4176075562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3334697.06</v>
      </c>
      <c r="D620" s="180">
        <f>(D615/D612)*CC76</f>
        <v>6408540.1027790466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808262.19000000006</v>
      </c>
      <c r="D621" s="180">
        <f>(D615/D612)*BP76</f>
        <v>86511.692187010107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398697.39</v>
      </c>
      <c r="D622" s="180">
        <f>(D615/D612)*CB76</f>
        <v>13480.641899034857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17472703.702885889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803292.51999999979</v>
      </c>
      <c r="D624" s="180">
        <f>(D615/D612)*BD76</f>
        <v>346134.0220936652</v>
      </c>
      <c r="E624" s="180">
        <f>(E623/E612)*SUM(C624:D624)</f>
        <v>112690.32186636819</v>
      </c>
      <c r="F624" s="180">
        <f>SUM(C624:E624)</f>
        <v>1262116.863960033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1859575.8099999998</v>
      </c>
      <c r="D625" s="180">
        <f>(D615/D612)*AY76</f>
        <v>453673.7705762572</v>
      </c>
      <c r="E625" s="180">
        <f>(E623/E612)*SUM(C625:D625)</f>
        <v>226792.083048259</v>
      </c>
      <c r="F625" s="180">
        <f>(F624/F612)*AY64</f>
        <v>21674.158108279807</v>
      </c>
      <c r="G625" s="180">
        <f>SUM(C625:F625)</f>
        <v>2561715.8217327958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906147.96</v>
      </c>
      <c r="D626" s="180">
        <f>(D615/D612)*BR76</f>
        <v>71984.010140477389</v>
      </c>
      <c r="E626" s="180">
        <f>(E623/E612)*SUM(C626:D626)</f>
        <v>95896.521009633259</v>
      </c>
      <c r="F626" s="180">
        <f>(F624/F612)*BR64</f>
        <v>-12.916450823903569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218809.20999999996</v>
      </c>
      <c r="D627" s="180">
        <f>(D615/D612)*BO76</f>
        <v>9205.2279634186234</v>
      </c>
      <c r="E627" s="180">
        <f>(E623/E612)*SUM(C627:D627)</f>
        <v>22354.643348911664</v>
      </c>
      <c r="F627" s="180">
        <f>(F624/F612)*BO64</f>
        <v>1113.8579604441115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2196800.4273423678</v>
      </c>
      <c r="H628" s="180">
        <f>SUM(C626:G628)</f>
        <v>3522298.941314429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2401204.3200000003</v>
      </c>
      <c r="D629" s="180">
        <f>(D615/D612)*BF76</f>
        <v>125470.31100849272</v>
      </c>
      <c r="E629" s="180">
        <f>(E623/E612)*SUM(C629:D629)</f>
        <v>247716.37594282368</v>
      </c>
      <c r="F629" s="180">
        <f>(F624/F612)*BF64</f>
        <v>5013.4365731567686</v>
      </c>
      <c r="G629" s="180">
        <f>(G625/G612)*BF77</f>
        <v>0</v>
      </c>
      <c r="H629" s="180">
        <f>(H628/H612)*BF60</f>
        <v>174142.17699302264</v>
      </c>
      <c r="I629" s="180">
        <f>SUM(C629:H629)</f>
        <v>2953546.6205174956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326529.88</v>
      </c>
      <c r="D630" s="180">
        <f>(D615/D612)*BA76</f>
        <v>74601.610509222024</v>
      </c>
      <c r="E630" s="180">
        <f>(E623/E612)*SUM(C630:D630)</f>
        <v>39327.121064981184</v>
      </c>
      <c r="F630" s="180">
        <f>(F624/F612)*BA64</f>
        <v>1938.1823120494789</v>
      </c>
      <c r="G630" s="180">
        <f>(G625/G612)*BA77</f>
        <v>0</v>
      </c>
      <c r="H630" s="180">
        <f>(H628/H612)*BA60</f>
        <v>0</v>
      </c>
      <c r="I630" s="180">
        <f>(I629/I612)*BA78</f>
        <v>12439.017996593608</v>
      </c>
      <c r="J630" s="180">
        <f>SUM(C630:I630)</f>
        <v>454835.81188284635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2699246.57</v>
      </c>
      <c r="D631" s="180">
        <f>(D615/D612)*AW76</f>
        <v>88518.519136380986</v>
      </c>
      <c r="E631" s="180">
        <f>(E623/E612)*SUM(C631:D631)</f>
        <v>273313.80795363907</v>
      </c>
      <c r="F631" s="180">
        <f>(F624/F612)*AW64</f>
        <v>2182.4733894584574</v>
      </c>
      <c r="G631" s="180">
        <f>(G625/G612)*AW77</f>
        <v>0</v>
      </c>
      <c r="H631" s="180">
        <f>(H628/H612)*AW60</f>
        <v>137547.08182782226</v>
      </c>
      <c r="I631" s="180">
        <f>(I629/I612)*AW78</f>
        <v>14759.513166718381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2616225.33</v>
      </c>
      <c r="D635" s="180">
        <f>(D615/D612)*BK76</f>
        <v>480198.78764620284</v>
      </c>
      <c r="E635" s="180">
        <f>(E623/E612)*SUM(C635:D635)</f>
        <v>303574.88510466414</v>
      </c>
      <c r="F635" s="180">
        <f>(F624/F612)*BK64</f>
        <v>250.10675252660442</v>
      </c>
      <c r="G635" s="180">
        <f>(G625/G612)*BK77</f>
        <v>0</v>
      </c>
      <c r="H635" s="180">
        <f>(H628/H612)*BK60</f>
        <v>124086.81693947266</v>
      </c>
      <c r="I635" s="180">
        <f>(I629/I612)*BK78</f>
        <v>80067.994788599914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4261265.4499999993</v>
      </c>
      <c r="D636" s="180">
        <f>(D615/D612)*BH76</f>
        <v>259753.20992509235</v>
      </c>
      <c r="E636" s="180">
        <f>(E623/E612)*SUM(C636:D636)</f>
        <v>443242.80786383554</v>
      </c>
      <c r="F636" s="180">
        <f>(F624/F612)*BH64</f>
        <v>4392.32916382656</v>
      </c>
      <c r="G636" s="180">
        <f>(G625/G612)*BH77</f>
        <v>0</v>
      </c>
      <c r="H636" s="180">
        <f>(H628/H612)*BH60</f>
        <v>82444.122441141168</v>
      </c>
      <c r="I636" s="180">
        <f>(I629/I612)*BH78</f>
        <v>43311.060322642297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1397100.65</v>
      </c>
      <c r="D637" s="180">
        <f>(D615/D612)*BL76</f>
        <v>255477.79598947612</v>
      </c>
      <c r="E637" s="180">
        <f>(E623/E612)*SUM(C637:D637)</f>
        <v>162019.57251549273</v>
      </c>
      <c r="F637" s="180">
        <f>(F624/F612)*BL64</f>
        <v>1437.7635478744714</v>
      </c>
      <c r="G637" s="180">
        <f>(G625/G612)*BL77</f>
        <v>0</v>
      </c>
      <c r="H637" s="180">
        <f>(H628/H612)*BL60</f>
        <v>90604.408029703089</v>
      </c>
      <c r="I637" s="180">
        <f>(I629/I612)*BL78</f>
        <v>42598.18092868547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489288.38000000006</v>
      </c>
      <c r="D639" s="180">
        <f>(D615/D612)*BS76</f>
        <v>166392.13010653379</v>
      </c>
      <c r="E639" s="180">
        <f>(E623/E612)*SUM(C639:D639)</f>
        <v>64283.227348154192</v>
      </c>
      <c r="F639" s="180">
        <f>(F624/F612)*BS64</f>
        <v>851.16979055146692</v>
      </c>
      <c r="G639" s="180">
        <f>(G625/G612)*BS77</f>
        <v>0</v>
      </c>
      <c r="H639" s="180">
        <f>(H628/H612)*BS60</f>
        <v>12618.998332827729</v>
      </c>
      <c r="I639" s="180">
        <f>(I629/I612)*BS78</f>
        <v>27744.102128074868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17911.289999999997</v>
      </c>
      <c r="D640" s="180">
        <f>(D615/D612)*BT76</f>
        <v>37649.818637110293</v>
      </c>
      <c r="E640" s="180">
        <f>(E623/E612)*SUM(C640:D640)</f>
        <v>5447.2373712229737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6277.7032345381785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1506567.65</v>
      </c>
      <c r="D642" s="180">
        <f>(D615/D612)*BV76</f>
        <v>111204.38899883446</v>
      </c>
      <c r="E642" s="180">
        <f>(E623/E612)*SUM(C642:D642)</f>
        <v>158607.135910677</v>
      </c>
      <c r="F642" s="180">
        <f>(F624/F612)*BV64</f>
        <v>451.81028062473325</v>
      </c>
      <c r="G642" s="180">
        <f>(G625/G612)*BV77</f>
        <v>0</v>
      </c>
      <c r="H642" s="180">
        <f>(H628/H612)*BV60</f>
        <v>37856.994998483184</v>
      </c>
      <c r="I642" s="180">
        <f>(I629/I612)*BV78</f>
        <v>18542.138522407666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585937.64</v>
      </c>
      <c r="D643" s="180">
        <f>(D615/D612)*BW76</f>
        <v>165214.20994059872</v>
      </c>
      <c r="E643" s="180">
        <f>(E623/E612)*SUM(C643:D643)</f>
        <v>73643.28266349202</v>
      </c>
      <c r="F643" s="180">
        <f>(F624/F612)*BW64</f>
        <v>5018.8108667932811</v>
      </c>
      <c r="G643" s="180">
        <f>(G625/G612)*BW77</f>
        <v>0</v>
      </c>
      <c r="H643" s="180">
        <f>(H628/H612)*BW60</f>
        <v>12618.998332827729</v>
      </c>
      <c r="I643" s="180">
        <f>(I629/I612)*BW78</f>
        <v>27547.696580760232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1789152.9400000002</v>
      </c>
      <c r="D644" s="180">
        <f>(D615/D612)*BX76</f>
        <v>64262.089052680727</v>
      </c>
      <c r="E644" s="180">
        <f>(E623/E612)*SUM(C644:D644)</f>
        <v>181709.68611484434</v>
      </c>
      <c r="F644" s="180">
        <f>(F624/F612)*BX64</f>
        <v>-91.946790409876186</v>
      </c>
      <c r="G644" s="180">
        <f>(G625/G612)*BX77</f>
        <v>0</v>
      </c>
      <c r="H644" s="180">
        <f>(H628/H612)*BX60</f>
        <v>63094.991664138644</v>
      </c>
      <c r="I644" s="180">
        <f>(I629/I612)*BX78</f>
        <v>10715.013747942916</v>
      </c>
      <c r="J644" s="180">
        <f>(J630/J612)*BX79</f>
        <v>0</v>
      </c>
      <c r="K644" s="180">
        <f>SUM(C631:J644)</f>
        <v>19504136.825266961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1992050.92</v>
      </c>
      <c r="D645" s="180">
        <f>(D615/D612)*BY76</f>
        <v>212200.13655956485</v>
      </c>
      <c r="E645" s="180">
        <f>(E623/E612)*SUM(C645:D645)</f>
        <v>216105.81619728942</v>
      </c>
      <c r="F645" s="180">
        <f>(F624/F612)*BY64</f>
        <v>50.89087574157768</v>
      </c>
      <c r="G645" s="180">
        <f>(G625/G612)*BY77</f>
        <v>0</v>
      </c>
      <c r="H645" s="180">
        <f>(H628/H612)*BY60</f>
        <v>78658.42294129284</v>
      </c>
      <c r="I645" s="180">
        <f>(I629/I612)*BY78</f>
        <v>35382.095634755147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332303.58999999997</v>
      </c>
      <c r="D647" s="180">
        <f>(D615/D612)*CA76</f>
        <v>96065.933532928015</v>
      </c>
      <c r="E647" s="180">
        <f>(E623/E612)*SUM(C647:D647)</f>
        <v>41997.550706232723</v>
      </c>
      <c r="F647" s="180">
        <f>(F624/F612)*CA64</f>
        <v>841.02694079548985</v>
      </c>
      <c r="G647" s="180">
        <f>(G625/G612)*CA77</f>
        <v>0</v>
      </c>
      <c r="H647" s="180">
        <f>(H628/H612)*CA60</f>
        <v>12618.998332827729</v>
      </c>
      <c r="I647" s="180">
        <f>(I629/I612)*CA78</f>
        <v>16017.963525438085</v>
      </c>
      <c r="J647" s="180">
        <f>(J630/J612)*CA79</f>
        <v>0</v>
      </c>
      <c r="K647" s="180">
        <v>0</v>
      </c>
      <c r="L647" s="180">
        <f>SUM(C645:K647)</f>
        <v>3034293.3452468659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60395344.610000014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3077169.62</v>
      </c>
      <c r="D668" s="180">
        <f>(D615/D612)*C76</f>
        <v>359134.77059176355</v>
      </c>
      <c r="E668" s="180">
        <f>(E623/E612)*SUM(C668:D668)</f>
        <v>336896.90782783809</v>
      </c>
      <c r="F668" s="180">
        <f>(F624/F612)*C64</f>
        <v>10158.73019314124</v>
      </c>
      <c r="G668" s="180">
        <f>(G625/G612)*C77</f>
        <v>22208.648765845297</v>
      </c>
      <c r="H668" s="180">
        <f>(H628/H612)*C60</f>
        <v>87912.355052033163</v>
      </c>
      <c r="I668" s="180">
        <f>(I629/I612)*C78</f>
        <v>59881.869092373439</v>
      </c>
      <c r="J668" s="180">
        <f>(J630/J612)*C79</f>
        <v>39099.438680965803</v>
      </c>
      <c r="K668" s="180">
        <f>(K644/K612)*C75</f>
        <v>233775.36692059872</v>
      </c>
      <c r="L668" s="180">
        <f>(L647/L612)*C80</f>
        <v>180004.57555577043</v>
      </c>
      <c r="M668" s="180">
        <f t="shared" ref="M668:M713" si="24">ROUND(SUM(D668:L668),0)</f>
        <v>1329073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369</v>
      </c>
      <c r="D669" s="180">
        <f>(D615/D612)*D76</f>
        <v>0</v>
      </c>
      <c r="E669" s="180">
        <f>(E623/E612)*SUM(C669:D669)</f>
        <v>36.176934537241053</v>
      </c>
      <c r="F669" s="180">
        <f>(F624/F612)*D64</f>
        <v>0.74369247028463659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824168.28481913032</v>
      </c>
      <c r="L669" s="180">
        <f>(L647/L612)*D80</f>
        <v>0</v>
      </c>
      <c r="M669" s="180">
        <f t="shared" si="24"/>
        <v>824205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8844932.2399999984</v>
      </c>
      <c r="D670" s="180">
        <f>(D615/D612)*E76</f>
        <v>1451328.5244504614</v>
      </c>
      <c r="E670" s="180">
        <f>(E623/E612)*SUM(C670:D670)</f>
        <v>1009450.2754847909</v>
      </c>
      <c r="F670" s="180">
        <f>(F624/F612)*E64</f>
        <v>20301.485128328295</v>
      </c>
      <c r="G670" s="180">
        <f>(G625/G612)*E77</f>
        <v>271285.519264156</v>
      </c>
      <c r="H670" s="180">
        <f>(H628/H612)*E60</f>
        <v>331879.65615336929</v>
      </c>
      <c r="I670" s="180">
        <f>(I629/I612)*E78</f>
        <v>241993.45713022197</v>
      </c>
      <c r="J670" s="180">
        <f>(J630/J612)*E79</f>
        <v>97698.078843587777</v>
      </c>
      <c r="K670" s="180">
        <f>(K644/K612)*E75</f>
        <v>135475.05898731912</v>
      </c>
      <c r="L670" s="180">
        <f>(L647/L612)*E80</f>
        <v>883806.24935040437</v>
      </c>
      <c r="M670" s="180">
        <f t="shared" si="24"/>
        <v>4443218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6539062.9700000007</v>
      </c>
      <c r="D671" s="180">
        <f>(D615/D612)*F76</f>
        <v>575959.334469444</v>
      </c>
      <c r="E671" s="180">
        <f>(E623/E612)*SUM(C671:D671)</f>
        <v>697560.15214038233</v>
      </c>
      <c r="F671" s="180">
        <f>(F624/F612)*F64</f>
        <v>18903.595024094368</v>
      </c>
      <c r="G671" s="180">
        <f>(G625/G612)*F77</f>
        <v>58877.640659192795</v>
      </c>
      <c r="H671" s="180">
        <f>(H628/H612)*F60</f>
        <v>203923.01305849609</v>
      </c>
      <c r="I671" s="180">
        <f>(I629/I612)*F78</f>
        <v>96035.038357326775</v>
      </c>
      <c r="J671" s="180">
        <f>(J630/J612)*F79</f>
        <v>53794.59939583853</v>
      </c>
      <c r="K671" s="180">
        <f>(K644/K612)*F75</f>
        <v>662834.09524868615</v>
      </c>
      <c r="L671" s="180">
        <f>(L647/L612)*F80</f>
        <v>544554.38262727659</v>
      </c>
      <c r="M671" s="180">
        <f t="shared" si="24"/>
        <v>2912442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4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4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4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1805852.88</v>
      </c>
      <c r="D675" s="180">
        <f>(D615/D612)*J76</f>
        <v>147719.91414282209</v>
      </c>
      <c r="E675" s="180">
        <f>(E623/E612)*SUM(C675:D675)</f>
        <v>191529.20077897009</v>
      </c>
      <c r="F675" s="180">
        <f>(F624/F612)*J64</f>
        <v>3843.752965584506</v>
      </c>
      <c r="G675" s="180">
        <f>(G625/G612)*J77</f>
        <v>0</v>
      </c>
      <c r="H675" s="180">
        <f>(H628/H612)*J60</f>
        <v>54261.692831159235</v>
      </c>
      <c r="I675" s="180">
        <f>(I629/I612)*J78</f>
        <v>24630.710489161378</v>
      </c>
      <c r="J675" s="180">
        <f>(J630/J612)*J79</f>
        <v>26568.933615545491</v>
      </c>
      <c r="K675" s="180">
        <f>(K644/K612)*J75</f>
        <v>121422.55495733469</v>
      </c>
      <c r="L675" s="180">
        <f>(L647/L612)*J80</f>
        <v>209194.50672697645</v>
      </c>
      <c r="M675" s="180">
        <f t="shared" si="24"/>
        <v>779171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4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4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4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4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4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13549209.619999999</v>
      </c>
      <c r="D681" s="180">
        <f>(D615/D612)*P76</f>
        <v>979811.44469392835</v>
      </c>
      <c r="E681" s="180">
        <f>(E623/E612)*SUM(C681:D681)</f>
        <v>1424432.0974190475</v>
      </c>
      <c r="F681" s="180">
        <f>(F624/F612)*P64</f>
        <v>370282.83218851394</v>
      </c>
      <c r="G681" s="180">
        <f>(G625/G612)*P77</f>
        <v>0</v>
      </c>
      <c r="H681" s="180">
        <f>(H628/H612)*P60</f>
        <v>112309.08516216678</v>
      </c>
      <c r="I681" s="180">
        <f>(I629/I612)*P78</f>
        <v>163373.04396812624</v>
      </c>
      <c r="J681" s="180">
        <f>(J630/J612)*P79</f>
        <v>27570.294461056241</v>
      </c>
      <c r="K681" s="180">
        <f>(K644/K612)*P75</f>
        <v>2088570.2451295462</v>
      </c>
      <c r="L681" s="180">
        <f>(L647/L612)*P80</f>
        <v>160544.62144163309</v>
      </c>
      <c r="M681" s="180">
        <f t="shared" si="24"/>
        <v>5326894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853669.5</v>
      </c>
      <c r="D682" s="180">
        <f>(D615/D612)*Q76</f>
        <v>146585.62064969941</v>
      </c>
      <c r="E682" s="180">
        <f>(E623/E612)*SUM(C682:D682)</f>
        <v>98065.485149822023</v>
      </c>
      <c r="F682" s="180">
        <f>(F624/F612)*Q64</f>
        <v>848.75427740798239</v>
      </c>
      <c r="G682" s="180">
        <f>(G625/G612)*Q77</f>
        <v>0</v>
      </c>
      <c r="H682" s="180">
        <f>(H628/H612)*Q60</f>
        <v>25237.996665655457</v>
      </c>
      <c r="I682" s="180">
        <f>(I629/I612)*Q78</f>
        <v>24441.579221376916</v>
      </c>
      <c r="J682" s="180">
        <f>(J630/J612)*Q79</f>
        <v>0</v>
      </c>
      <c r="K682" s="180">
        <f>(K644/K612)*Q75</f>
        <v>122036.98392900534</v>
      </c>
      <c r="L682" s="180">
        <f>(L647/L612)*Q80</f>
        <v>97299.770570686713</v>
      </c>
      <c r="M682" s="180">
        <f t="shared" si="24"/>
        <v>514516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503394.24</v>
      </c>
      <c r="D683" s="180">
        <f>(D615/D612)*R76</f>
        <v>27310.297180568999</v>
      </c>
      <c r="E683" s="180">
        <f>(E623/E612)*SUM(C683:D683)</f>
        <v>52030.52384877576</v>
      </c>
      <c r="F683" s="180">
        <f>(F624/F612)*R64</f>
        <v>11044.694751453679</v>
      </c>
      <c r="G683" s="180">
        <f>(G625/G612)*R77</f>
        <v>0</v>
      </c>
      <c r="H683" s="180">
        <f>(H628/H612)*R60</f>
        <v>8412.6655552184857</v>
      </c>
      <c r="I683" s="180">
        <f>(I629/I612)*R78</f>
        <v>4553.698985887484</v>
      </c>
      <c r="J683" s="180">
        <f>(J630/J612)*R79</f>
        <v>0</v>
      </c>
      <c r="K683" s="180">
        <f>(K644/K612)*R75</f>
        <v>359047.84856259619</v>
      </c>
      <c r="L683" s="180">
        <f>(L647/L612)*R80</f>
        <v>16216.628428447786</v>
      </c>
      <c r="M683" s="180">
        <f t="shared" si="24"/>
        <v>478616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1253302.21</v>
      </c>
      <c r="D684" s="180">
        <f>(D615/D612)*S76</f>
        <v>212243.76323237727</v>
      </c>
      <c r="E684" s="180">
        <f>(E623/E612)*SUM(C684:D684)</f>
        <v>143682.82041990498</v>
      </c>
      <c r="F684" s="180">
        <f>(F624/F612)*S64</f>
        <v>24261.847585868491</v>
      </c>
      <c r="G684" s="180">
        <f>(G625/G612)*S77</f>
        <v>0</v>
      </c>
      <c r="H684" s="180">
        <f>(H628/H612)*S60</f>
        <v>29444.329443264702</v>
      </c>
      <c r="I684" s="180">
        <f>(I629/I612)*S78</f>
        <v>35389.369914285322</v>
      </c>
      <c r="J684" s="180">
        <f>(J630/J612)*S79</f>
        <v>8903.5996118461244</v>
      </c>
      <c r="K684" s="180">
        <f>(K644/K612)*S75</f>
        <v>352935.67052451981</v>
      </c>
      <c r="L684" s="180">
        <f>(L647/L612)*S80</f>
        <v>0</v>
      </c>
      <c r="M684" s="180">
        <f t="shared" si="24"/>
        <v>806861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1092347.19</v>
      </c>
      <c r="D685" s="180">
        <f>(D615/D612)*T76</f>
        <v>0</v>
      </c>
      <c r="E685" s="180">
        <f>(E623/E612)*SUM(C685:D685)</f>
        <v>107094.23518853445</v>
      </c>
      <c r="F685" s="180">
        <f>(F624/F612)*T64</f>
        <v>40325.403031510956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392950.92245095427</v>
      </c>
      <c r="L685" s="180">
        <f>(L647/L612)*T80</f>
        <v>0</v>
      </c>
      <c r="M685" s="180">
        <f t="shared" si="24"/>
        <v>540371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6291311.8200000003</v>
      </c>
      <c r="D686" s="180">
        <f>(D615/D612)*U76</f>
        <v>677173.21539423638</v>
      </c>
      <c r="E686" s="180">
        <f>(E623/E612)*SUM(C686:D686)</f>
        <v>683193.56896802492</v>
      </c>
      <c r="F686" s="180">
        <f>(F624/F612)*U64</f>
        <v>70165.981223664043</v>
      </c>
      <c r="G686" s="180">
        <f>(G625/G612)*U77</f>
        <v>0</v>
      </c>
      <c r="H686" s="180">
        <f>(H628/H612)*U60</f>
        <v>120932.06735626573</v>
      </c>
      <c r="I686" s="180">
        <f>(I629/I612)*U78</f>
        <v>112911.36686732514</v>
      </c>
      <c r="J686" s="180">
        <f>(J630/J612)*U79</f>
        <v>0</v>
      </c>
      <c r="K686" s="180">
        <f>(K644/K612)*U75</f>
        <v>1621649.9852395258</v>
      </c>
      <c r="L686" s="180">
        <f>(L647/L612)*U80</f>
        <v>0</v>
      </c>
      <c r="M686" s="180">
        <f t="shared" si="24"/>
        <v>3286026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132652.5</v>
      </c>
      <c r="D687" s="180">
        <f>(D615/D612)*V76</f>
        <v>11910.081677788077</v>
      </c>
      <c r="E687" s="180">
        <f>(E623/E612)*SUM(C687:D687)</f>
        <v>14172.983885885915</v>
      </c>
      <c r="F687" s="180">
        <f>(F624/F612)*V64</f>
        <v>108.66834375799111</v>
      </c>
      <c r="G687" s="180">
        <f>(G625/G612)*V77</f>
        <v>0</v>
      </c>
      <c r="H687" s="180">
        <f>(H628/H612)*V60</f>
        <v>4206.3327776092428</v>
      </c>
      <c r="I687" s="180">
        <f>(I629/I612)*V78</f>
        <v>1985.8783117368741</v>
      </c>
      <c r="J687" s="180">
        <f>(J630/J612)*V79</f>
        <v>191.69105335623945</v>
      </c>
      <c r="K687" s="180">
        <f>(K644/K612)*V75</f>
        <v>27563.125325376968</v>
      </c>
      <c r="L687" s="180">
        <f>(L647/L612)*V80</f>
        <v>0</v>
      </c>
      <c r="M687" s="180">
        <f t="shared" si="24"/>
        <v>60139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595014.83000000007</v>
      </c>
      <c r="D688" s="180">
        <f>(D615/D612)*W76</f>
        <v>277945.53248786757</v>
      </c>
      <c r="E688" s="180">
        <f>(E623/E612)*SUM(C688:D688)</f>
        <v>85585.446849132277</v>
      </c>
      <c r="F688" s="180">
        <f>(F624/F612)*W64</f>
        <v>330.78734570413866</v>
      </c>
      <c r="G688" s="180">
        <f>(G625/G612)*W77</f>
        <v>0</v>
      </c>
      <c r="H688" s="180">
        <f>(H628/H612)*W60</f>
        <v>12618.998332827729</v>
      </c>
      <c r="I688" s="180">
        <f>(I629/I612)*W78</f>
        <v>46344.43488672391</v>
      </c>
      <c r="J688" s="180">
        <f>(J630/J612)*W79</f>
        <v>1467.7860078288224</v>
      </c>
      <c r="K688" s="180">
        <f>(K644/K612)*W75</f>
        <v>409980.97891484818</v>
      </c>
      <c r="L688" s="180">
        <f>(L647/L612)*W80</f>
        <v>0</v>
      </c>
      <c r="M688" s="180">
        <f t="shared" si="24"/>
        <v>834274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1322822.6900000002</v>
      </c>
      <c r="D689" s="180">
        <f>(D615/D612)*X76</f>
        <v>159455.48912936053</v>
      </c>
      <c r="E689" s="180">
        <f>(E623/E612)*SUM(C689:D689)</f>
        <v>145323.25380038956</v>
      </c>
      <c r="F689" s="180">
        <f>(F624/F612)*X64</f>
        <v>10257.182433434929</v>
      </c>
      <c r="G689" s="180">
        <f>(G625/G612)*X77</f>
        <v>0</v>
      </c>
      <c r="H689" s="180">
        <f>(H628/H612)*X60</f>
        <v>21031.663888046212</v>
      </c>
      <c r="I689" s="180">
        <f>(I629/I612)*X78</f>
        <v>26587.491682777563</v>
      </c>
      <c r="J689" s="180">
        <f>(J630/J612)*X79</f>
        <v>5070.4705701847161</v>
      </c>
      <c r="K689" s="180">
        <f>(K644/K612)*X75</f>
        <v>1459373.3046755961</v>
      </c>
      <c r="L689" s="180">
        <f>(L647/L612)*X80</f>
        <v>0</v>
      </c>
      <c r="M689" s="180">
        <f t="shared" si="24"/>
        <v>1827099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10028947.159999998</v>
      </c>
      <c r="D690" s="180">
        <f>(D615/D612)*Y76</f>
        <v>1079498.3920702864</v>
      </c>
      <c r="E690" s="180">
        <f>(E623/E612)*SUM(C690:D690)</f>
        <v>1089077.2562269734</v>
      </c>
      <c r="F690" s="180">
        <f>(F624/F612)*Y64</f>
        <v>38087.317062817085</v>
      </c>
      <c r="G690" s="180">
        <f>(G625/G612)*Y77</f>
        <v>0</v>
      </c>
      <c r="H690" s="180">
        <f>(H628/H612)*Y60</f>
        <v>159840.64554915123</v>
      </c>
      <c r="I690" s="180">
        <f>(I629/I612)*Y78</f>
        <v>179994.77269456859</v>
      </c>
      <c r="J690" s="180">
        <f>(J630/J612)*Y79</f>
        <v>41853.700025217913</v>
      </c>
      <c r="K690" s="180">
        <f>(K644/K612)*Y75</f>
        <v>1618506.6182650549</v>
      </c>
      <c r="L690" s="180">
        <f>(L647/L612)*Y80</f>
        <v>37298.245385429902</v>
      </c>
      <c r="M690" s="180">
        <f t="shared" si="24"/>
        <v>4244157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7286595.1399999997</v>
      </c>
      <c r="D691" s="180">
        <f>(D615/D612)*Z76</f>
        <v>0</v>
      </c>
      <c r="E691" s="180">
        <f>(E623/E612)*SUM(C691:D691)</f>
        <v>714381.23408986116</v>
      </c>
      <c r="F691" s="180">
        <f>(F624/F612)*Z64</f>
        <v>270899.96451336128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1639799.1166770456</v>
      </c>
      <c r="L691" s="180">
        <f>(L647/L612)*Z80</f>
        <v>0</v>
      </c>
      <c r="M691" s="180">
        <f t="shared" si="24"/>
        <v>2625080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893963.3600000001</v>
      </c>
      <c r="D692" s="180">
        <f>(D615/D612)*AA76</f>
        <v>276898.49234036967</v>
      </c>
      <c r="E692" s="180">
        <f>(E623/E612)*SUM(C692:D692)</f>
        <v>114791.84982187088</v>
      </c>
      <c r="F692" s="180">
        <f>(F624/F612)*AA64</f>
        <v>12122.054516533633</v>
      </c>
      <c r="G692" s="180">
        <f>(G625/G612)*AA77</f>
        <v>0</v>
      </c>
      <c r="H692" s="180">
        <f>(H628/H612)*AA60</f>
        <v>16825.331110436971</v>
      </c>
      <c r="I692" s="180">
        <f>(I629/I612)*AA78</f>
        <v>46169.852177999783</v>
      </c>
      <c r="J692" s="180">
        <f>(J630/J612)*AA79</f>
        <v>9962.3985708174114</v>
      </c>
      <c r="K692" s="180">
        <f>(K644/K612)*AA75</f>
        <v>214275.85550466608</v>
      </c>
      <c r="L692" s="180">
        <f>(L647/L612)*AA80</f>
        <v>0</v>
      </c>
      <c r="M692" s="180">
        <f t="shared" si="24"/>
        <v>691046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4244642.459999999</v>
      </c>
      <c r="D693" s="180">
        <f>(D615/D612)*AB76</f>
        <v>328596.09962307621</v>
      </c>
      <c r="E693" s="180">
        <f>(E623/E612)*SUM(C693:D693)</f>
        <v>448362.47153027257</v>
      </c>
      <c r="F693" s="180">
        <f>(F624/F612)*AB64</f>
        <v>173271.78009829382</v>
      </c>
      <c r="G693" s="180">
        <f>(G625/G612)*AB77</f>
        <v>0</v>
      </c>
      <c r="H693" s="180">
        <f>(H628/H612)*AB60</f>
        <v>72979.873691520363</v>
      </c>
      <c r="I693" s="180">
        <f>(I629/I612)*AB78</f>
        <v>54789.873421253244</v>
      </c>
      <c r="J693" s="180">
        <f>(J630/J612)*AB79</f>
        <v>0</v>
      </c>
      <c r="K693" s="180">
        <f>(K644/K612)*AB75</f>
        <v>1491766.1340565977</v>
      </c>
      <c r="L693" s="180">
        <f>(L647/L612)*AB80</f>
        <v>0</v>
      </c>
      <c r="M693" s="180">
        <f t="shared" si="24"/>
        <v>2569766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1989083.2000000002</v>
      </c>
      <c r="D694" s="180">
        <f>(D615/D612)*AC76</f>
        <v>209189.89613550855</v>
      </c>
      <c r="E694" s="180">
        <f>(E623/E612)*SUM(C694:D694)</f>
        <v>215519.73412973579</v>
      </c>
      <c r="F694" s="180">
        <f>(F624/F612)*AC64</f>
        <v>8267.314238393139</v>
      </c>
      <c r="G694" s="180">
        <f>(G625/G612)*AC77</f>
        <v>0</v>
      </c>
      <c r="H694" s="180">
        <f>(H628/H612)*AC60</f>
        <v>65618.791330704189</v>
      </c>
      <c r="I694" s="180">
        <f>(I629/I612)*AC78</f>
        <v>34880.170347173305</v>
      </c>
      <c r="J694" s="180">
        <f>(J630/J612)*AC79</f>
        <v>0</v>
      </c>
      <c r="K694" s="180">
        <f>(K644/K612)*AC75</f>
        <v>551060.86662162223</v>
      </c>
      <c r="L694" s="180">
        <f>(L647/L612)*AC80</f>
        <v>0</v>
      </c>
      <c r="M694" s="180">
        <f t="shared" si="24"/>
        <v>1084537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4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1409325.5199999998</v>
      </c>
      <c r="D696" s="180">
        <f>(D615/D612)*AE76</f>
        <v>355688.26343958313</v>
      </c>
      <c r="E696" s="180">
        <f>(E623/E612)*SUM(C696:D696)</f>
        <v>173042.78618108929</v>
      </c>
      <c r="F696" s="180">
        <f>(F624/F612)*AE64</f>
        <v>559.99039027598246</v>
      </c>
      <c r="G696" s="180">
        <f>(G625/G612)*AE77</f>
        <v>0</v>
      </c>
      <c r="H696" s="180">
        <f>(H628/H612)*AE60</f>
        <v>44376.810803777516</v>
      </c>
      <c r="I696" s="180">
        <f>(I629/I612)*AE78</f>
        <v>59307.20100948988</v>
      </c>
      <c r="J696" s="180">
        <f>(J630/J612)*AE79</f>
        <v>14111.783249243446</v>
      </c>
      <c r="K696" s="180">
        <f>(K644/K612)*AE75</f>
        <v>151739.47101252872</v>
      </c>
      <c r="L696" s="180">
        <f>(L647/L612)*AE80</f>
        <v>0</v>
      </c>
      <c r="M696" s="180">
        <f t="shared" si="24"/>
        <v>798826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4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11042830.870000001</v>
      </c>
      <c r="D698" s="180">
        <f>(D615/D612)*AG76</f>
        <v>545856.93022888072</v>
      </c>
      <c r="E698" s="180">
        <f>(E623/E612)*SUM(C698:D698)</f>
        <v>1136160.4333913396</v>
      </c>
      <c r="F698" s="180">
        <f>(F624/F612)*AG64</f>
        <v>20559.8896295921</v>
      </c>
      <c r="G698" s="180">
        <f>(G625/G612)*AG77</f>
        <v>3217.1723585777727</v>
      </c>
      <c r="H698" s="180">
        <f>(H628/H612)*AG60</f>
        <v>186761.17532585037</v>
      </c>
      <c r="I698" s="180">
        <f>(I629/I612)*AG78</f>
        <v>91015.785481508312</v>
      </c>
      <c r="J698" s="180">
        <f>(J630/J612)*AG79</f>
        <v>53032.679360657232</v>
      </c>
      <c r="K698" s="180">
        <f>(K644/K612)*AG75</f>
        <v>1818226.0144991844</v>
      </c>
      <c r="L698" s="180">
        <f>(L647/L612)*AG80</f>
        <v>345414.18552593788</v>
      </c>
      <c r="M698" s="180">
        <f t="shared" si="24"/>
        <v>4200244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4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3645931.5500000003</v>
      </c>
      <c r="D700" s="180">
        <f>(D615/D612)*AI76</f>
        <v>1104103.835536486</v>
      </c>
      <c r="E700" s="180">
        <f>(E623/E612)*SUM(C700:D700)</f>
        <v>465695.71596783749</v>
      </c>
      <c r="F700" s="180">
        <f>(F624/F612)*AI64</f>
        <v>26718.712633624462</v>
      </c>
      <c r="G700" s="180">
        <f>(G625/G612)*AI77</f>
        <v>9326.4133426559856</v>
      </c>
      <c r="H700" s="180">
        <f>(H628/H612)*AI60</f>
        <v>91824.244535209786</v>
      </c>
      <c r="I700" s="180">
        <f>(I629/I612)*AI78</f>
        <v>184097.46634958539</v>
      </c>
      <c r="J700" s="180">
        <f>(J630/J612)*AI79</f>
        <v>54670.703632477518</v>
      </c>
      <c r="K700" s="180">
        <f>(K644/K612)*AI75</f>
        <v>382002.06797221664</v>
      </c>
      <c r="L700" s="180">
        <f>(L647/L612)*AI80</f>
        <v>277790.84497931064</v>
      </c>
      <c r="M700" s="180">
        <f t="shared" si="24"/>
        <v>2596230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2106249.8200000003</v>
      </c>
      <c r="D701" s="180">
        <f>(D615/D612)*AJ76</f>
        <v>397657.12268512207</v>
      </c>
      <c r="E701" s="180">
        <f>(E623/E612)*SUM(C701:D701)</f>
        <v>245484.22101046902</v>
      </c>
      <c r="F701" s="180">
        <f>(F624/F612)*AJ64</f>
        <v>8.9243096434156399</v>
      </c>
      <c r="G701" s="180">
        <f>(G625/G612)*AJ77</f>
        <v>0</v>
      </c>
      <c r="H701" s="180">
        <f>(H628/H612)*AJ60</f>
        <v>66880.691163986965</v>
      </c>
      <c r="I701" s="180">
        <f>(I629/I612)*AJ78</f>
        <v>66305.057917515049</v>
      </c>
      <c r="J701" s="180">
        <f>(J630/J612)*AJ79</f>
        <v>20839.654804223086</v>
      </c>
      <c r="K701" s="180">
        <f>(K644/K612)*AJ75</f>
        <v>294654.81260943838</v>
      </c>
      <c r="L701" s="180">
        <f>(L647/L612)*AJ80</f>
        <v>111894.73615628973</v>
      </c>
      <c r="M701" s="180">
        <f t="shared" si="24"/>
        <v>1203725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4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211923.12</v>
      </c>
      <c r="D703" s="180">
        <f>(D615/D612)*AL76</f>
        <v>8725.3345624821086</v>
      </c>
      <c r="E703" s="180">
        <f>(E623/E612)*SUM(C703:D703)</f>
        <v>21632.478852168893</v>
      </c>
      <c r="F703" s="180">
        <f>(F624/F612)*AL64</f>
        <v>17.995126703477354</v>
      </c>
      <c r="G703" s="180">
        <f>(G625/G612)*AL77</f>
        <v>0</v>
      </c>
      <c r="H703" s="180">
        <f>(H628/H612)*AL60</f>
        <v>6309.4991664138643</v>
      </c>
      <c r="I703" s="180">
        <f>(I629/I612)*AL78</f>
        <v>1454.85590603434</v>
      </c>
      <c r="J703" s="180">
        <f>(J630/J612)*AL79</f>
        <v>0</v>
      </c>
      <c r="K703" s="180">
        <f>(K644/K612)*AL75</f>
        <v>34280.748558375621</v>
      </c>
      <c r="L703" s="180">
        <f>(L647/L612)*AL80</f>
        <v>0</v>
      </c>
      <c r="M703" s="180">
        <f t="shared" si="24"/>
        <v>72421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4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4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4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43881133.43</v>
      </c>
      <c r="D707" s="180">
        <f>(D615/D612)*AP76</f>
        <v>6184299.0045232559</v>
      </c>
      <c r="E707" s="180">
        <f>(E623/E612)*SUM(C707:D707)</f>
        <v>4908438.6768629067</v>
      </c>
      <c r="F707" s="180">
        <f>(F624/F612)*AP64</f>
        <v>83152.583070904613</v>
      </c>
      <c r="G707" s="180">
        <f>(G625/G612)*AP77</f>
        <v>0</v>
      </c>
      <c r="H707" s="180">
        <f>(H628/H612)*AP60</f>
        <v>895864.75497521646</v>
      </c>
      <c r="I707" s="180">
        <f>(I629/I612)*AP78</f>
        <v>1031165.4947994895</v>
      </c>
      <c r="J707" s="180">
        <f>(J630/J612)*AP79</f>
        <v>0</v>
      </c>
      <c r="K707" s="180">
        <f>(K644/K612)*AP75</f>
        <v>2401204.4751889184</v>
      </c>
      <c r="L707" s="180">
        <f>(L647/L612)*AP80</f>
        <v>14594.965585603008</v>
      </c>
      <c r="M707" s="180">
        <f t="shared" si="24"/>
        <v>15518720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4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2619118.52</v>
      </c>
      <c r="D709" s="180">
        <f>(D615/D612)*AR76</f>
        <v>184933.46605180827</v>
      </c>
      <c r="E709" s="180">
        <f>(E623/E612)*SUM(C709:D709)</f>
        <v>274910.58303094044</v>
      </c>
      <c r="F709" s="180">
        <f>(F624/F612)*AR64</f>
        <v>2504.72686406608</v>
      </c>
      <c r="G709" s="180">
        <f>(G625/G612)*AR77</f>
        <v>0</v>
      </c>
      <c r="H709" s="180">
        <f>(H628/H612)*AR60</f>
        <v>76555.256552488223</v>
      </c>
      <c r="I709" s="180">
        <f>(I629/I612)*AR78</f>
        <v>30835.670928397834</v>
      </c>
      <c r="J709" s="180">
        <f>(J630/J612)*AR79</f>
        <v>0</v>
      </c>
      <c r="K709" s="180">
        <f>(K644/K612)*AR75</f>
        <v>94836.218616274884</v>
      </c>
      <c r="L709" s="180">
        <f>(L647/L612)*AR80</f>
        <v>155679.63291309873</v>
      </c>
      <c r="M709" s="180">
        <f t="shared" si="24"/>
        <v>820256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4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4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4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75795.81</v>
      </c>
      <c r="D713" s="180">
        <f>(D615/D612)*AV76</f>
        <v>0</v>
      </c>
      <c r="E713" s="180">
        <f>(E623/E612)*SUM(C713:D713)</f>
        <v>7431.0570638676436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4"/>
        <v>7431</v>
      </c>
      <c r="N713" s="199" t="s">
        <v>741</v>
      </c>
    </row>
    <row r="715" spans="1:83" ht="12.6" customHeight="1" x14ac:dyDescent="0.25">
      <c r="C715" s="180">
        <f>SUM(C614:C647)+SUM(C668:C713)</f>
        <v>195691995.88000003</v>
      </c>
      <c r="D715" s="180">
        <f>SUM(D616:D647)+SUM(D668:D713)</f>
        <v>25602574.699999999</v>
      </c>
      <c r="E715" s="180">
        <f>SUM(E624:E647)+SUM(E668:E713)</f>
        <v>17472703.702885892</v>
      </c>
      <c r="F715" s="180">
        <f>SUM(F625:F648)+SUM(F668:F713)</f>
        <v>1262116.8639600333</v>
      </c>
      <c r="G715" s="180">
        <f>SUM(G626:G647)+SUM(G668:G713)</f>
        <v>2561715.8217327958</v>
      </c>
      <c r="H715" s="180">
        <f>SUM(H629:H647)+SUM(H668:H713)</f>
        <v>3522298.9413144276</v>
      </c>
      <c r="I715" s="180">
        <f>SUM(I630:I647)+SUM(I668:I713)</f>
        <v>2953546.6205174946</v>
      </c>
      <c r="J715" s="180">
        <f>SUM(J631:J647)+SUM(J668:J713)</f>
        <v>454835.81188284641</v>
      </c>
      <c r="K715" s="180">
        <f>SUM(K668:K713)</f>
        <v>19504136.825266961</v>
      </c>
      <c r="L715" s="180">
        <f>SUM(L668:L713)</f>
        <v>3034293.3452468654</v>
      </c>
      <c r="M715" s="180">
        <f>SUM(M668:M713)</f>
        <v>60395344</v>
      </c>
      <c r="N715" s="198" t="s">
        <v>742</v>
      </c>
    </row>
    <row r="716" spans="1:83" ht="12.6" customHeight="1" x14ac:dyDescent="0.25">
      <c r="C716" s="180">
        <f>CE71</f>
        <v>195691995.88</v>
      </c>
      <c r="D716" s="180">
        <f>D615</f>
        <v>25602574.699999999</v>
      </c>
      <c r="E716" s="180">
        <f>E623</f>
        <v>17472703.702885889</v>
      </c>
      <c r="F716" s="180">
        <f>F624</f>
        <v>1262116.863960033</v>
      </c>
      <c r="G716" s="180">
        <f>G625</f>
        <v>2561715.8217327958</v>
      </c>
      <c r="H716" s="180">
        <f>H628</f>
        <v>3522298.941314429</v>
      </c>
      <c r="I716" s="180">
        <f>I629</f>
        <v>2953546.6205174956</v>
      </c>
      <c r="J716" s="180">
        <f>J630</f>
        <v>454835.81188284635</v>
      </c>
      <c r="K716" s="180">
        <f>K644</f>
        <v>19504136.825266961</v>
      </c>
      <c r="L716" s="180">
        <f>L647</f>
        <v>3034293.3452468659</v>
      </c>
      <c r="M716" s="180">
        <f>C648</f>
        <v>60395344.610000014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039*2017*A</v>
      </c>
      <c r="B722" s="275">
        <f>ROUND(C165,0)</f>
        <v>5685570</v>
      </c>
      <c r="C722" s="275">
        <f>ROUND(C166,0)</f>
        <v>144046</v>
      </c>
      <c r="D722" s="275">
        <f>ROUND(C167,0)</f>
        <v>92356</v>
      </c>
      <c r="E722" s="275">
        <f>ROUND(C168,0)</f>
        <v>8828100</v>
      </c>
      <c r="F722" s="275">
        <f>ROUND(C169,0)</f>
        <v>323641</v>
      </c>
      <c r="G722" s="275">
        <f>ROUND(C170,0)</f>
        <v>3941041</v>
      </c>
      <c r="H722" s="275">
        <f>ROUND(C171+C172,0)</f>
        <v>1076609</v>
      </c>
      <c r="I722" s="275">
        <f>ROUND(C175,0)</f>
        <v>592042</v>
      </c>
      <c r="J722" s="275">
        <f>ROUND(C176,0)</f>
        <v>2102264</v>
      </c>
      <c r="K722" s="275">
        <f>ROUND(C179,0)</f>
        <v>1453124</v>
      </c>
      <c r="L722" s="275">
        <f>ROUND(C180,0)</f>
        <v>319267</v>
      </c>
      <c r="M722" s="275">
        <f>ROUND(C183,0)</f>
        <v>118707</v>
      </c>
      <c r="N722" s="275">
        <f>ROUND(C184,0)</f>
        <v>2385307</v>
      </c>
      <c r="O722" s="275">
        <f>ROUND(C185,0)</f>
        <v>0</v>
      </c>
      <c r="P722" s="275">
        <f>ROUND(C188,0)</f>
        <v>0</v>
      </c>
      <c r="Q722" s="275">
        <f>ROUND(C189,0)</f>
        <v>17611921</v>
      </c>
      <c r="R722" s="275">
        <f>ROUND(B195,0)</f>
        <v>1580987</v>
      </c>
      <c r="S722" s="275">
        <f>ROUND(C195,0)</f>
        <v>0</v>
      </c>
      <c r="T722" s="275">
        <f>ROUND(D195,0)</f>
        <v>0</v>
      </c>
      <c r="U722" s="275">
        <f>ROUND(B196,0)</f>
        <v>2501845</v>
      </c>
      <c r="V722" s="275">
        <f>ROUND(C196,0)</f>
        <v>0</v>
      </c>
      <c r="W722" s="275">
        <f>ROUND(D196,0)</f>
        <v>0</v>
      </c>
      <c r="X722" s="275">
        <f>ROUND(B197,0)</f>
        <v>208988170</v>
      </c>
      <c r="Y722" s="275">
        <f>ROUND(C197,0)</f>
        <v>89822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80635210</v>
      </c>
      <c r="AH722" s="275">
        <f>ROUND(C200,0)</f>
        <v>349416</v>
      </c>
      <c r="AI722" s="275">
        <f>ROUND(D200,0)</f>
        <v>1379325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18910528</v>
      </c>
      <c r="AN722" s="275">
        <f>ROUND(C202,0)</f>
        <v>277102</v>
      </c>
      <c r="AO722" s="275">
        <f>ROUND(D202,0)</f>
        <v>1791433</v>
      </c>
      <c r="AP722" s="275">
        <f>ROUND(B203,0)</f>
        <v>992745</v>
      </c>
      <c r="AQ722" s="275">
        <f>ROUND(C203,0)</f>
        <v>171151</v>
      </c>
      <c r="AR722" s="275">
        <f>ROUND(D203,0)</f>
        <v>459442</v>
      </c>
      <c r="AS722" s="275"/>
      <c r="AT722" s="275"/>
      <c r="AU722" s="275"/>
      <c r="AV722" s="275">
        <f>ROUND(B209,0)</f>
        <v>2455360</v>
      </c>
      <c r="AW722" s="275">
        <f>ROUND(C209,0)</f>
        <v>17733</v>
      </c>
      <c r="AX722" s="275">
        <f>ROUND(D209,0)</f>
        <v>0</v>
      </c>
      <c r="AY722" s="275">
        <f>ROUND(B210,0)</f>
        <v>54996084</v>
      </c>
      <c r="AZ722" s="275">
        <f>ROUND(C210,0)</f>
        <v>6537416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60421536</v>
      </c>
      <c r="BI722" s="275">
        <f>ROUND(C213,0)</f>
        <v>5165950</v>
      </c>
      <c r="BJ722" s="275">
        <f>ROUND(D213,0)</f>
        <v>2964218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3473204</v>
      </c>
      <c r="BO722" s="275">
        <f>ROUND(C215,0)</f>
        <v>1044435</v>
      </c>
      <c r="BP722" s="275">
        <f>ROUND(D215,0)</f>
        <v>206540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140235029</v>
      </c>
      <c r="BU722" s="275">
        <f>ROUND(C224,0)</f>
        <v>99357790</v>
      </c>
      <c r="BV722" s="275">
        <f>ROUND(C225,0)</f>
        <v>9831098</v>
      </c>
      <c r="BW722" s="275">
        <f>ROUND(C226,0)</f>
        <v>2312449</v>
      </c>
      <c r="BX722" s="275">
        <f>ROUND(C227,0)</f>
        <v>77896349</v>
      </c>
      <c r="BY722" s="275">
        <f>ROUND(C228,0)</f>
        <v>0</v>
      </c>
      <c r="BZ722" s="275">
        <f>ROUND(C231,0)</f>
        <v>1441</v>
      </c>
      <c r="CA722" s="275">
        <f>ROUND(C233,0)</f>
        <v>751230</v>
      </c>
      <c r="CB722" s="275">
        <f>ROUND(C234,0)</f>
        <v>1430122</v>
      </c>
      <c r="CC722" s="275">
        <f>ROUND(C238+C239,0)</f>
        <v>1472669</v>
      </c>
      <c r="CD722" s="275">
        <f>D221</f>
        <v>7742658.7800000003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039*2017*A</v>
      </c>
      <c r="B726" s="275">
        <f>ROUND(C111,0)</f>
        <v>6061</v>
      </c>
      <c r="C726" s="275">
        <f>ROUND(C112,0)</f>
        <v>0</v>
      </c>
      <c r="D726" s="275">
        <f>ROUND(C113,0)</f>
        <v>0</v>
      </c>
      <c r="E726" s="275">
        <f>ROUND(C114,0)</f>
        <v>1446</v>
      </c>
      <c r="F726" s="275">
        <f>ROUND(D111,0)</f>
        <v>18745</v>
      </c>
      <c r="G726" s="275">
        <f>ROUND(D112,0)</f>
        <v>0</v>
      </c>
      <c r="H726" s="275">
        <f>ROUND(D113,0)</f>
        <v>0</v>
      </c>
      <c r="I726" s="275">
        <f>ROUND(D114,0)</f>
        <v>3574</v>
      </c>
      <c r="J726" s="275">
        <f>ROUND(C116,0)</f>
        <v>14</v>
      </c>
      <c r="K726" s="275">
        <f>ROUND(C117,0)</f>
        <v>0</v>
      </c>
      <c r="L726" s="275">
        <f>ROUND(C118,0)</f>
        <v>60</v>
      </c>
      <c r="M726" s="275">
        <f>ROUND(C119,0)</f>
        <v>7</v>
      </c>
      <c r="N726" s="275">
        <f>ROUND(C120,0)</f>
        <v>20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10</v>
      </c>
      <c r="V726" s="275">
        <f>ROUND(C128,0)</f>
        <v>111</v>
      </c>
      <c r="W726" s="275">
        <f>ROUND(C129,0)</f>
        <v>10</v>
      </c>
      <c r="X726" s="275">
        <f>ROUND(B138,0)</f>
        <v>2574</v>
      </c>
      <c r="Y726" s="275">
        <f>ROUND(B139,0)</f>
        <v>9684</v>
      </c>
      <c r="Z726" s="275">
        <f>ROUND(B140,0)</f>
        <v>22835</v>
      </c>
      <c r="AA726" s="275">
        <f>ROUND(B141,0)</f>
        <v>92218715</v>
      </c>
      <c r="AB726" s="275">
        <f>ROUND(B142,0)</f>
        <v>112930721</v>
      </c>
      <c r="AC726" s="275">
        <f>ROUND(C138,0)</f>
        <v>1533</v>
      </c>
      <c r="AD726" s="275">
        <f>ROUND(C139,0)</f>
        <v>4438</v>
      </c>
      <c r="AE726" s="275">
        <f>ROUND(C140,0)</f>
        <v>24284</v>
      </c>
      <c r="AF726" s="275">
        <f>ROUND(C141,0)</f>
        <v>39275601</v>
      </c>
      <c r="AG726" s="275">
        <f>ROUND(C142,0)</f>
        <v>72172733</v>
      </c>
      <c r="AH726" s="275">
        <f>ROUND(D138,0)</f>
        <v>1954</v>
      </c>
      <c r="AI726" s="275">
        <f>ROUND(D139,0)</f>
        <v>4623</v>
      </c>
      <c r="AJ726" s="275">
        <f>ROUND(D140,0)</f>
        <v>26449</v>
      </c>
      <c r="AK726" s="275">
        <f>ROUND(D141,0)</f>
        <v>48419793</v>
      </c>
      <c r="AL726" s="275">
        <f>ROUND(D142,0)</f>
        <v>137860385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039*2017*A</v>
      </c>
      <c r="B730" s="275">
        <f>ROUND(C250,0)</f>
        <v>5135364</v>
      </c>
      <c r="C730" s="275">
        <f>ROUND(C251,0)</f>
        <v>0</v>
      </c>
      <c r="D730" s="275">
        <f>ROUND(C252,0)</f>
        <v>58208468</v>
      </c>
      <c r="E730" s="275">
        <f>ROUND(C253,0)</f>
        <v>39464016</v>
      </c>
      <c r="F730" s="275">
        <f>ROUND(C254,0)</f>
        <v>3751161</v>
      </c>
      <c r="G730" s="275">
        <f>ROUND(C255,0)</f>
        <v>558498</v>
      </c>
      <c r="H730" s="275">
        <f>ROUND(C256,0)</f>
        <v>0</v>
      </c>
      <c r="I730" s="275">
        <f>ROUND(C257,0)</f>
        <v>3382952</v>
      </c>
      <c r="J730" s="275">
        <f>ROUND(C258,0)</f>
        <v>1627809</v>
      </c>
      <c r="K730" s="275">
        <f>ROUND(C259,0)</f>
        <v>0</v>
      </c>
      <c r="L730" s="275">
        <f>ROUND(C262,0)</f>
        <v>922595</v>
      </c>
      <c r="M730" s="275">
        <f>ROUND(C263,0)</f>
        <v>693493</v>
      </c>
      <c r="N730" s="275">
        <f>ROUND(C264,0)</f>
        <v>0</v>
      </c>
      <c r="O730" s="275">
        <f>ROUND(C267,0)</f>
        <v>1580987</v>
      </c>
      <c r="P730" s="275">
        <f>ROUND(C268,0)</f>
        <v>2501846</v>
      </c>
      <c r="Q730" s="275">
        <f>ROUND(C269,0)</f>
        <v>209077992</v>
      </c>
      <c r="R730" s="275">
        <f>ROUND(C270,0)</f>
        <v>0</v>
      </c>
      <c r="S730" s="275">
        <f>ROUND(C271,0)</f>
        <v>0</v>
      </c>
      <c r="T730" s="275">
        <f>ROUND(C272,0)</f>
        <v>79605302</v>
      </c>
      <c r="U730" s="275">
        <f>ROUND(C273,0)</f>
        <v>17396197</v>
      </c>
      <c r="V730" s="275">
        <f>ROUND(C274,0)</f>
        <v>704454</v>
      </c>
      <c r="W730" s="275">
        <f>ROUND(C275,0)</f>
        <v>0</v>
      </c>
      <c r="X730" s="275">
        <f>ROUND(C276,0)</f>
        <v>130940961</v>
      </c>
      <c r="Y730" s="275">
        <f>ROUND(C279,0)</f>
        <v>328919</v>
      </c>
      <c r="Z730" s="275">
        <f>ROUND(C280,0)</f>
        <v>0</v>
      </c>
      <c r="AA730" s="275">
        <f>ROUND(C281,0)</f>
        <v>6719012</v>
      </c>
      <c r="AB730" s="275">
        <f>ROUND(C282,0)</f>
        <v>51973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471602</v>
      </c>
      <c r="AH730" s="275">
        <f>ROUND(C305,0)</f>
        <v>27333555</v>
      </c>
      <c r="AI730" s="275">
        <f>ROUND(C306,0)</f>
        <v>9277857</v>
      </c>
      <c r="AJ730" s="275">
        <f>ROUND(C307,0)</f>
        <v>637409</v>
      </c>
      <c r="AK730" s="275">
        <f>ROUND(C308,0)</f>
        <v>0</v>
      </c>
      <c r="AL730" s="275">
        <f>ROUND(C309,0)</f>
        <v>100000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4015746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4139482</v>
      </c>
      <c r="AW730" s="275">
        <f>ROUND(C324,0)</f>
        <v>182389766</v>
      </c>
      <c r="AX730" s="275">
        <f>ROUND(C325,0)</f>
        <v>8125000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14073186</v>
      </c>
      <c r="BC730" s="275"/>
      <c r="BD730" s="275"/>
      <c r="BE730" s="275">
        <f>ROUND(C337,0)</f>
        <v>-28721559</v>
      </c>
      <c r="BF730" s="275">
        <f>ROUND(C336,0)</f>
        <v>0</v>
      </c>
      <c r="BG730" s="275"/>
      <c r="BH730" s="275"/>
      <c r="BI730" s="275">
        <f>ROUND(CE60,2)</f>
        <v>909.42</v>
      </c>
      <c r="BJ730" s="275">
        <f>ROUND(C359,0)</f>
        <v>179914109</v>
      </c>
      <c r="BK730" s="275">
        <f>ROUND(C360,0)</f>
        <v>322963839</v>
      </c>
      <c r="BL730" s="275">
        <f>ROUND(C364,0)</f>
        <v>329632713</v>
      </c>
      <c r="BM730" s="275">
        <f>ROUND(C365,0)</f>
        <v>2181352</v>
      </c>
      <c r="BN730" s="275">
        <f>ROUND(C366,0)</f>
        <v>1472669</v>
      </c>
      <c r="BO730" s="275">
        <f>ROUND(C370,0)</f>
        <v>6543148</v>
      </c>
      <c r="BP730" s="275">
        <f>ROUND(C371,0)</f>
        <v>1471683</v>
      </c>
      <c r="BQ730" s="275">
        <f>ROUND(C378,0)</f>
        <v>81489041</v>
      </c>
      <c r="BR730" s="275">
        <f>ROUND(C379,0)</f>
        <v>20091364</v>
      </c>
      <c r="BS730" s="275">
        <f>ROUND(C380,0)</f>
        <v>10775926</v>
      </c>
      <c r="BT730" s="275">
        <f>ROUND(C381,0)</f>
        <v>33994529</v>
      </c>
      <c r="BU730" s="275">
        <f>ROUND(C382,0)</f>
        <v>2363483</v>
      </c>
      <c r="BV730" s="275">
        <f>ROUND(C383,0)</f>
        <v>15074438</v>
      </c>
      <c r="BW730" s="275">
        <f>ROUND(C384,0)</f>
        <v>12765535</v>
      </c>
      <c r="BX730" s="275">
        <f>ROUND(C385,0)</f>
        <v>2694306</v>
      </c>
      <c r="BY730" s="275">
        <f>ROUND(C386,0)</f>
        <v>1772391</v>
      </c>
      <c r="BZ730" s="275">
        <f>ROUND(C387,0)</f>
        <v>2504014</v>
      </c>
      <c r="CA730" s="275">
        <f>ROUND(C388,0)</f>
        <v>17611921</v>
      </c>
      <c r="CB730" s="275">
        <f>C363</f>
        <v>7742658.7800000003</v>
      </c>
      <c r="CC730" s="275">
        <f>ROUND(C389,0)</f>
        <v>1098196</v>
      </c>
      <c r="CD730" s="275">
        <f>ROUND(C392,0)</f>
        <v>3650196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039*2017*6010*A</v>
      </c>
      <c r="B734" s="275">
        <f>ROUND(C59,0)</f>
        <v>1861</v>
      </c>
      <c r="C734" s="275">
        <f>ROUND(C60,2)</f>
        <v>20.9</v>
      </c>
      <c r="D734" s="275">
        <f>ROUND(C61,0)</f>
        <v>1996780</v>
      </c>
      <c r="E734" s="275">
        <f>ROUND(C62,0)</f>
        <v>492312</v>
      </c>
      <c r="F734" s="275">
        <f>ROUND(C63,0)</f>
        <v>111324</v>
      </c>
      <c r="G734" s="275">
        <f>ROUND(C64,0)</f>
        <v>273197</v>
      </c>
      <c r="H734" s="275">
        <f>ROUND(C65,0)</f>
        <v>138</v>
      </c>
      <c r="I734" s="275">
        <f>ROUND(C66,0)</f>
        <v>31522</v>
      </c>
      <c r="J734" s="275">
        <f>ROUND(C67,0)</f>
        <v>165816</v>
      </c>
      <c r="K734" s="275">
        <f>ROUND(C68,0)</f>
        <v>3964</v>
      </c>
      <c r="L734" s="275">
        <f>ROUND(C69,0)</f>
        <v>2116</v>
      </c>
      <c r="M734" s="275">
        <f>ROUND(C70,0)</f>
        <v>0</v>
      </c>
      <c r="N734" s="275">
        <f>ROUND(C75,0)</f>
        <v>6027464</v>
      </c>
      <c r="O734" s="275">
        <f>ROUND(C73,0)</f>
        <v>5746121</v>
      </c>
      <c r="P734" s="275">
        <f>IF(C76&gt;0,ROUND(C76,0),0)</f>
        <v>8232</v>
      </c>
      <c r="Q734" s="275">
        <f>IF(C77&gt;0,ROUND(C77,0),0)</f>
        <v>3279</v>
      </c>
      <c r="R734" s="275">
        <f>IF(C78&gt;0,ROUND(C78,0),0)</f>
        <v>1105</v>
      </c>
      <c r="S734" s="275">
        <f>IF(C79&gt;0,ROUND(C79,0),0)</f>
        <v>56500</v>
      </c>
      <c r="T734" s="275">
        <f>IF(C80&gt;0,ROUND(C80,2),0)</f>
        <v>11.1</v>
      </c>
      <c r="U734" s="275"/>
      <c r="V734" s="275"/>
      <c r="W734" s="275"/>
      <c r="X734" s="275"/>
      <c r="Y734" s="275">
        <f>IF(M668&lt;&gt;0,ROUND(M668,0),0)</f>
        <v>1329073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039*2017*6030*A</v>
      </c>
      <c r="B735" s="275">
        <f>ROUND(D59,0)</f>
        <v>0</v>
      </c>
      <c r="C735" s="277">
        <f>ROUND(D60,2)</f>
        <v>0</v>
      </c>
      <c r="D735" s="275">
        <f>ROUND(D61,0)</f>
        <v>304</v>
      </c>
      <c r="E735" s="275">
        <f>ROUND(D62,0)</f>
        <v>75</v>
      </c>
      <c r="F735" s="275">
        <f>ROUND(D63,0)</f>
        <v>0</v>
      </c>
      <c r="G735" s="275">
        <f>ROUND(D64,0)</f>
        <v>20</v>
      </c>
      <c r="H735" s="275">
        <f>ROUND(D65,0)</f>
        <v>0</v>
      </c>
      <c r="I735" s="275">
        <f>ROUND(D66,0)</f>
        <v>-30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21249649</v>
      </c>
      <c r="O735" s="275">
        <f>ROUND(D73,0)</f>
        <v>21249649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5">IF(M669&lt;&gt;0,ROUND(M669,0),0)</f>
        <v>824205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039*2017*6070*A</v>
      </c>
      <c r="B736" s="275">
        <f>ROUND(E59,0)</f>
        <v>13559</v>
      </c>
      <c r="C736" s="277">
        <f>ROUND(E60,2)</f>
        <v>78.900000000000006</v>
      </c>
      <c r="D736" s="275">
        <f>ROUND(E61,0)</f>
        <v>5788237</v>
      </c>
      <c r="E736" s="275">
        <f>ROUND(E62,0)</f>
        <v>1427107</v>
      </c>
      <c r="F736" s="275">
        <f>ROUND(E63,0)</f>
        <v>1691</v>
      </c>
      <c r="G736" s="275">
        <f>ROUND(E64,0)</f>
        <v>545965</v>
      </c>
      <c r="H736" s="275">
        <f>ROUND(E65,0)</f>
        <v>1311</v>
      </c>
      <c r="I736" s="275">
        <f>ROUND(E66,0)</f>
        <v>383654</v>
      </c>
      <c r="J736" s="275">
        <f>ROUND(E67,0)</f>
        <v>670092</v>
      </c>
      <c r="K736" s="275">
        <f>ROUND(E68,0)</f>
        <v>25091</v>
      </c>
      <c r="L736" s="275">
        <f>ROUND(E69,0)</f>
        <v>1786</v>
      </c>
      <c r="M736" s="275">
        <f>ROUND(E70,0)</f>
        <v>0</v>
      </c>
      <c r="N736" s="275">
        <f>ROUND(E75,0)</f>
        <v>3492973</v>
      </c>
      <c r="O736" s="275">
        <f>ROUND(E73,0)</f>
        <v>0</v>
      </c>
      <c r="P736" s="275">
        <f>IF(E76&gt;0,ROUND(E76,0),0)</f>
        <v>33267</v>
      </c>
      <c r="Q736" s="275">
        <f>IF(E77&gt;0,ROUND(E77,0),0)</f>
        <v>40054</v>
      </c>
      <c r="R736" s="275">
        <f>IF(E78&gt;0,ROUND(E78,0),0)</f>
        <v>4466</v>
      </c>
      <c r="S736" s="275">
        <f>IF(E79&gt;0,ROUND(E79,0),0)</f>
        <v>141177</v>
      </c>
      <c r="T736" s="277">
        <f>IF(E80&gt;0,ROUND(E80,2),0)</f>
        <v>54.5</v>
      </c>
      <c r="U736" s="275"/>
      <c r="V736" s="276"/>
      <c r="W736" s="275"/>
      <c r="X736" s="275"/>
      <c r="Y736" s="275">
        <f t="shared" si="25"/>
        <v>4443218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039*2017*6100*A</v>
      </c>
      <c r="B737" s="275">
        <f>ROUND(F59,0)</f>
        <v>3325</v>
      </c>
      <c r="C737" s="277">
        <f>ROUND(F60,2)</f>
        <v>48.48</v>
      </c>
      <c r="D737" s="275">
        <f>ROUND(F61,0)</f>
        <v>4274324</v>
      </c>
      <c r="E737" s="275">
        <f>ROUND(F62,0)</f>
        <v>1053847</v>
      </c>
      <c r="F737" s="275">
        <f>ROUND(F63,0)</f>
        <v>300347</v>
      </c>
      <c r="G737" s="275">
        <f>ROUND(F64,0)</f>
        <v>508371</v>
      </c>
      <c r="H737" s="275">
        <f>ROUND(F65,0)</f>
        <v>2470</v>
      </c>
      <c r="I737" s="275">
        <f>ROUND(F66,0)</f>
        <v>117302</v>
      </c>
      <c r="J737" s="275">
        <f>ROUND(F67,0)</f>
        <v>265926</v>
      </c>
      <c r="K737" s="275">
        <f>ROUND(F68,0)</f>
        <v>16525</v>
      </c>
      <c r="L737" s="275">
        <f>ROUND(F69,0)</f>
        <v>9131</v>
      </c>
      <c r="M737" s="275">
        <f>ROUND(F70,0)</f>
        <v>9180</v>
      </c>
      <c r="N737" s="275">
        <f>ROUND(F75,0)</f>
        <v>17089946</v>
      </c>
      <c r="O737" s="275">
        <f>ROUND(F73,0)</f>
        <v>15502318</v>
      </c>
      <c r="P737" s="275">
        <f>IF(F76&gt;0,ROUND(F76,0),0)</f>
        <v>13202</v>
      </c>
      <c r="Q737" s="275">
        <f>IF(F77&gt;0,ROUND(F77,0),0)</f>
        <v>8693</v>
      </c>
      <c r="R737" s="275">
        <f>IF(F78&gt;0,ROUND(F78,0),0)</f>
        <v>1772</v>
      </c>
      <c r="S737" s="275">
        <f>IF(F79&gt;0,ROUND(F79,0),0)</f>
        <v>77735</v>
      </c>
      <c r="T737" s="277">
        <f>IF(F80&gt;0,ROUND(F80,2),0)</f>
        <v>33.58</v>
      </c>
      <c r="U737" s="275"/>
      <c r="V737" s="276"/>
      <c r="W737" s="275"/>
      <c r="X737" s="275"/>
      <c r="Y737" s="275">
        <f t="shared" si="25"/>
        <v>2912442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039*2017*6120*A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5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039*2017*6140*A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5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039*2017*6150*A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5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039*2017*6170*A</v>
      </c>
      <c r="B741" s="275">
        <f>ROUND(J59,0)</f>
        <v>3574</v>
      </c>
      <c r="C741" s="277">
        <f>ROUND(J60,2)</f>
        <v>12.9</v>
      </c>
      <c r="D741" s="275">
        <f>ROUND(J61,0)</f>
        <v>1307594</v>
      </c>
      <c r="E741" s="275">
        <f>ROUND(J62,0)</f>
        <v>322391</v>
      </c>
      <c r="F741" s="275">
        <f>ROUND(J63,0)</f>
        <v>0</v>
      </c>
      <c r="G741" s="275">
        <f>ROUND(J64,0)</f>
        <v>103369</v>
      </c>
      <c r="H741" s="275">
        <f>ROUND(J65,0)</f>
        <v>0</v>
      </c>
      <c r="I741" s="275">
        <f>ROUND(J66,0)</f>
        <v>-143</v>
      </c>
      <c r="J741" s="275">
        <f>ROUND(J67,0)</f>
        <v>68204</v>
      </c>
      <c r="K741" s="275">
        <f>ROUND(J68,0)</f>
        <v>1418</v>
      </c>
      <c r="L741" s="275">
        <f>ROUND(J69,0)</f>
        <v>3019</v>
      </c>
      <c r="M741" s="275">
        <f>ROUND(J70,0)</f>
        <v>0</v>
      </c>
      <c r="N741" s="275">
        <f>ROUND(J75,0)</f>
        <v>3130655</v>
      </c>
      <c r="O741" s="275">
        <f>ROUND(J73,0)</f>
        <v>3130655</v>
      </c>
      <c r="P741" s="275">
        <f>IF(J76&gt;0,ROUND(J76,0),0)</f>
        <v>3386</v>
      </c>
      <c r="Q741" s="275">
        <f>IF(J77&gt;0,ROUND(J77,0),0)</f>
        <v>0</v>
      </c>
      <c r="R741" s="275">
        <f>IF(J78&gt;0,ROUND(J78,0),0)</f>
        <v>455</v>
      </c>
      <c r="S741" s="275">
        <f>IF(J79&gt;0,ROUND(J79,0),0)</f>
        <v>38393</v>
      </c>
      <c r="T741" s="277">
        <f>IF(J80&gt;0,ROUND(J80,2),0)</f>
        <v>12.9</v>
      </c>
      <c r="U741" s="275"/>
      <c r="V741" s="276"/>
      <c r="W741" s="275"/>
      <c r="X741" s="275"/>
      <c r="Y741" s="275">
        <f t="shared" si="25"/>
        <v>779171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039*2017*6200*A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5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039*2017*6210*A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5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039*2017*6330*A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5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039*2017*6400*A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5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039*2017*7010*A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5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039*2017*7020*A</v>
      </c>
      <c r="B747" s="275">
        <f>ROUND(P59,0)</f>
        <v>328103</v>
      </c>
      <c r="C747" s="277">
        <f>ROUND(P60,2)</f>
        <v>26.7</v>
      </c>
      <c r="D747" s="275">
        <f>ROUND(P61,0)</f>
        <v>1817850</v>
      </c>
      <c r="E747" s="275">
        <f>ROUND(P62,0)</f>
        <v>448196</v>
      </c>
      <c r="F747" s="275">
        <f>ROUND(P63,0)</f>
        <v>163571</v>
      </c>
      <c r="G747" s="275">
        <f>ROUND(P64,0)</f>
        <v>9957956</v>
      </c>
      <c r="H747" s="275">
        <f>ROUND(P65,0)</f>
        <v>0</v>
      </c>
      <c r="I747" s="275">
        <f>ROUND(P66,0)</f>
        <v>541415</v>
      </c>
      <c r="J747" s="275">
        <f>ROUND(P67,0)</f>
        <v>452388</v>
      </c>
      <c r="K747" s="275">
        <f>ROUND(P68,0)</f>
        <v>166739</v>
      </c>
      <c r="L747" s="275">
        <f>ROUND(P69,0)</f>
        <v>1095</v>
      </c>
      <c r="M747" s="275">
        <f>ROUND(P70,0)</f>
        <v>0</v>
      </c>
      <c r="N747" s="275">
        <f>ROUND(P75,0)</f>
        <v>53849905</v>
      </c>
      <c r="O747" s="275">
        <f>ROUND(P73,0)</f>
        <v>24332710</v>
      </c>
      <c r="P747" s="275">
        <f>IF(P76&gt;0,ROUND(P76,0),0)</f>
        <v>22459</v>
      </c>
      <c r="Q747" s="275">
        <f>IF(P77&gt;0,ROUND(P77,0),0)</f>
        <v>0</v>
      </c>
      <c r="R747" s="275">
        <f>IF(P78&gt;0,ROUND(P78,0),0)</f>
        <v>3015</v>
      </c>
      <c r="S747" s="275">
        <f>IF(P79&gt;0,ROUND(P79,0),0)</f>
        <v>39840</v>
      </c>
      <c r="T747" s="277">
        <f>IF(P80&gt;0,ROUND(P80,2),0)</f>
        <v>9.9</v>
      </c>
      <c r="U747" s="275"/>
      <c r="V747" s="276"/>
      <c r="W747" s="275"/>
      <c r="X747" s="275"/>
      <c r="Y747" s="275">
        <f t="shared" si="25"/>
        <v>5326894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039*2017*7030*A</v>
      </c>
      <c r="B748" s="275">
        <f>ROUND(Q59,0)</f>
        <v>144644</v>
      </c>
      <c r="C748" s="277">
        <f>ROUND(Q60,2)</f>
        <v>6</v>
      </c>
      <c r="D748" s="275">
        <f>ROUND(Q61,0)</f>
        <v>611140</v>
      </c>
      <c r="E748" s="275">
        <f>ROUND(Q62,0)</f>
        <v>150678</v>
      </c>
      <c r="F748" s="275">
        <f>ROUND(Q63,0)</f>
        <v>0</v>
      </c>
      <c r="G748" s="275">
        <f>ROUND(Q64,0)</f>
        <v>22825</v>
      </c>
      <c r="H748" s="275">
        <f>ROUND(Q65,0)</f>
        <v>0</v>
      </c>
      <c r="I748" s="275">
        <f>ROUND(Q66,0)</f>
        <v>405</v>
      </c>
      <c r="J748" s="275">
        <f>ROUND(Q67,0)</f>
        <v>67680</v>
      </c>
      <c r="K748" s="275">
        <f>ROUND(Q68,0)</f>
        <v>379</v>
      </c>
      <c r="L748" s="275">
        <f>ROUND(Q69,0)</f>
        <v>562</v>
      </c>
      <c r="M748" s="275">
        <f>ROUND(Q70,0)</f>
        <v>0</v>
      </c>
      <c r="N748" s="275">
        <f>ROUND(Q75,0)</f>
        <v>3146497</v>
      </c>
      <c r="O748" s="275">
        <f>ROUND(Q73,0)</f>
        <v>1142318</v>
      </c>
      <c r="P748" s="275">
        <f>IF(Q76&gt;0,ROUND(Q76,0),0)</f>
        <v>3360</v>
      </c>
      <c r="Q748" s="275">
        <f>IF(Q77&gt;0,ROUND(Q77,0),0)</f>
        <v>0</v>
      </c>
      <c r="R748" s="275">
        <f>IF(Q78&gt;0,ROUND(Q78,0),0)</f>
        <v>451</v>
      </c>
      <c r="S748" s="275">
        <f>IF(Q79&gt;0,ROUND(Q79,0),0)</f>
        <v>0</v>
      </c>
      <c r="T748" s="277">
        <f>IF(Q80&gt;0,ROUND(Q80,2),0)</f>
        <v>6</v>
      </c>
      <c r="U748" s="275"/>
      <c r="V748" s="276"/>
      <c r="W748" s="275"/>
      <c r="X748" s="275"/>
      <c r="Y748" s="275">
        <f t="shared" si="25"/>
        <v>514516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039*2017*7040*A</v>
      </c>
      <c r="B749" s="275">
        <f>ROUND(R59,0)</f>
        <v>0</v>
      </c>
      <c r="C749" s="277">
        <f>ROUND(R60,2)</f>
        <v>2</v>
      </c>
      <c r="D749" s="275">
        <f>ROUND(R61,0)</f>
        <v>154550</v>
      </c>
      <c r="E749" s="275">
        <f>ROUND(R62,0)</f>
        <v>38105</v>
      </c>
      <c r="F749" s="275">
        <f>ROUND(R63,0)</f>
        <v>0</v>
      </c>
      <c r="G749" s="275">
        <f>ROUND(R64,0)</f>
        <v>297023</v>
      </c>
      <c r="H749" s="275">
        <f>ROUND(R65,0)</f>
        <v>0</v>
      </c>
      <c r="I749" s="275">
        <f>ROUND(R66,0)</f>
        <v>920</v>
      </c>
      <c r="J749" s="275">
        <f>ROUND(R67,0)</f>
        <v>12609</v>
      </c>
      <c r="K749" s="275">
        <f>ROUND(R68,0)</f>
        <v>0</v>
      </c>
      <c r="L749" s="275">
        <f>ROUND(R69,0)</f>
        <v>187</v>
      </c>
      <c r="M749" s="275">
        <f>ROUND(R70,0)</f>
        <v>0</v>
      </c>
      <c r="N749" s="275">
        <f>ROUND(R75,0)</f>
        <v>9257382</v>
      </c>
      <c r="O749" s="275">
        <f>ROUND(R73,0)</f>
        <v>3503717</v>
      </c>
      <c r="P749" s="275">
        <f>IF(R76&gt;0,ROUND(R76,0),0)</f>
        <v>626</v>
      </c>
      <c r="Q749" s="275">
        <f>IF(R77&gt;0,ROUND(R77,0),0)</f>
        <v>0</v>
      </c>
      <c r="R749" s="275">
        <f>IF(R78&gt;0,ROUND(R78,0),0)</f>
        <v>84</v>
      </c>
      <c r="S749" s="275">
        <f>IF(R79&gt;0,ROUND(R79,0),0)</f>
        <v>0</v>
      </c>
      <c r="T749" s="277">
        <f>IF(R80&gt;0,ROUND(R80,2),0)</f>
        <v>1</v>
      </c>
      <c r="U749" s="275"/>
      <c r="V749" s="276"/>
      <c r="W749" s="275"/>
      <c r="X749" s="275"/>
      <c r="Y749" s="275">
        <f t="shared" si="25"/>
        <v>478616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039*2017*7050*A</v>
      </c>
      <c r="B750" s="275"/>
      <c r="C750" s="277">
        <f>ROUND(S60,2)</f>
        <v>7</v>
      </c>
      <c r="D750" s="275">
        <f>ROUND(S61,0)</f>
        <v>291906</v>
      </c>
      <c r="E750" s="275">
        <f>ROUND(S62,0)</f>
        <v>71970</v>
      </c>
      <c r="F750" s="275">
        <f>ROUND(S63,0)</f>
        <v>0</v>
      </c>
      <c r="G750" s="275">
        <f>ROUND(S64,0)</f>
        <v>652470</v>
      </c>
      <c r="H750" s="275">
        <f>ROUND(S65,0)</f>
        <v>0</v>
      </c>
      <c r="I750" s="275">
        <f>ROUND(S66,0)</f>
        <v>132712</v>
      </c>
      <c r="J750" s="275">
        <f>ROUND(S67,0)</f>
        <v>97995</v>
      </c>
      <c r="K750" s="275">
        <f>ROUND(S68,0)</f>
        <v>6040</v>
      </c>
      <c r="L750" s="275">
        <f>ROUND(S69,0)</f>
        <v>210</v>
      </c>
      <c r="M750" s="275">
        <f>ROUND(S70,0)</f>
        <v>0</v>
      </c>
      <c r="N750" s="275">
        <f>ROUND(S75,0)</f>
        <v>9099791</v>
      </c>
      <c r="O750" s="275">
        <f>ROUND(S73,0)</f>
        <v>4557295</v>
      </c>
      <c r="P750" s="275">
        <f>IF(S76&gt;0,ROUND(S76,0),0)</f>
        <v>4865</v>
      </c>
      <c r="Q750" s="275">
        <f>IF(S77&gt;0,ROUND(S77,0),0)</f>
        <v>0</v>
      </c>
      <c r="R750" s="275">
        <f>IF(S78&gt;0,ROUND(S78,0),0)</f>
        <v>653</v>
      </c>
      <c r="S750" s="275">
        <f>IF(S79&gt;0,ROUND(S79,0),0)</f>
        <v>12866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5"/>
        <v>806861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039*2017*7060*A</v>
      </c>
      <c r="B751" s="275"/>
      <c r="C751" s="277">
        <f>ROUND(T60,2)</f>
        <v>0</v>
      </c>
      <c r="D751" s="275">
        <f>ROUND(T61,0)</f>
        <v>163</v>
      </c>
      <c r="E751" s="275">
        <f>ROUND(T62,0)</f>
        <v>40</v>
      </c>
      <c r="F751" s="275">
        <f>ROUND(T63,0)</f>
        <v>0</v>
      </c>
      <c r="G751" s="275">
        <f>ROUND(T64,0)</f>
        <v>1084464</v>
      </c>
      <c r="H751" s="275">
        <f>ROUND(T65,0)</f>
        <v>0</v>
      </c>
      <c r="I751" s="275">
        <f>ROUND(T66,0)</f>
        <v>7680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10131510</v>
      </c>
      <c r="O751" s="275">
        <f>ROUND(T73,0)</f>
        <v>4515781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5"/>
        <v>540371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039*2017*7070*A</v>
      </c>
      <c r="B752" s="275">
        <f>ROUND(U59,0)</f>
        <v>445324</v>
      </c>
      <c r="C752" s="277">
        <f>ROUND(U60,2)</f>
        <v>28.75</v>
      </c>
      <c r="D752" s="275">
        <f>ROUND(U61,0)</f>
        <v>1781969</v>
      </c>
      <c r="E752" s="275">
        <f>ROUND(U62,0)</f>
        <v>439350</v>
      </c>
      <c r="F752" s="275">
        <f>ROUND(U63,0)</f>
        <v>459328</v>
      </c>
      <c r="G752" s="275">
        <f>ROUND(U64,0)</f>
        <v>1886962</v>
      </c>
      <c r="H752" s="275">
        <f>ROUND(U65,0)</f>
        <v>0</v>
      </c>
      <c r="I752" s="275">
        <f>ROUND(U66,0)</f>
        <v>1328509</v>
      </c>
      <c r="J752" s="275">
        <f>ROUND(U67,0)</f>
        <v>312657</v>
      </c>
      <c r="K752" s="275">
        <f>ROUND(U68,0)</f>
        <v>176713</v>
      </c>
      <c r="L752" s="275">
        <f>ROUND(U69,0)</f>
        <v>183</v>
      </c>
      <c r="M752" s="275">
        <f>ROUND(U70,0)</f>
        <v>94360</v>
      </c>
      <c r="N752" s="275">
        <f>ROUND(U75,0)</f>
        <v>41811233</v>
      </c>
      <c r="O752" s="275">
        <f>ROUND(U73,0)</f>
        <v>21950511</v>
      </c>
      <c r="P752" s="275">
        <f>IF(U76&gt;0,ROUND(U76,0),0)</f>
        <v>15522</v>
      </c>
      <c r="Q752" s="275">
        <f>IF(U77&gt;0,ROUND(U77,0),0)</f>
        <v>0</v>
      </c>
      <c r="R752" s="275">
        <f>IF(U78&gt;0,ROUND(U78,0),0)</f>
        <v>2084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5"/>
        <v>3286026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039*2017*7110*A</v>
      </c>
      <c r="B753" s="275">
        <f>ROUND(V59,0)</f>
        <v>794</v>
      </c>
      <c r="C753" s="277">
        <f>ROUND(V60,2)</f>
        <v>1</v>
      </c>
      <c r="D753" s="275">
        <f>ROUND(V61,0)</f>
        <v>69336</v>
      </c>
      <c r="E753" s="275">
        <f>ROUND(V62,0)</f>
        <v>17095</v>
      </c>
      <c r="F753" s="275">
        <f>ROUND(V63,0)</f>
        <v>36400</v>
      </c>
      <c r="G753" s="275">
        <f>ROUND(V64,0)</f>
        <v>2922</v>
      </c>
      <c r="H753" s="275">
        <f>ROUND(V65,0)</f>
        <v>0</v>
      </c>
      <c r="I753" s="275">
        <f>ROUND(V66,0)</f>
        <v>1400</v>
      </c>
      <c r="J753" s="275">
        <f>ROUND(V67,0)</f>
        <v>5499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710664</v>
      </c>
      <c r="O753" s="275">
        <f>ROUND(V73,0)</f>
        <v>173500</v>
      </c>
      <c r="P753" s="275">
        <f>IF(V76&gt;0,ROUND(V76,0),0)</f>
        <v>273</v>
      </c>
      <c r="Q753" s="275">
        <f>IF(V77&gt;0,ROUND(V77,0),0)</f>
        <v>0</v>
      </c>
      <c r="R753" s="275">
        <f>IF(V78&gt;0,ROUND(V78,0),0)</f>
        <v>37</v>
      </c>
      <c r="S753" s="275">
        <f>IF(V79&gt;0,ROUND(V79,0),0)</f>
        <v>277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5"/>
        <v>60139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039*2017*7120*A</v>
      </c>
      <c r="B754" s="275">
        <f>ROUND(W59,0)</f>
        <v>3286</v>
      </c>
      <c r="C754" s="277">
        <f>ROUND(W60,2)</f>
        <v>3</v>
      </c>
      <c r="D754" s="275">
        <f>ROUND(W61,0)</f>
        <v>334681</v>
      </c>
      <c r="E754" s="275">
        <f>ROUND(W62,0)</f>
        <v>82517</v>
      </c>
      <c r="F754" s="275">
        <f>ROUND(W63,0)</f>
        <v>0</v>
      </c>
      <c r="G754" s="275">
        <f>ROUND(W64,0)</f>
        <v>8896</v>
      </c>
      <c r="H754" s="275">
        <f>ROUND(W65,0)</f>
        <v>0</v>
      </c>
      <c r="I754" s="275">
        <f>ROUND(W66,0)</f>
        <v>40373</v>
      </c>
      <c r="J754" s="275">
        <f>ROUND(W67,0)</f>
        <v>128330</v>
      </c>
      <c r="K754" s="275">
        <f>ROUND(W68,0)</f>
        <v>218</v>
      </c>
      <c r="L754" s="275">
        <f>ROUND(W69,0)</f>
        <v>0</v>
      </c>
      <c r="M754" s="275">
        <f>ROUND(W70,0)</f>
        <v>0</v>
      </c>
      <c r="N754" s="275">
        <f>ROUND(W75,0)</f>
        <v>10570598</v>
      </c>
      <c r="O754" s="275">
        <f>ROUND(W73,0)</f>
        <v>1469081</v>
      </c>
      <c r="P754" s="275">
        <f>IF(W76&gt;0,ROUND(W76,0),0)</f>
        <v>6371</v>
      </c>
      <c r="Q754" s="275">
        <f>IF(W77&gt;0,ROUND(W77,0),0)</f>
        <v>0</v>
      </c>
      <c r="R754" s="275">
        <f>IF(W78&gt;0,ROUND(W78,0),0)</f>
        <v>855</v>
      </c>
      <c r="S754" s="275">
        <f>IF(W79&gt;0,ROUND(W79,0),0)</f>
        <v>2121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5"/>
        <v>834274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039*2017*7130*A</v>
      </c>
      <c r="B755" s="275">
        <f>ROUND(X59,0)</f>
        <v>12179</v>
      </c>
      <c r="C755" s="277">
        <f>ROUND(X60,2)</f>
        <v>5</v>
      </c>
      <c r="D755" s="275">
        <f>ROUND(X61,0)</f>
        <v>547034</v>
      </c>
      <c r="E755" s="275">
        <f>ROUND(X62,0)</f>
        <v>134873</v>
      </c>
      <c r="F755" s="275">
        <f>ROUND(X63,0)</f>
        <v>0</v>
      </c>
      <c r="G755" s="275">
        <f>ROUND(X64,0)</f>
        <v>275845</v>
      </c>
      <c r="H755" s="275">
        <f>ROUND(X65,0)</f>
        <v>0</v>
      </c>
      <c r="I755" s="275">
        <f>ROUND(X66,0)</f>
        <v>33756</v>
      </c>
      <c r="J755" s="275">
        <f>ROUND(X67,0)</f>
        <v>73622</v>
      </c>
      <c r="K755" s="275">
        <f>ROUND(X68,0)</f>
        <v>257693</v>
      </c>
      <c r="L755" s="275">
        <f>ROUND(X69,0)</f>
        <v>0</v>
      </c>
      <c r="M755" s="275">
        <f>ROUND(X70,0)</f>
        <v>0</v>
      </c>
      <c r="N755" s="275">
        <f>ROUND(X75,0)</f>
        <v>37627231</v>
      </c>
      <c r="O755" s="275">
        <f>ROUND(X73,0)</f>
        <v>8071295</v>
      </c>
      <c r="P755" s="275">
        <f>IF(X76&gt;0,ROUND(X76,0),0)</f>
        <v>3655</v>
      </c>
      <c r="Q755" s="275">
        <f>IF(X77&gt;0,ROUND(X77,0),0)</f>
        <v>0</v>
      </c>
      <c r="R755" s="275">
        <f>IF(X78&gt;0,ROUND(X78,0),0)</f>
        <v>491</v>
      </c>
      <c r="S755" s="275">
        <f>IF(X79&gt;0,ROUND(X79,0),0)</f>
        <v>7327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5"/>
        <v>1827099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039*2017*7140*A</v>
      </c>
      <c r="B756" s="275">
        <f>ROUND(Y59,0)</f>
        <v>66506</v>
      </c>
      <c r="C756" s="277">
        <f>ROUND(Y60,2)</f>
        <v>38</v>
      </c>
      <c r="D756" s="275">
        <f>ROUND(Y61,0)</f>
        <v>2988928</v>
      </c>
      <c r="E756" s="275">
        <f>ROUND(Y62,0)</f>
        <v>736929</v>
      </c>
      <c r="F756" s="275">
        <f>ROUND(Y63,0)</f>
        <v>1939692</v>
      </c>
      <c r="G756" s="275">
        <f>ROUND(Y64,0)</f>
        <v>1024276</v>
      </c>
      <c r="H756" s="275">
        <f>ROUND(Y65,0)</f>
        <v>0</v>
      </c>
      <c r="I756" s="275">
        <f>ROUND(Y66,0)</f>
        <v>2812545</v>
      </c>
      <c r="J756" s="275">
        <f>ROUND(Y67,0)</f>
        <v>498415</v>
      </c>
      <c r="K756" s="275">
        <f>ROUND(Y68,0)</f>
        <v>19057</v>
      </c>
      <c r="L756" s="275">
        <f>ROUND(Y69,0)</f>
        <v>9105</v>
      </c>
      <c r="M756" s="275">
        <f>ROUND(Y70,0)</f>
        <v>0</v>
      </c>
      <c r="N756" s="275">
        <f>ROUND(Y75,0)</f>
        <v>41730187</v>
      </c>
      <c r="O756" s="275">
        <f>ROUND(Y73,0)</f>
        <v>11833388</v>
      </c>
      <c r="P756" s="275">
        <f>IF(Y76&gt;0,ROUND(Y76,0),0)</f>
        <v>24744</v>
      </c>
      <c r="Q756" s="275">
        <f>IF(Y77&gt;0,ROUND(Y77,0),0)</f>
        <v>0</v>
      </c>
      <c r="R756" s="275">
        <f>IF(Y78&gt;0,ROUND(Y78,0),0)</f>
        <v>3322</v>
      </c>
      <c r="S756" s="275">
        <f>IF(Y79&gt;0,ROUND(Y79,0),0)</f>
        <v>60480</v>
      </c>
      <c r="T756" s="277">
        <f>IF(Y80&gt;0,ROUND(Y80,2),0)</f>
        <v>2.2999999999999998</v>
      </c>
      <c r="U756" s="275"/>
      <c r="V756" s="276"/>
      <c r="W756" s="275"/>
      <c r="X756" s="275"/>
      <c r="Y756" s="275">
        <f t="shared" si="25"/>
        <v>4244157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039*2017*7150*A</v>
      </c>
      <c r="B757" s="275">
        <f>ROUND(Z59,0)</f>
        <v>0</v>
      </c>
      <c r="C757" s="277">
        <f>ROUND(Z60,2)</f>
        <v>0</v>
      </c>
      <c r="D757" s="275">
        <f>ROUND(Z61,0)</f>
        <v>230</v>
      </c>
      <c r="E757" s="275">
        <f>ROUND(Z62,0)</f>
        <v>57</v>
      </c>
      <c r="F757" s="275">
        <f>ROUND(Z63,0)</f>
        <v>0</v>
      </c>
      <c r="G757" s="275">
        <f>ROUND(Z64,0)</f>
        <v>7285268</v>
      </c>
      <c r="H757" s="275">
        <f>ROUND(Z65,0)</f>
        <v>0</v>
      </c>
      <c r="I757" s="275">
        <f>ROUND(Z66,0)</f>
        <v>419</v>
      </c>
      <c r="J757" s="275">
        <f>ROUND(Z67,0)</f>
        <v>0</v>
      </c>
      <c r="K757" s="275">
        <f>ROUND(Z68,0)</f>
        <v>0</v>
      </c>
      <c r="L757" s="275">
        <f>ROUND(Z69,0)</f>
        <v>620</v>
      </c>
      <c r="M757" s="275">
        <f>ROUND(Z70,0)</f>
        <v>0</v>
      </c>
      <c r="N757" s="275">
        <f>ROUND(Z75,0)</f>
        <v>42279175</v>
      </c>
      <c r="O757" s="275">
        <f>ROUND(Z73,0)</f>
        <v>1273703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5"/>
        <v>2625080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039*2017*7160*A</v>
      </c>
      <c r="B758" s="275">
        <f>ROUND(AA59,0)</f>
        <v>1503</v>
      </c>
      <c r="C758" s="277">
        <f>ROUND(AA60,2)</f>
        <v>4</v>
      </c>
      <c r="D758" s="275">
        <f>ROUND(AA61,0)</f>
        <v>335468</v>
      </c>
      <c r="E758" s="275">
        <f>ROUND(AA62,0)</f>
        <v>82711</v>
      </c>
      <c r="F758" s="275">
        <f>ROUND(AA63,0)</f>
        <v>0</v>
      </c>
      <c r="G758" s="275">
        <f>ROUND(AA64,0)</f>
        <v>325996</v>
      </c>
      <c r="H758" s="275">
        <f>ROUND(AA65,0)</f>
        <v>0</v>
      </c>
      <c r="I758" s="275">
        <f>ROUND(AA66,0)</f>
        <v>20681</v>
      </c>
      <c r="J758" s="275">
        <f>ROUND(AA67,0)</f>
        <v>127847</v>
      </c>
      <c r="K758" s="275">
        <f>ROUND(AA68,0)</f>
        <v>1225</v>
      </c>
      <c r="L758" s="275">
        <f>ROUND(AA69,0)</f>
        <v>35</v>
      </c>
      <c r="M758" s="275">
        <f>ROUND(AA70,0)</f>
        <v>0</v>
      </c>
      <c r="N758" s="275">
        <f>ROUND(AA75,0)</f>
        <v>5524705</v>
      </c>
      <c r="O758" s="275">
        <f>ROUND(AA73,0)</f>
        <v>597851</v>
      </c>
      <c r="P758" s="275">
        <f>IF(AA76&gt;0,ROUND(AA76,0),0)</f>
        <v>6347</v>
      </c>
      <c r="Q758" s="275">
        <f>IF(AA77&gt;0,ROUND(AA77,0),0)</f>
        <v>0</v>
      </c>
      <c r="R758" s="275">
        <f>IF(AA78&gt;0,ROUND(AA78,0),0)</f>
        <v>852</v>
      </c>
      <c r="S758" s="275">
        <f>IF(AA79&gt;0,ROUND(AA79,0),0)</f>
        <v>14396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5"/>
        <v>691046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039*2017*7170*A</v>
      </c>
      <c r="B759" s="275"/>
      <c r="C759" s="277">
        <f>ROUND(AB60,2)</f>
        <v>17.350000000000001</v>
      </c>
      <c r="D759" s="275">
        <f>ROUND(AB61,0)</f>
        <v>1872785</v>
      </c>
      <c r="E759" s="275">
        <f>ROUND(AB62,0)</f>
        <v>461741</v>
      </c>
      <c r="F759" s="275">
        <f>ROUND(AB63,0)</f>
        <v>0</v>
      </c>
      <c r="G759" s="275">
        <f>ROUND(AB64,0)</f>
        <v>4659770</v>
      </c>
      <c r="H759" s="275">
        <f>ROUND(AB65,0)</f>
        <v>0</v>
      </c>
      <c r="I759" s="275">
        <f>ROUND(AB66,0)</f>
        <v>377296</v>
      </c>
      <c r="J759" s="275">
        <f>ROUND(AB67,0)</f>
        <v>151716</v>
      </c>
      <c r="K759" s="275">
        <f>ROUND(AB68,0)</f>
        <v>73898</v>
      </c>
      <c r="L759" s="275">
        <f>ROUND(AB69,0)</f>
        <v>4959</v>
      </c>
      <c r="M759" s="275">
        <f>ROUND(AB70,0)</f>
        <v>3357523</v>
      </c>
      <c r="N759" s="275">
        <f>ROUND(AB75,0)</f>
        <v>38462419</v>
      </c>
      <c r="O759" s="275">
        <f>ROUND(AB73,0)</f>
        <v>22476157</v>
      </c>
      <c r="P759" s="275">
        <f>IF(AB76&gt;0,ROUND(AB76,0),0)</f>
        <v>7532</v>
      </c>
      <c r="Q759" s="275">
        <f>IF(AB77&gt;0,ROUND(AB77,0),0)</f>
        <v>0</v>
      </c>
      <c r="R759" s="275">
        <f>IF(AB78&gt;0,ROUND(AB78,0),0)</f>
        <v>1011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5"/>
        <v>2569766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039*2017*7180*A</v>
      </c>
      <c r="B760" s="275">
        <f>ROUND(AC59,0)</f>
        <v>49974</v>
      </c>
      <c r="C760" s="277">
        <f>ROUND(AC60,2)</f>
        <v>15.6</v>
      </c>
      <c r="D760" s="275">
        <f>ROUND(AC61,0)</f>
        <v>1284444</v>
      </c>
      <c r="E760" s="275">
        <f>ROUND(AC62,0)</f>
        <v>316683</v>
      </c>
      <c r="F760" s="275">
        <f>ROUND(AC63,0)</f>
        <v>38929</v>
      </c>
      <c r="G760" s="275">
        <f>ROUND(AC64,0)</f>
        <v>222332</v>
      </c>
      <c r="H760" s="275">
        <f>ROUND(AC65,0)</f>
        <v>828</v>
      </c>
      <c r="I760" s="275">
        <f>ROUND(AC66,0)</f>
        <v>1412</v>
      </c>
      <c r="J760" s="275">
        <f>ROUND(AC67,0)</f>
        <v>96585</v>
      </c>
      <c r="K760" s="275">
        <f>ROUND(AC68,0)</f>
        <v>27871</v>
      </c>
      <c r="L760" s="275">
        <f>ROUND(AC69,0)</f>
        <v>0</v>
      </c>
      <c r="M760" s="275">
        <f>ROUND(AC70,0)</f>
        <v>0</v>
      </c>
      <c r="N760" s="275">
        <f>ROUND(AC75,0)</f>
        <v>14208081</v>
      </c>
      <c r="O760" s="275">
        <f>ROUND(AC73,0)</f>
        <v>9111984</v>
      </c>
      <c r="P760" s="275">
        <f>IF(AC76&gt;0,ROUND(AC76,0),0)</f>
        <v>4795</v>
      </c>
      <c r="Q760" s="275">
        <f>IF(AC77&gt;0,ROUND(AC77,0),0)</f>
        <v>0</v>
      </c>
      <c r="R760" s="275">
        <f>IF(AC78&gt;0,ROUND(AC78,0),0)</f>
        <v>644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5"/>
        <v>1084537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039*2017*7190*A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5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039*2017*7200*A</v>
      </c>
      <c r="B762" s="275">
        <f>ROUND(AE59,0)</f>
        <v>32011</v>
      </c>
      <c r="C762" s="277">
        <f>ROUND(AE60,2)</f>
        <v>10.55</v>
      </c>
      <c r="D762" s="275">
        <f>ROUND(AE61,0)</f>
        <v>973875</v>
      </c>
      <c r="E762" s="275">
        <f>ROUND(AE62,0)</f>
        <v>240112</v>
      </c>
      <c r="F762" s="275">
        <f>ROUND(AE63,0)</f>
        <v>0</v>
      </c>
      <c r="G762" s="275">
        <f>ROUND(AE64,0)</f>
        <v>15060</v>
      </c>
      <c r="H762" s="275">
        <f>ROUND(AE65,0)</f>
        <v>828</v>
      </c>
      <c r="I762" s="275">
        <f>ROUND(AE66,0)</f>
        <v>9541</v>
      </c>
      <c r="J762" s="275">
        <f>ROUND(AE67,0)</f>
        <v>164225</v>
      </c>
      <c r="K762" s="275">
        <f>ROUND(AE68,0)</f>
        <v>2767</v>
      </c>
      <c r="L762" s="275">
        <f>ROUND(AE69,0)</f>
        <v>2917</v>
      </c>
      <c r="M762" s="275">
        <f>ROUND(AE70,0)</f>
        <v>0</v>
      </c>
      <c r="N762" s="275">
        <f>ROUND(AE75,0)</f>
        <v>3912320</v>
      </c>
      <c r="O762" s="275">
        <f>ROUND(AE73,0)</f>
        <v>1328781</v>
      </c>
      <c r="P762" s="275">
        <f>IF(AE76&gt;0,ROUND(AE76,0),0)</f>
        <v>8153</v>
      </c>
      <c r="Q762" s="275">
        <f>IF(AE77&gt;0,ROUND(AE77,0),0)</f>
        <v>0</v>
      </c>
      <c r="R762" s="275">
        <f>IF(AE78&gt;0,ROUND(AE78,0),0)</f>
        <v>1094</v>
      </c>
      <c r="S762" s="275">
        <f>IF(AE79&gt;0,ROUND(AE79,0),0)</f>
        <v>20392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5"/>
        <v>798826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039*2017*7220*A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5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039*2017*7230*A</v>
      </c>
      <c r="B764" s="275">
        <f>ROUND(AG59,0)</f>
        <v>29126</v>
      </c>
      <c r="C764" s="277">
        <f>ROUND(AG60,2)</f>
        <v>44.4</v>
      </c>
      <c r="D764" s="275">
        <f>ROUND(AG61,0)</f>
        <v>7109364</v>
      </c>
      <c r="E764" s="275">
        <f>ROUND(AG62,0)</f>
        <v>1752835</v>
      </c>
      <c r="F764" s="275">
        <f>ROUND(AG63,0)</f>
        <v>1144187</v>
      </c>
      <c r="G764" s="275">
        <f>ROUND(AG64,0)</f>
        <v>552914</v>
      </c>
      <c r="H764" s="275">
        <f>ROUND(AG65,0)</f>
        <v>10105</v>
      </c>
      <c r="I764" s="275">
        <f>ROUND(AG66,0)</f>
        <v>172318</v>
      </c>
      <c r="J764" s="275">
        <f>ROUND(AG67,0)</f>
        <v>252027</v>
      </c>
      <c r="K764" s="275">
        <f>ROUND(AG68,0)</f>
        <v>15062</v>
      </c>
      <c r="L764" s="275">
        <f>ROUND(AG69,0)</f>
        <v>60628</v>
      </c>
      <c r="M764" s="275">
        <f>ROUND(AG70,0)</f>
        <v>26609</v>
      </c>
      <c r="N764" s="275">
        <f>ROUND(AG75,0)</f>
        <v>46879581</v>
      </c>
      <c r="O764" s="275">
        <f>ROUND(AG73,0)</f>
        <v>17155959</v>
      </c>
      <c r="P764" s="275">
        <f>IF(AG76&gt;0,ROUND(AG76,0),0)</f>
        <v>12512</v>
      </c>
      <c r="Q764" s="275">
        <f>IF(AG77&gt;0,ROUND(AG77,0),0)</f>
        <v>475</v>
      </c>
      <c r="R764" s="275">
        <f>IF(AG78&gt;0,ROUND(AG78,0),0)</f>
        <v>1680</v>
      </c>
      <c r="S764" s="275">
        <f>IF(AG79&gt;0,ROUND(AG79,0),0)</f>
        <v>76634</v>
      </c>
      <c r="T764" s="277">
        <f>IF(AG80&gt;0,ROUND(AG80,2),0)</f>
        <v>21.3</v>
      </c>
      <c r="U764" s="275"/>
      <c r="V764" s="276"/>
      <c r="W764" s="275"/>
      <c r="X764" s="275"/>
      <c r="Y764" s="275">
        <f t="shared" si="25"/>
        <v>4200244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039*2017*7240*A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5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039*2017*7250*A</v>
      </c>
      <c r="B766" s="275">
        <f>ROUND(AI59,0)</f>
        <v>19924</v>
      </c>
      <c r="C766" s="277">
        <f>ROUND(AI60,2)</f>
        <v>21.83</v>
      </c>
      <c r="D766" s="275">
        <f>ROUND(AI61,0)</f>
        <v>1927440</v>
      </c>
      <c r="E766" s="275">
        <f>ROUND(AI62,0)</f>
        <v>475216</v>
      </c>
      <c r="F766" s="275">
        <f>ROUND(AI63,0)</f>
        <v>0</v>
      </c>
      <c r="G766" s="275">
        <f>ROUND(AI64,0)</f>
        <v>718542</v>
      </c>
      <c r="H766" s="275">
        <f>ROUND(AI65,0)</f>
        <v>0</v>
      </c>
      <c r="I766" s="275">
        <f>ROUND(AI66,0)</f>
        <v>6019</v>
      </c>
      <c r="J766" s="275">
        <f>ROUND(AI67,0)</f>
        <v>509775</v>
      </c>
      <c r="K766" s="275">
        <f>ROUND(AI68,0)</f>
        <v>7629</v>
      </c>
      <c r="L766" s="275">
        <f>ROUND(AI69,0)</f>
        <v>1311</v>
      </c>
      <c r="M766" s="275">
        <f>ROUND(AI70,0)</f>
        <v>0</v>
      </c>
      <c r="N766" s="275">
        <f>ROUND(AI75,0)</f>
        <v>9849214</v>
      </c>
      <c r="O766" s="275">
        <f>ROUND(AI73,0)</f>
        <v>91394</v>
      </c>
      <c r="P766" s="275">
        <f>IF(AI76&gt;0,ROUND(AI76,0),0)</f>
        <v>25308</v>
      </c>
      <c r="Q766" s="275">
        <f>IF(AI77&gt;0,ROUND(AI77,0),0)</f>
        <v>1377</v>
      </c>
      <c r="R766" s="275">
        <f>IF(AI78&gt;0,ROUND(AI78,0),0)</f>
        <v>3397</v>
      </c>
      <c r="S766" s="275">
        <f>IF(AI79&gt;0,ROUND(AI79,0),0)</f>
        <v>79001</v>
      </c>
      <c r="T766" s="277">
        <f>IF(AI80&gt;0,ROUND(AI80,2),0)</f>
        <v>17.13</v>
      </c>
      <c r="U766" s="275"/>
      <c r="V766" s="276"/>
      <c r="W766" s="275"/>
      <c r="X766" s="275"/>
      <c r="Y766" s="275">
        <f t="shared" si="25"/>
        <v>2596230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039*2017*7260*A</v>
      </c>
      <c r="B767" s="275">
        <f>ROUND(AJ59,0)</f>
        <v>10434</v>
      </c>
      <c r="C767" s="277">
        <f>ROUND(AJ60,2)</f>
        <v>15.9</v>
      </c>
      <c r="D767" s="275">
        <f>ROUND(AJ61,0)</f>
        <v>1170861</v>
      </c>
      <c r="E767" s="275">
        <f>ROUND(AJ62,0)</f>
        <v>288679</v>
      </c>
      <c r="F767" s="275">
        <f>ROUND(AJ63,0)</f>
        <v>364663</v>
      </c>
      <c r="G767" s="275">
        <f>ROUND(AJ64,0)</f>
        <v>240</v>
      </c>
      <c r="H767" s="275">
        <f>ROUND(AJ65,0)</f>
        <v>0</v>
      </c>
      <c r="I767" s="275">
        <f>ROUND(AJ66,0)</f>
        <v>84912</v>
      </c>
      <c r="J767" s="275">
        <f>ROUND(AJ67,0)</f>
        <v>183602</v>
      </c>
      <c r="K767" s="275">
        <f>ROUND(AJ68,0)</f>
        <v>9819</v>
      </c>
      <c r="L767" s="275">
        <f>ROUND(AJ69,0)</f>
        <v>3475</v>
      </c>
      <c r="M767" s="275">
        <f>ROUND(AJ70,0)</f>
        <v>0</v>
      </c>
      <c r="N767" s="275">
        <f>ROUND(AJ75,0)</f>
        <v>7597127</v>
      </c>
      <c r="O767" s="275">
        <f>ROUND(AJ73,0)</f>
        <v>409869</v>
      </c>
      <c r="P767" s="275">
        <f>IF(AJ76&gt;0,ROUND(AJ76,0),0)</f>
        <v>9115</v>
      </c>
      <c r="Q767" s="275">
        <f>IF(AJ77&gt;0,ROUND(AJ77,0),0)</f>
        <v>0</v>
      </c>
      <c r="R767" s="275">
        <f>IF(AJ78&gt;0,ROUND(AJ78,0),0)</f>
        <v>1224</v>
      </c>
      <c r="S767" s="275">
        <f>IF(AJ79&gt;0,ROUND(AJ79,0),0)</f>
        <v>30114</v>
      </c>
      <c r="T767" s="277">
        <f>IF(AJ80&gt;0,ROUND(AJ80,2),0)</f>
        <v>6.9</v>
      </c>
      <c r="U767" s="275"/>
      <c r="V767" s="276"/>
      <c r="W767" s="275"/>
      <c r="X767" s="275"/>
      <c r="Y767" s="275">
        <f t="shared" si="25"/>
        <v>1203725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039*2017*7310*A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5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039*2017*7320*A</v>
      </c>
      <c r="B769" s="275">
        <f>ROUND(AL59,0)</f>
        <v>5702</v>
      </c>
      <c r="C769" s="277">
        <f>ROUND(AL60,2)</f>
        <v>1.5</v>
      </c>
      <c r="D769" s="275">
        <f>ROUND(AL61,0)</f>
        <v>163537</v>
      </c>
      <c r="E769" s="275">
        <f>ROUND(AL62,0)</f>
        <v>40321</v>
      </c>
      <c r="F769" s="275">
        <f>ROUND(AL63,0)</f>
        <v>0</v>
      </c>
      <c r="G769" s="275">
        <f>ROUND(AL64,0)</f>
        <v>484</v>
      </c>
      <c r="H769" s="275">
        <f>ROUND(AL65,0)</f>
        <v>0</v>
      </c>
      <c r="I769" s="275">
        <f>ROUND(AL66,0)</f>
        <v>162</v>
      </c>
      <c r="J769" s="275">
        <f>ROUND(AL67,0)</f>
        <v>4029</v>
      </c>
      <c r="K769" s="275">
        <f>ROUND(AL68,0)</f>
        <v>0</v>
      </c>
      <c r="L769" s="275">
        <f>ROUND(AL69,0)</f>
        <v>3390</v>
      </c>
      <c r="M769" s="275">
        <f>ROUND(AL70,0)</f>
        <v>0</v>
      </c>
      <c r="N769" s="275">
        <f>ROUND(AL75,0)</f>
        <v>883865</v>
      </c>
      <c r="O769" s="275">
        <f>ROUND(AL73,0)</f>
        <v>290074</v>
      </c>
      <c r="P769" s="275">
        <f>IF(AL76&gt;0,ROUND(AL76,0),0)</f>
        <v>200</v>
      </c>
      <c r="Q769" s="275">
        <f>IF(AL77&gt;0,ROUND(AL77,0),0)</f>
        <v>0</v>
      </c>
      <c r="R769" s="275">
        <f>IF(AL78&gt;0,ROUND(AL78,0),0)</f>
        <v>27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5"/>
        <v>72421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039*2017*7330*A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5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039*2017*7340*A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5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039*2017*7350*A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5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039*2017*7380*A</v>
      </c>
      <c r="B773" s="275">
        <f>ROUND(AP59,0)</f>
        <v>206548</v>
      </c>
      <c r="C773" s="277">
        <f>ROUND(AP60,2)</f>
        <v>212.98</v>
      </c>
      <c r="D773" s="275">
        <f>ROUND(AP61,0)</f>
        <v>27066300</v>
      </c>
      <c r="E773" s="275">
        <f>ROUND(AP62,0)</f>
        <v>6673276</v>
      </c>
      <c r="F773" s="275">
        <f>ROUND(AP63,0)</f>
        <v>1282439</v>
      </c>
      <c r="G773" s="275">
        <f>ROUND(AP64,0)</f>
        <v>2236209</v>
      </c>
      <c r="H773" s="275">
        <f>ROUND(AP65,0)</f>
        <v>398110</v>
      </c>
      <c r="I773" s="275">
        <f>ROUND(AP66,0)</f>
        <v>2420691</v>
      </c>
      <c r="J773" s="275">
        <f>ROUND(AP67,0)</f>
        <v>2855351</v>
      </c>
      <c r="K773" s="275">
        <f>ROUND(AP68,0)</f>
        <v>1569721</v>
      </c>
      <c r="L773" s="275">
        <f>ROUND(AP69,0)</f>
        <v>311418</v>
      </c>
      <c r="M773" s="275">
        <f>ROUND(AP70,0)</f>
        <v>932382</v>
      </c>
      <c r="N773" s="275">
        <f>ROUND(AP75,0)</f>
        <v>61910598</v>
      </c>
      <c r="O773" s="275">
        <f>ROUND(AP73,0)</f>
        <v>0</v>
      </c>
      <c r="P773" s="275">
        <f>IF(AP76&gt;0,ROUND(AP76,0),0)</f>
        <v>141755</v>
      </c>
      <c r="Q773" s="275">
        <f>IF(AP77&gt;0,ROUND(AP77,0),0)</f>
        <v>0</v>
      </c>
      <c r="R773" s="275">
        <f>IF(AP78&gt;0,ROUND(AP78,0),0)</f>
        <v>19030</v>
      </c>
      <c r="S773" s="275">
        <f>IF(AP79&gt;0,ROUND(AP79,0),0)</f>
        <v>0</v>
      </c>
      <c r="T773" s="277">
        <f>IF(AP80&gt;0,ROUND(AP80,2),0)</f>
        <v>0.9</v>
      </c>
      <c r="U773" s="275"/>
      <c r="V773" s="276"/>
      <c r="W773" s="275"/>
      <c r="X773" s="275"/>
      <c r="Y773" s="275">
        <f t="shared" si="25"/>
        <v>15518720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039*2017*7390*A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5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039*2017*7400*A</v>
      </c>
      <c r="B775" s="275">
        <f>ROUND(AR59,0)</f>
        <v>12874</v>
      </c>
      <c r="C775" s="277">
        <f>ROUND(AR60,2)</f>
        <v>18.2</v>
      </c>
      <c r="D775" s="275">
        <f>ROUND(AR61,0)</f>
        <v>1833443</v>
      </c>
      <c r="E775" s="275">
        <f>ROUND(AR62,0)</f>
        <v>452041</v>
      </c>
      <c r="F775" s="275">
        <f>ROUND(AR63,0)</f>
        <v>7464</v>
      </c>
      <c r="G775" s="275">
        <f>ROUND(AR64,0)</f>
        <v>67359</v>
      </c>
      <c r="H775" s="275">
        <f>ROUND(AR65,0)</f>
        <v>10470</v>
      </c>
      <c r="I775" s="275">
        <f>ROUND(AR66,0)</f>
        <v>74578</v>
      </c>
      <c r="J775" s="275">
        <f>ROUND(AR67,0)</f>
        <v>85386</v>
      </c>
      <c r="K775" s="275">
        <f>ROUND(AR68,0)</f>
        <v>8169</v>
      </c>
      <c r="L775" s="275">
        <f>ROUND(AR69,0)</f>
        <v>80250</v>
      </c>
      <c r="M775" s="275">
        <f>ROUND(AR70,0)</f>
        <v>41</v>
      </c>
      <c r="N775" s="275">
        <f>ROUND(AR75,0)</f>
        <v>2445176</v>
      </c>
      <c r="O775" s="275">
        <f>ROUND(AR73,0)</f>
        <v>0</v>
      </c>
      <c r="P775" s="275">
        <f>IF(AR76&gt;0,ROUND(AR76,0),0)</f>
        <v>4239</v>
      </c>
      <c r="Q775" s="275">
        <f>IF(AR77&gt;0,ROUND(AR77,0),0)</f>
        <v>0</v>
      </c>
      <c r="R775" s="275">
        <f>IF(AR78&gt;0,ROUND(AR78,0),0)</f>
        <v>569</v>
      </c>
      <c r="S775" s="275">
        <f>IF(AR79&gt;0,ROUND(AR79,0),0)</f>
        <v>0</v>
      </c>
      <c r="T775" s="277">
        <f>IF(AR80&gt;0,ROUND(AR80,2),0)</f>
        <v>9.6</v>
      </c>
      <c r="U775" s="275"/>
      <c r="V775" s="276"/>
      <c r="W775" s="275"/>
      <c r="X775" s="275"/>
      <c r="Y775" s="275">
        <f t="shared" si="25"/>
        <v>820256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039*2017*7410*A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5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039*2017*7420*A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5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039*2017*7430*A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5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039*2017*7490*A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60834</v>
      </c>
      <c r="L779" s="275">
        <f>ROUND(AV69,0)</f>
        <v>14962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5"/>
        <v>7431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039*2017*8200*A</v>
      </c>
      <c r="B780" s="275"/>
      <c r="C780" s="277">
        <f>ROUND(AW60,2)</f>
        <v>32.700000000000003</v>
      </c>
      <c r="D780" s="275">
        <f>ROUND(AW61,0)</f>
        <v>2041297</v>
      </c>
      <c r="E780" s="275">
        <f>ROUND(AW62,0)</f>
        <v>503288</v>
      </c>
      <c r="F780" s="275">
        <f>ROUND(AW63,0)</f>
        <v>33600</v>
      </c>
      <c r="G780" s="275">
        <f>ROUND(AW64,0)</f>
        <v>58693</v>
      </c>
      <c r="H780" s="275">
        <f>ROUND(AW65,0)</f>
        <v>974</v>
      </c>
      <c r="I780" s="275">
        <f>ROUND(AW66,0)</f>
        <v>12377</v>
      </c>
      <c r="J780" s="275">
        <f>ROUND(AW67,0)</f>
        <v>40870</v>
      </c>
      <c r="K780" s="275">
        <f>ROUND(AW68,0)</f>
        <v>2531</v>
      </c>
      <c r="L780" s="275">
        <f>ROUND(AW69,0)</f>
        <v>46867</v>
      </c>
      <c r="M780" s="275">
        <f>ROUND(AW70,0)</f>
        <v>41250</v>
      </c>
      <c r="N780" s="275"/>
      <c r="O780" s="275"/>
      <c r="P780" s="275">
        <f>IF(AW76&gt;0,ROUND(AW76,0),0)</f>
        <v>2029</v>
      </c>
      <c r="Q780" s="275">
        <f>IF(AW77&gt;0,ROUND(AW77,0),0)</f>
        <v>0</v>
      </c>
      <c r="R780" s="275">
        <f>IF(AW78&gt;0,ROUND(AW78,0),0)</f>
        <v>272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039*2017*8310*A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039*2017*8320*A</v>
      </c>
      <c r="B782" s="275">
        <f>ROUND(AY59,0)</f>
        <v>378225</v>
      </c>
      <c r="C782" s="277">
        <f>ROUND(AY60,2)</f>
        <v>28.19</v>
      </c>
      <c r="D782" s="275">
        <f>ROUND(AY61,0)</f>
        <v>1228716</v>
      </c>
      <c r="E782" s="275">
        <f>ROUND(AY62,0)</f>
        <v>302944</v>
      </c>
      <c r="F782" s="275">
        <f>ROUND(AY63,0)</f>
        <v>108975</v>
      </c>
      <c r="G782" s="275">
        <f>ROUND(AY64,0)</f>
        <v>582880</v>
      </c>
      <c r="H782" s="275">
        <f>ROUND(AY65,0)</f>
        <v>0</v>
      </c>
      <c r="I782" s="275">
        <f>ROUND(AY66,0)</f>
        <v>51181</v>
      </c>
      <c r="J782" s="275">
        <f>ROUND(AY67,0)</f>
        <v>209466</v>
      </c>
      <c r="K782" s="275">
        <f>ROUND(AY68,0)</f>
        <v>6561</v>
      </c>
      <c r="L782" s="275">
        <f>ROUND(AY69,0)</f>
        <v>2875</v>
      </c>
      <c r="M782" s="275">
        <f>ROUND(AY70,0)</f>
        <v>634023</v>
      </c>
      <c r="N782" s="275"/>
      <c r="O782" s="275"/>
      <c r="P782" s="275">
        <f>IF(AY76&gt;0,ROUND(AY76,0),0)</f>
        <v>10399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039*2017*8330*A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324347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039*2017*8350*A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52123</v>
      </c>
      <c r="H784" s="275">
        <f>ROUND(BA65,0)</f>
        <v>0</v>
      </c>
      <c r="I784" s="275">
        <f>ROUND(BA66,0)</f>
        <v>271763</v>
      </c>
      <c r="J784" s="275">
        <f>ROUND(BA67,0)</f>
        <v>34444</v>
      </c>
      <c r="K784" s="275">
        <f>ROUND(BA68,0)</f>
        <v>0</v>
      </c>
      <c r="L784" s="275">
        <f>ROUND(BA69,0)</f>
        <v>0</v>
      </c>
      <c r="M784" s="275">
        <f>ROUND(BA70,0)</f>
        <v>31800</v>
      </c>
      <c r="N784" s="275"/>
      <c r="O784" s="275"/>
      <c r="P784" s="275">
        <f>IF(BA76&gt;0,ROUND(BA76,0),0)</f>
        <v>1710</v>
      </c>
      <c r="Q784" s="275">
        <f>IF(BA77&gt;0,ROUND(BA77,0),0)</f>
        <v>0</v>
      </c>
      <c r="R784" s="275">
        <f>IF(BA78&gt;0,ROUND(BA78,0),0)</f>
        <v>230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039*2017*8360*A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039*2017*8370*A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039*2017*8420*A</v>
      </c>
      <c r="B787" s="275"/>
      <c r="C787" s="277">
        <f>ROUND(BD60,2)</f>
        <v>8.9</v>
      </c>
      <c r="D787" s="275">
        <f>ROUND(BD61,0)</f>
        <v>405727</v>
      </c>
      <c r="E787" s="275">
        <f>ROUND(BD62,0)</f>
        <v>100033</v>
      </c>
      <c r="F787" s="275">
        <f>ROUND(BD63,0)</f>
        <v>0</v>
      </c>
      <c r="G787" s="275">
        <f>ROUND(BD64,0)</f>
        <v>-63510</v>
      </c>
      <c r="H787" s="275">
        <f>ROUND(BD65,0)</f>
        <v>25141</v>
      </c>
      <c r="I787" s="275">
        <f>ROUND(BD66,0)</f>
        <v>46648</v>
      </c>
      <c r="J787" s="275">
        <f>ROUND(BD67,0)</f>
        <v>159813</v>
      </c>
      <c r="K787" s="275">
        <f>ROUND(BD68,0)</f>
        <v>41671</v>
      </c>
      <c r="L787" s="275">
        <f>ROUND(BD69,0)</f>
        <v>254796</v>
      </c>
      <c r="M787" s="275">
        <f>ROUND(BD70,0)</f>
        <v>167027</v>
      </c>
      <c r="N787" s="275"/>
      <c r="O787" s="275"/>
      <c r="P787" s="275">
        <f>IF(BD76&gt;0,ROUND(BD76,0),0)</f>
        <v>7934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039*2017*8430*A</v>
      </c>
      <c r="B788" s="275">
        <f>ROUND(BE59,0)</f>
        <v>633750</v>
      </c>
      <c r="C788" s="277">
        <f>ROUND(BE60,2)</f>
        <v>9.4499999999999993</v>
      </c>
      <c r="D788" s="275">
        <f>ROUND(BE61,0)</f>
        <v>863436</v>
      </c>
      <c r="E788" s="275">
        <f>ROUND(BE62,0)</f>
        <v>212883</v>
      </c>
      <c r="F788" s="275">
        <f>ROUND(BE63,0)</f>
        <v>0</v>
      </c>
      <c r="G788" s="275">
        <f>ROUND(BE64,0)</f>
        <v>7235</v>
      </c>
      <c r="H788" s="275">
        <f>ROUND(BE65,0)</f>
        <v>1355531</v>
      </c>
      <c r="I788" s="275">
        <f>ROUND(BE66,0)</f>
        <v>1386283</v>
      </c>
      <c r="J788" s="275">
        <f>ROUND(BE67,0)</f>
        <v>944579</v>
      </c>
      <c r="K788" s="275">
        <f>ROUND(BE68,0)</f>
        <v>53561</v>
      </c>
      <c r="L788" s="275">
        <f>ROUND(BE69,0)</f>
        <v>15633</v>
      </c>
      <c r="M788" s="275">
        <f>ROUND(BE70,0)</f>
        <v>147</v>
      </c>
      <c r="N788" s="275"/>
      <c r="O788" s="275"/>
      <c r="P788" s="275">
        <f>IF(BE76&gt;0,ROUND(BE76,0),0)</f>
        <v>46894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039*2017*8460*A</v>
      </c>
      <c r="B789" s="275"/>
      <c r="C789" s="277">
        <f>ROUND(BF60,2)</f>
        <v>41.4</v>
      </c>
      <c r="D789" s="275">
        <f>ROUND(BF61,0)</f>
        <v>1625736</v>
      </c>
      <c r="E789" s="275">
        <f>ROUND(BF62,0)</f>
        <v>400830</v>
      </c>
      <c r="F789" s="275">
        <f>ROUND(BF63,0)</f>
        <v>0</v>
      </c>
      <c r="G789" s="275">
        <f>ROUND(BF64,0)</f>
        <v>134826</v>
      </c>
      <c r="H789" s="275">
        <f>ROUND(BF65,0)</f>
        <v>105058</v>
      </c>
      <c r="I789" s="275">
        <f>ROUND(BF66,0)</f>
        <v>71728</v>
      </c>
      <c r="J789" s="275">
        <f>ROUND(BF67,0)</f>
        <v>57931</v>
      </c>
      <c r="K789" s="275">
        <f>ROUND(BF68,0)</f>
        <v>675</v>
      </c>
      <c r="L789" s="275">
        <f>ROUND(BF69,0)</f>
        <v>4420</v>
      </c>
      <c r="M789" s="275">
        <f>ROUND(BF70,0)</f>
        <v>0</v>
      </c>
      <c r="N789" s="275"/>
      <c r="O789" s="275"/>
      <c r="P789" s="275">
        <f>IF(BF76&gt;0,ROUND(BF76,0),0)</f>
        <v>2876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039*2017*8470*A</v>
      </c>
      <c r="B790" s="275"/>
      <c r="C790" s="277">
        <f>ROUND(BG60,2)</f>
        <v>3</v>
      </c>
      <c r="D790" s="275">
        <f>ROUND(BG61,0)</f>
        <v>265752</v>
      </c>
      <c r="E790" s="275">
        <f>ROUND(BG62,0)</f>
        <v>65522</v>
      </c>
      <c r="F790" s="275">
        <f>ROUND(BG63,0)</f>
        <v>0</v>
      </c>
      <c r="G790" s="275">
        <f>ROUND(BG64,0)</f>
        <v>9482</v>
      </c>
      <c r="H790" s="275">
        <f>ROUND(BG65,0)</f>
        <v>2484</v>
      </c>
      <c r="I790" s="275">
        <f>ROUND(BG66,0)</f>
        <v>119728</v>
      </c>
      <c r="J790" s="275">
        <f>ROUND(BG67,0)</f>
        <v>66612</v>
      </c>
      <c r="K790" s="275">
        <f>ROUND(BG68,0)</f>
        <v>10</v>
      </c>
      <c r="L790" s="275">
        <f>ROUND(BG69,0)</f>
        <v>3839</v>
      </c>
      <c r="M790" s="275">
        <f>ROUND(BG70,0)</f>
        <v>120</v>
      </c>
      <c r="N790" s="275"/>
      <c r="O790" s="275"/>
      <c r="P790" s="275">
        <f>IF(BG76&gt;0,ROUND(BG76,0),0)</f>
        <v>3307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039*2017*8480*A</v>
      </c>
      <c r="B791" s="275"/>
      <c r="C791" s="277">
        <f>ROUND(BH60,2)</f>
        <v>19.600000000000001</v>
      </c>
      <c r="D791" s="275">
        <f>ROUND(BH61,0)</f>
        <v>1610116</v>
      </c>
      <c r="E791" s="275">
        <f>ROUND(BH62,0)</f>
        <v>396979</v>
      </c>
      <c r="F791" s="275">
        <f>ROUND(BH63,0)</f>
        <v>0</v>
      </c>
      <c r="G791" s="275">
        <f>ROUND(BH64,0)</f>
        <v>118122</v>
      </c>
      <c r="H791" s="275">
        <f>ROUND(BH65,0)</f>
        <v>412575</v>
      </c>
      <c r="I791" s="275">
        <f>ROUND(BH66,0)</f>
        <v>1603323</v>
      </c>
      <c r="J791" s="275">
        <f>ROUND(BH67,0)</f>
        <v>119931</v>
      </c>
      <c r="K791" s="275">
        <f>ROUND(BH68,0)</f>
        <v>3526</v>
      </c>
      <c r="L791" s="275">
        <f>ROUND(BH69,0)</f>
        <v>2878</v>
      </c>
      <c r="M791" s="275">
        <f>ROUND(BH70,0)</f>
        <v>6183</v>
      </c>
      <c r="N791" s="275"/>
      <c r="O791" s="275"/>
      <c r="P791" s="275">
        <f>IF(BH76&gt;0,ROUND(BH76,0),0)</f>
        <v>5954</v>
      </c>
      <c r="Q791" s="275">
        <f>IF(BH77&gt;0,ROUND(BH77,0),0)</f>
        <v>0</v>
      </c>
      <c r="R791" s="275">
        <f>IF(BH78&gt;0,ROUND(BH78,0),0)</f>
        <v>799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039*2017*8490*A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039*2017*8510*A</v>
      </c>
      <c r="B793" s="275"/>
      <c r="C793" s="277">
        <f>ROUND(BJ60,2)</f>
        <v>8</v>
      </c>
      <c r="D793" s="275">
        <f>ROUND(BJ61,0)</f>
        <v>510723</v>
      </c>
      <c r="E793" s="275">
        <f>ROUND(BJ62,0)</f>
        <v>125920</v>
      </c>
      <c r="F793" s="275">
        <f>ROUND(BJ63,0)</f>
        <v>93616</v>
      </c>
      <c r="G793" s="275">
        <f>ROUND(BJ64,0)</f>
        <v>4042</v>
      </c>
      <c r="H793" s="275">
        <f>ROUND(BJ65,0)</f>
        <v>9366</v>
      </c>
      <c r="I793" s="275">
        <f>ROUND(BJ66,0)</f>
        <v>240333</v>
      </c>
      <c r="J793" s="275">
        <f>ROUND(BJ67,0)</f>
        <v>48363</v>
      </c>
      <c r="K793" s="275">
        <f>ROUND(BJ68,0)</f>
        <v>2120</v>
      </c>
      <c r="L793" s="275">
        <f>ROUND(BJ69,0)</f>
        <v>986</v>
      </c>
      <c r="M793" s="275">
        <f>ROUND(BJ70,0)</f>
        <v>180</v>
      </c>
      <c r="N793" s="275"/>
      <c r="O793" s="275"/>
      <c r="P793" s="275">
        <f>IF(BJ76&gt;0,ROUND(BJ76,0),0)</f>
        <v>2401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039*2017*8530*A</v>
      </c>
      <c r="B794" s="275"/>
      <c r="C794" s="277">
        <f>ROUND(BK60,2)</f>
        <v>29.5</v>
      </c>
      <c r="D794" s="275">
        <f>ROUND(BK61,0)</f>
        <v>1029468</v>
      </c>
      <c r="E794" s="275">
        <f>ROUND(BK62,0)</f>
        <v>253818</v>
      </c>
      <c r="F794" s="275">
        <f>ROUND(BK63,0)</f>
        <v>1339196</v>
      </c>
      <c r="G794" s="275">
        <f>ROUND(BK64,0)</f>
        <v>6726</v>
      </c>
      <c r="H794" s="275">
        <f>ROUND(BK65,0)</f>
        <v>0</v>
      </c>
      <c r="I794" s="275">
        <f>ROUND(BK66,0)</f>
        <v>-304322</v>
      </c>
      <c r="J794" s="275">
        <f>ROUND(BK67,0)</f>
        <v>221712</v>
      </c>
      <c r="K794" s="275">
        <f>ROUND(BK68,0)</f>
        <v>48506</v>
      </c>
      <c r="L794" s="275">
        <f>ROUND(BK69,0)</f>
        <v>21121</v>
      </c>
      <c r="M794" s="275">
        <f>ROUND(BK70,0)</f>
        <v>0</v>
      </c>
      <c r="N794" s="275"/>
      <c r="O794" s="275"/>
      <c r="P794" s="275">
        <f>IF(BK76&gt;0,ROUND(BK76,0),0)</f>
        <v>11007</v>
      </c>
      <c r="Q794" s="275">
        <f>IF(BK77&gt;0,ROUND(BK77,0),0)</f>
        <v>0</v>
      </c>
      <c r="R794" s="275">
        <f>IF(BK78&gt;0,ROUND(BK78,0),0)</f>
        <v>1478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039*2017*8560*A</v>
      </c>
      <c r="B795" s="275"/>
      <c r="C795" s="277">
        <f>ROUND(BL60,2)</f>
        <v>21.54</v>
      </c>
      <c r="D795" s="275">
        <f>ROUND(BL61,0)</f>
        <v>974437</v>
      </c>
      <c r="E795" s="275">
        <f>ROUND(BL62,0)</f>
        <v>240250</v>
      </c>
      <c r="F795" s="275">
        <f>ROUND(BL63,0)</f>
        <v>0</v>
      </c>
      <c r="G795" s="275">
        <f>ROUND(BL64,0)</f>
        <v>38666</v>
      </c>
      <c r="H795" s="275">
        <f>ROUND(BL65,0)</f>
        <v>0</v>
      </c>
      <c r="I795" s="275">
        <f>ROUND(BL66,0)</f>
        <v>1428</v>
      </c>
      <c r="J795" s="275">
        <f>ROUND(BL67,0)</f>
        <v>117957</v>
      </c>
      <c r="K795" s="275">
        <f>ROUND(BL68,0)</f>
        <v>24216</v>
      </c>
      <c r="L795" s="275">
        <f>ROUND(BL69,0)</f>
        <v>147</v>
      </c>
      <c r="M795" s="275">
        <f>ROUND(BL70,0)</f>
        <v>0</v>
      </c>
      <c r="N795" s="275"/>
      <c r="O795" s="275"/>
      <c r="P795" s="275">
        <f>IF(BL76&gt;0,ROUND(BL76,0),0)</f>
        <v>5856</v>
      </c>
      <c r="Q795" s="275">
        <f>IF(BL77&gt;0,ROUND(BL77,0),0)</f>
        <v>0</v>
      </c>
      <c r="R795" s="275">
        <f>IF(BL78&gt;0,ROUND(BL78,0),0)</f>
        <v>786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039*2017*8590*A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039*2017*8610*A</v>
      </c>
      <c r="B797" s="275"/>
      <c r="C797" s="277">
        <f>ROUND(BN60,2)</f>
        <v>6</v>
      </c>
      <c r="D797" s="275">
        <f>ROUND(BN61,0)</f>
        <v>697785</v>
      </c>
      <c r="E797" s="275">
        <f>ROUND(BN62,0)</f>
        <v>172041</v>
      </c>
      <c r="F797" s="275">
        <f>ROUND(BN63,0)</f>
        <v>2958531</v>
      </c>
      <c r="G797" s="275">
        <f>ROUND(BN64,0)</f>
        <v>55208</v>
      </c>
      <c r="H797" s="275">
        <f>ROUND(BN65,0)</f>
        <v>2501</v>
      </c>
      <c r="I797" s="275">
        <f>ROUND(BN66,0)</f>
        <v>373597</v>
      </c>
      <c r="J797" s="275">
        <f>ROUND(BN67,0)</f>
        <v>57709</v>
      </c>
      <c r="K797" s="275">
        <f>ROUND(BN68,0)</f>
        <v>3721</v>
      </c>
      <c r="L797" s="275">
        <f>ROUND(BN69,0)</f>
        <v>158811</v>
      </c>
      <c r="M797" s="275">
        <f>ROUND(BN70,0)</f>
        <v>0</v>
      </c>
      <c r="N797" s="275"/>
      <c r="O797" s="275"/>
      <c r="P797" s="275">
        <f>IF(BN76&gt;0,ROUND(BN76,0),0)</f>
        <v>2865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039*2017*8620*A</v>
      </c>
      <c r="B798" s="275"/>
      <c r="C798" s="277">
        <f>ROUND(BO60,2)</f>
        <v>1</v>
      </c>
      <c r="D798" s="275">
        <f>ROUND(BO61,0)</f>
        <v>124483</v>
      </c>
      <c r="E798" s="275">
        <f>ROUND(BO62,0)</f>
        <v>30692</v>
      </c>
      <c r="F798" s="275">
        <f>ROUND(BO63,0)</f>
        <v>0</v>
      </c>
      <c r="G798" s="275">
        <f>ROUND(BO64,0)</f>
        <v>29955</v>
      </c>
      <c r="H798" s="275">
        <f>ROUND(BO65,0)</f>
        <v>0</v>
      </c>
      <c r="I798" s="275">
        <f>ROUND(BO66,0)</f>
        <v>28180</v>
      </c>
      <c r="J798" s="275">
        <f>ROUND(BO67,0)</f>
        <v>4250</v>
      </c>
      <c r="K798" s="275">
        <f>ROUND(BO68,0)</f>
        <v>20</v>
      </c>
      <c r="L798" s="275">
        <f>ROUND(BO69,0)</f>
        <v>1229</v>
      </c>
      <c r="M798" s="275">
        <f>ROUND(BO70,0)</f>
        <v>0</v>
      </c>
      <c r="N798" s="275"/>
      <c r="O798" s="275"/>
      <c r="P798" s="275">
        <f>IF(BO76&gt;0,ROUND(BO76,0),0)</f>
        <v>211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039*2017*8630*A</v>
      </c>
      <c r="B799" s="275"/>
      <c r="C799" s="277">
        <f>ROUND(BP60,2)</f>
        <v>3</v>
      </c>
      <c r="D799" s="275">
        <f>ROUND(BP61,0)</f>
        <v>256671</v>
      </c>
      <c r="E799" s="275">
        <f>ROUND(BP62,0)</f>
        <v>63283</v>
      </c>
      <c r="F799" s="275">
        <f>ROUND(BP63,0)</f>
        <v>0</v>
      </c>
      <c r="G799" s="275">
        <f>ROUND(BP64,0)</f>
        <v>27005</v>
      </c>
      <c r="H799" s="275">
        <f>ROUND(BP65,0)</f>
        <v>828</v>
      </c>
      <c r="I799" s="275">
        <f>ROUND(BP66,0)</f>
        <v>400558</v>
      </c>
      <c r="J799" s="275">
        <f>ROUND(BP67,0)</f>
        <v>39943</v>
      </c>
      <c r="K799" s="275">
        <f>ROUND(BP68,0)</f>
        <v>8974</v>
      </c>
      <c r="L799" s="275">
        <f>ROUND(BP69,0)</f>
        <v>11000</v>
      </c>
      <c r="M799" s="275">
        <f>ROUND(BP70,0)</f>
        <v>0</v>
      </c>
      <c r="N799" s="275"/>
      <c r="O799" s="275"/>
      <c r="P799" s="275">
        <f>IF(BP76&gt;0,ROUND(BP76,0),0)</f>
        <v>1983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039*2017*8640*A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039*2017*8650*A</v>
      </c>
      <c r="B801" s="275"/>
      <c r="C801" s="277">
        <f>ROUND(BR60,2)</f>
        <v>4.5</v>
      </c>
      <c r="D801" s="275">
        <f>ROUND(BR61,0)</f>
        <v>392086</v>
      </c>
      <c r="E801" s="275">
        <f>ROUND(BR62,0)</f>
        <v>96670</v>
      </c>
      <c r="F801" s="275">
        <f>ROUND(BR63,0)</f>
        <v>45330</v>
      </c>
      <c r="G801" s="275">
        <f>ROUND(BR64,0)</f>
        <v>-347</v>
      </c>
      <c r="H801" s="275">
        <f>ROUND(BR65,0)</f>
        <v>21823</v>
      </c>
      <c r="I801" s="275">
        <f>ROUND(BR66,0)</f>
        <v>310065</v>
      </c>
      <c r="J801" s="275">
        <f>ROUND(BR67,0)</f>
        <v>33236</v>
      </c>
      <c r="K801" s="275">
        <f>ROUND(BR68,0)</f>
        <v>5892</v>
      </c>
      <c r="L801" s="275">
        <f>ROUND(BR69,0)</f>
        <v>1394</v>
      </c>
      <c r="M801" s="275">
        <f>ROUND(BR70,0)</f>
        <v>0</v>
      </c>
      <c r="N801" s="275"/>
      <c r="O801" s="275"/>
      <c r="P801" s="275">
        <f>IF(BR76&gt;0,ROUND(BR76,0),0)</f>
        <v>1650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039*2017*8660*A</v>
      </c>
      <c r="B802" s="275"/>
      <c r="C802" s="277">
        <f>ROUND(BS60,2)</f>
        <v>3</v>
      </c>
      <c r="D802" s="275">
        <f>ROUND(BS61,0)</f>
        <v>243204</v>
      </c>
      <c r="E802" s="275">
        <f>ROUND(BS62,0)</f>
        <v>59963</v>
      </c>
      <c r="F802" s="275">
        <f>ROUND(BS63,0)</f>
        <v>0</v>
      </c>
      <c r="G802" s="275">
        <f>ROUND(BS64,0)</f>
        <v>22890</v>
      </c>
      <c r="H802" s="275">
        <f>ROUND(BS65,0)</f>
        <v>1011</v>
      </c>
      <c r="I802" s="275">
        <f>ROUND(BS66,0)</f>
        <v>77513</v>
      </c>
      <c r="J802" s="275">
        <f>ROUND(BS67,0)</f>
        <v>76825</v>
      </c>
      <c r="K802" s="275">
        <f>ROUND(BS68,0)</f>
        <v>6628</v>
      </c>
      <c r="L802" s="275">
        <f>ROUND(BS69,0)</f>
        <v>1254</v>
      </c>
      <c r="M802" s="275">
        <f>ROUND(BS70,0)</f>
        <v>0</v>
      </c>
      <c r="N802" s="275"/>
      <c r="O802" s="275"/>
      <c r="P802" s="275">
        <f>IF(BS76&gt;0,ROUND(BS76,0),0)</f>
        <v>3814</v>
      </c>
      <c r="Q802" s="275">
        <f>IF(BS77&gt;0,ROUND(BS77,0),0)</f>
        <v>0</v>
      </c>
      <c r="R802" s="275">
        <f>IF(BS78&gt;0,ROUND(BS78,0),0)</f>
        <v>512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039*2017*8670*A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17383</v>
      </c>
      <c r="K803" s="275">
        <f>ROUND(BT68,0)</f>
        <v>360</v>
      </c>
      <c r="L803" s="275">
        <f>ROUND(BT69,0)</f>
        <v>169</v>
      </c>
      <c r="M803" s="275">
        <f>ROUND(BT70,0)</f>
        <v>0</v>
      </c>
      <c r="N803" s="275"/>
      <c r="O803" s="275"/>
      <c r="P803" s="275">
        <f>IF(BT76&gt;0,ROUND(BT76,0),0)</f>
        <v>863</v>
      </c>
      <c r="Q803" s="275">
        <f>IF(BT77&gt;0,ROUND(BT77,0),0)</f>
        <v>0</v>
      </c>
      <c r="R803" s="275">
        <f>IF(BT78&gt;0,ROUND(BT78,0),0)</f>
        <v>116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039*2017*8680*A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039*2017*8690*A</v>
      </c>
      <c r="B805" s="275"/>
      <c r="C805" s="277">
        <f>ROUND(BV60,2)</f>
        <v>9</v>
      </c>
      <c r="D805" s="275">
        <f>ROUND(BV61,0)</f>
        <v>541143</v>
      </c>
      <c r="E805" s="275">
        <f>ROUND(BV62,0)</f>
        <v>133420</v>
      </c>
      <c r="F805" s="275">
        <f>ROUND(BV63,0)</f>
        <v>0</v>
      </c>
      <c r="G805" s="275">
        <f>ROUND(BV64,0)</f>
        <v>12150</v>
      </c>
      <c r="H805" s="275">
        <f>ROUND(BV65,0)</f>
        <v>0</v>
      </c>
      <c r="I805" s="275">
        <f>ROUND(BV66,0)</f>
        <v>752102</v>
      </c>
      <c r="J805" s="275">
        <f>ROUND(BV67,0)</f>
        <v>51344</v>
      </c>
      <c r="K805" s="275">
        <f>ROUND(BV68,0)</f>
        <v>17718</v>
      </c>
      <c r="L805" s="275">
        <f>ROUND(BV69,0)</f>
        <v>3923</v>
      </c>
      <c r="M805" s="275">
        <f>ROUND(BV70,0)</f>
        <v>5233</v>
      </c>
      <c r="N805" s="275"/>
      <c r="O805" s="275"/>
      <c r="P805" s="275">
        <f>IF(BV76&gt;0,ROUND(BV76,0),0)</f>
        <v>2549</v>
      </c>
      <c r="Q805" s="275">
        <f>IF(BV77&gt;0,ROUND(BV77,0),0)</f>
        <v>0</v>
      </c>
      <c r="R805" s="275">
        <f>IF(BV78&gt;0,ROUND(BV78,0),0)</f>
        <v>342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039*2017*8700*A</v>
      </c>
      <c r="B806" s="275"/>
      <c r="C806" s="277">
        <f>ROUND(BW60,2)</f>
        <v>3</v>
      </c>
      <c r="D806" s="275">
        <f>ROUND(BW61,0)</f>
        <v>177992</v>
      </c>
      <c r="E806" s="275">
        <f>ROUND(BW62,0)</f>
        <v>43885</v>
      </c>
      <c r="F806" s="275">
        <f>ROUND(BW63,0)</f>
        <v>77500</v>
      </c>
      <c r="G806" s="275">
        <f>ROUND(BW64,0)</f>
        <v>134970</v>
      </c>
      <c r="H806" s="275">
        <f>ROUND(BW65,0)</f>
        <v>0</v>
      </c>
      <c r="I806" s="275">
        <f>ROUND(BW66,0)</f>
        <v>97569</v>
      </c>
      <c r="J806" s="275">
        <f>ROUND(BW67,0)</f>
        <v>76281</v>
      </c>
      <c r="K806" s="275">
        <f>ROUND(BW68,0)</f>
        <v>3535</v>
      </c>
      <c r="L806" s="275">
        <f>ROUND(BW69,0)</f>
        <v>102</v>
      </c>
      <c r="M806" s="275">
        <f>ROUND(BW70,0)</f>
        <v>25897</v>
      </c>
      <c r="N806" s="275"/>
      <c r="O806" s="275"/>
      <c r="P806" s="275">
        <f>IF(BW76&gt;0,ROUND(BW76,0),0)</f>
        <v>3787</v>
      </c>
      <c r="Q806" s="275">
        <f>IF(BW77&gt;0,ROUND(BW77,0),0)</f>
        <v>0</v>
      </c>
      <c r="R806" s="275">
        <f>IF(BW78&gt;0,ROUND(BW78,0),0)</f>
        <v>508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039*2017*8710*A</v>
      </c>
      <c r="B807" s="275"/>
      <c r="C807" s="277">
        <f>ROUND(BX60,2)</f>
        <v>15</v>
      </c>
      <c r="D807" s="275">
        <f>ROUND(BX61,0)</f>
        <v>1054026</v>
      </c>
      <c r="E807" s="275">
        <f>ROUND(BX62,0)</f>
        <v>259873</v>
      </c>
      <c r="F807" s="275">
        <f>ROUND(BX63,0)</f>
        <v>4616</v>
      </c>
      <c r="G807" s="275">
        <f>ROUND(BX64,0)</f>
        <v>-2473</v>
      </c>
      <c r="H807" s="275">
        <f>ROUND(BX65,0)</f>
        <v>0</v>
      </c>
      <c r="I807" s="275">
        <f>ROUND(BX66,0)</f>
        <v>439840</v>
      </c>
      <c r="J807" s="275">
        <f>ROUND(BX67,0)</f>
        <v>29670</v>
      </c>
      <c r="K807" s="275">
        <f>ROUND(BX68,0)</f>
        <v>2159</v>
      </c>
      <c r="L807" s="275">
        <f>ROUND(BX69,0)</f>
        <v>1442</v>
      </c>
      <c r="M807" s="275">
        <f>ROUND(BX70,0)</f>
        <v>0</v>
      </c>
      <c r="N807" s="275"/>
      <c r="O807" s="275"/>
      <c r="P807" s="275">
        <f>IF(BX76&gt;0,ROUND(BX76,0),0)</f>
        <v>1473</v>
      </c>
      <c r="Q807" s="275">
        <f>IF(BX77&gt;0,ROUND(BX77,0),0)</f>
        <v>0</v>
      </c>
      <c r="R807" s="275">
        <f>IF(BX78&gt;0,ROUND(BX78,0),0)</f>
        <v>198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039*2017*8720*A</v>
      </c>
      <c r="B808" s="275"/>
      <c r="C808" s="277">
        <f>ROUND(BY60,2)</f>
        <v>18.7</v>
      </c>
      <c r="D808" s="275">
        <f>ROUND(BY61,0)</f>
        <v>1485016</v>
      </c>
      <c r="E808" s="275">
        <f>ROUND(BY62,0)</f>
        <v>366135</v>
      </c>
      <c r="F808" s="275">
        <f>ROUND(BY63,0)</f>
        <v>0</v>
      </c>
      <c r="G808" s="275">
        <f>ROUND(BY64,0)</f>
        <v>1369</v>
      </c>
      <c r="H808" s="275">
        <f>ROUND(BY65,0)</f>
        <v>1104</v>
      </c>
      <c r="I808" s="275">
        <f>ROUND(BY66,0)</f>
        <v>23267</v>
      </c>
      <c r="J808" s="275">
        <f>ROUND(BY67,0)</f>
        <v>97975</v>
      </c>
      <c r="K808" s="275">
        <f>ROUND(BY68,0)</f>
        <v>3699</v>
      </c>
      <c r="L808" s="275">
        <f>ROUND(BY69,0)</f>
        <v>13486</v>
      </c>
      <c r="M808" s="275">
        <f>ROUND(BY70,0)</f>
        <v>0</v>
      </c>
      <c r="N808" s="275"/>
      <c r="O808" s="275"/>
      <c r="P808" s="275">
        <f>IF(BY76&gt;0,ROUND(BY76,0),0)</f>
        <v>4864</v>
      </c>
      <c r="Q808" s="275">
        <f>IF(BY77&gt;0,ROUND(BY77,0),0)</f>
        <v>0</v>
      </c>
      <c r="R808" s="275">
        <f>IF(BY78&gt;0,ROUND(BY78,0),0)</f>
        <v>653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039*2017*8730*A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039*2017*8740*A</v>
      </c>
      <c r="B810" s="275"/>
      <c r="C810" s="277">
        <f>ROUND(CA60,2)</f>
        <v>3</v>
      </c>
      <c r="D810" s="275">
        <f>ROUND(CA61,0)</f>
        <v>165457</v>
      </c>
      <c r="E810" s="275">
        <f>ROUND(CA62,0)</f>
        <v>40794</v>
      </c>
      <c r="F810" s="275">
        <f>ROUND(CA63,0)</f>
        <v>0</v>
      </c>
      <c r="G810" s="275">
        <f>ROUND(CA64,0)</f>
        <v>22618</v>
      </c>
      <c r="H810" s="275">
        <f>ROUND(CA65,0)</f>
        <v>0</v>
      </c>
      <c r="I810" s="275">
        <f>ROUND(CA66,0)</f>
        <v>76543</v>
      </c>
      <c r="J810" s="275">
        <f>ROUND(CA67,0)</f>
        <v>44355</v>
      </c>
      <c r="K810" s="275">
        <f>ROUND(CA68,0)</f>
        <v>7390</v>
      </c>
      <c r="L810" s="275">
        <f>ROUND(CA69,0)</f>
        <v>38709</v>
      </c>
      <c r="M810" s="275">
        <f>ROUND(CA70,0)</f>
        <v>63562</v>
      </c>
      <c r="N810" s="275"/>
      <c r="O810" s="275"/>
      <c r="P810" s="275">
        <f>IF(CA76&gt;0,ROUND(CA76,0),0)</f>
        <v>2202</v>
      </c>
      <c r="Q810" s="275">
        <f>IF(CA77&gt;0,ROUND(CA77,0),0)</f>
        <v>0</v>
      </c>
      <c r="R810" s="275">
        <f>IF(CA78&gt;0,ROUND(CA78,0),0)</f>
        <v>296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039*2017*8770*A</v>
      </c>
      <c r="B811" s="275"/>
      <c r="C811" s="277">
        <f>ROUND(CB60,2)</f>
        <v>0</v>
      </c>
      <c r="D811" s="275">
        <f>ROUND(CB61,0)</f>
        <v>64210</v>
      </c>
      <c r="E811" s="275">
        <f>ROUND(CB62,0)</f>
        <v>15831</v>
      </c>
      <c r="F811" s="275">
        <f>ROUND(CB63,0)</f>
        <v>0</v>
      </c>
      <c r="G811" s="275">
        <f>ROUND(CB64,0)</f>
        <v>8858</v>
      </c>
      <c r="H811" s="275">
        <f>ROUND(CB65,0)</f>
        <v>0</v>
      </c>
      <c r="I811" s="275">
        <f>ROUND(CB66,0)</f>
        <v>326431</v>
      </c>
      <c r="J811" s="275">
        <f>ROUND(CB67,0)</f>
        <v>6224</v>
      </c>
      <c r="K811" s="275">
        <f>ROUND(CB68,0)</f>
        <v>5</v>
      </c>
      <c r="L811" s="275">
        <f>ROUND(CB69,0)</f>
        <v>25</v>
      </c>
      <c r="M811" s="275">
        <f>ROUND(CB70,0)</f>
        <v>22888</v>
      </c>
      <c r="N811" s="275"/>
      <c r="O811" s="275"/>
      <c r="P811" s="275">
        <f>IF(CB76&gt;0,ROUND(CB76,0),0)</f>
        <v>309</v>
      </c>
      <c r="Q811" s="275">
        <f>IF(CB77&gt;0,ROUND(CB77,0),0)</f>
        <v>0</v>
      </c>
      <c r="R811" s="275">
        <f>IF(CB78&gt;0,ROUND(CB78,0),0)</f>
        <v>41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039*2017*8790*A</v>
      </c>
      <c r="B812" s="275"/>
      <c r="C812" s="277">
        <f>ROUND(CC60,2)</f>
        <v>0</v>
      </c>
      <c r="D812" s="275">
        <f>ROUND(CC61,0)</f>
        <v>29014</v>
      </c>
      <c r="E812" s="275">
        <f>ROUND(CC62,0)</f>
        <v>7153</v>
      </c>
      <c r="F812" s="275">
        <f>ROUND(CC63,0)</f>
        <v>264528</v>
      </c>
      <c r="G812" s="275">
        <f>ROUND(CC64,0)</f>
        <v>4306</v>
      </c>
      <c r="H812" s="275">
        <f>ROUND(CC65,0)</f>
        <v>828</v>
      </c>
      <c r="I812" s="275">
        <f>ROUND(CC66,0)</f>
        <v>68253</v>
      </c>
      <c r="J812" s="275">
        <f>ROUND(CC67,0)</f>
        <v>2958885</v>
      </c>
      <c r="K812" s="275">
        <f>ROUND(CC68,0)</f>
        <v>0</v>
      </c>
      <c r="L812" s="275">
        <f>ROUND(CC69,0)</f>
        <v>1730</v>
      </c>
      <c r="M812" s="275">
        <f>ROUND(CC70,0)</f>
        <v>0</v>
      </c>
      <c r="N812" s="275"/>
      <c r="O812" s="275"/>
      <c r="P812" s="275">
        <f>IF(CC76&gt;0,ROUND(CC76,0),0)</f>
        <v>146895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039*2017*9000*A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21888326</v>
      </c>
      <c r="V813" s="276">
        <f>ROUND(CD70,0)</f>
        <v>1124745</v>
      </c>
      <c r="W813" s="275">
        <f>ROUND(CE72,0)</f>
        <v>1471683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6">SUM(C734:C813)</f>
        <v>909.42000000000019</v>
      </c>
      <c r="D815" s="276">
        <f t="shared" si="26"/>
        <v>81489038</v>
      </c>
      <c r="E815" s="276">
        <f t="shared" si="26"/>
        <v>20091364</v>
      </c>
      <c r="F815" s="276">
        <f t="shared" si="26"/>
        <v>10775927</v>
      </c>
      <c r="G815" s="276">
        <f t="shared" si="26"/>
        <v>33994529</v>
      </c>
      <c r="H815" s="276">
        <f t="shared" si="26"/>
        <v>2363484</v>
      </c>
      <c r="I815" s="276">
        <f t="shared" si="26"/>
        <v>15074437</v>
      </c>
      <c r="J815" s="276">
        <f t="shared" si="26"/>
        <v>12765534</v>
      </c>
      <c r="K815" s="276">
        <f t="shared" si="26"/>
        <v>2694310</v>
      </c>
      <c r="L815" s="276">
        <f>SUM(L734:L813)+SUM(U734:U813)</f>
        <v>22986521</v>
      </c>
      <c r="M815" s="276">
        <f>SUM(M734:M813)+SUM(V734:V813)</f>
        <v>6543150</v>
      </c>
      <c r="N815" s="276">
        <f t="shared" ref="N815:Y815" si="27">SUM(N734:N813)</f>
        <v>502877946</v>
      </c>
      <c r="O815" s="276">
        <f t="shared" si="27"/>
        <v>179914111</v>
      </c>
      <c r="P815" s="276">
        <f t="shared" si="27"/>
        <v>633750</v>
      </c>
      <c r="Q815" s="276">
        <f t="shared" si="27"/>
        <v>378225</v>
      </c>
      <c r="R815" s="276">
        <f t="shared" si="27"/>
        <v>54549</v>
      </c>
      <c r="S815" s="276">
        <f t="shared" si="27"/>
        <v>657253</v>
      </c>
      <c r="T815" s="280">
        <f t="shared" si="27"/>
        <v>187.11000000000004</v>
      </c>
      <c r="U815" s="276">
        <f t="shared" si="27"/>
        <v>21888326</v>
      </c>
      <c r="V815" s="276">
        <f t="shared" si="27"/>
        <v>1124745</v>
      </c>
      <c r="W815" s="276">
        <f t="shared" si="27"/>
        <v>1471683</v>
      </c>
      <c r="X815" s="276">
        <f t="shared" si="27"/>
        <v>0</v>
      </c>
      <c r="Y815" s="276">
        <f t="shared" si="27"/>
        <v>60395344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909.42000000000019</v>
      </c>
      <c r="D816" s="276">
        <f>CE61</f>
        <v>81489040.739999995</v>
      </c>
      <c r="E816" s="276">
        <f>CE62</f>
        <v>20091364</v>
      </c>
      <c r="F816" s="276">
        <f>CE63</f>
        <v>10775926.780000003</v>
      </c>
      <c r="G816" s="276">
        <f>CE64</f>
        <v>33994529.010000005</v>
      </c>
      <c r="H816" s="279">
        <f>CE65</f>
        <v>2363483.92</v>
      </c>
      <c r="I816" s="279">
        <f>CE66</f>
        <v>15074438.090000004</v>
      </c>
      <c r="J816" s="279">
        <f>CE67</f>
        <v>12765534</v>
      </c>
      <c r="K816" s="279">
        <f>CE68</f>
        <v>2694306.4899999998</v>
      </c>
      <c r="L816" s="279">
        <f>CE69</f>
        <v>22986521.260000002</v>
      </c>
      <c r="M816" s="279">
        <f>CE70</f>
        <v>6543148.4100000011</v>
      </c>
      <c r="N816" s="276">
        <f>CE75</f>
        <v>502877947.58999997</v>
      </c>
      <c r="O816" s="276">
        <f>CE73</f>
        <v>179914108.44000003</v>
      </c>
      <c r="P816" s="276">
        <f>CE76</f>
        <v>633750</v>
      </c>
      <c r="Q816" s="276">
        <f>CE77</f>
        <v>378225</v>
      </c>
      <c r="R816" s="276">
        <f>CE78</f>
        <v>54547.788893491132</v>
      </c>
      <c r="S816" s="276">
        <f>CE79</f>
        <v>657253</v>
      </c>
      <c r="T816" s="280">
        <f>CE80</f>
        <v>187.11000000000004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60395344.610000014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81489040.530000001</v>
      </c>
      <c r="E817" s="180">
        <f>C379</f>
        <v>20091363.559999999</v>
      </c>
      <c r="F817" s="180">
        <f>C380</f>
        <v>10775925.559999999</v>
      </c>
      <c r="G817" s="240">
        <f>C381</f>
        <v>33994528.950000003</v>
      </c>
      <c r="H817" s="240">
        <f>C382</f>
        <v>2363483.44</v>
      </c>
      <c r="I817" s="240">
        <f>C383</f>
        <v>15074438.24</v>
      </c>
      <c r="J817" s="240">
        <f>C384</f>
        <v>12765534.52</v>
      </c>
      <c r="K817" s="240">
        <f>C385</f>
        <v>2694305.9</v>
      </c>
      <c r="L817" s="240">
        <f>C386+C387+C388+C389</f>
        <v>22986521.510000002</v>
      </c>
      <c r="M817" s="240">
        <f>C370</f>
        <v>6543148.4100000001</v>
      </c>
      <c r="N817" s="180">
        <f>D361</f>
        <v>502877947.86000001</v>
      </c>
      <c r="O817" s="180">
        <f>C359</f>
        <v>179914108.69999999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Trios Year End Report</dc:title>
  <dc:subject>2018 Trios Year End Report</dc:subject>
  <dc:creator>Washington State Dept of Health - HSQA - Community Health Systems</dc:creator>
  <cp:keywords>hospital financial reports</cp:keywords>
  <cp:lastModifiedBy>Huyck, Randall  (DOH)</cp:lastModifiedBy>
  <cp:lastPrinted>2019-07-29T16:12:58Z</cp:lastPrinted>
  <dcterms:created xsi:type="dcterms:W3CDTF">1999-06-02T22:01:56Z</dcterms:created>
  <dcterms:modified xsi:type="dcterms:W3CDTF">2019-09-24T22:20:10Z</dcterms:modified>
</cp:coreProperties>
</file>