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5200" windowHeight="11388" tabRatio="847"/>
  </bookViews>
  <sheets>
    <sheet name="data 2019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'data 2019'!$DR$821:$DR$866</definedName>
    <definedName name="Costcenter" localSheetId="9">'Prior Year'!#REF!</definedName>
    <definedName name="Costcenter">'data 2019'!#REF!</definedName>
    <definedName name="Edit" localSheetId="9">'Prior Year'!$A$410:$E$477</definedName>
    <definedName name="Edit">'data 2019'!$A$411:$E$478</definedName>
    <definedName name="Funds" localSheetId="9">'Prior Year'!#REF!</definedName>
    <definedName name="Funds">'data 2019'!#REF!</definedName>
    <definedName name="Hospital" localSheetId="9">'Prior Year'!#REF!</definedName>
    <definedName name="Hospital">'data 2019'!#REF!</definedName>
    <definedName name="_xlnm.Print_Area" localSheetId="8">'CC''s'!$A$1:$I$384</definedName>
    <definedName name="_xlnm.Print_Area" localSheetId="0">'data 2019'!$A$411:$E$478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'data 2019'!#REF!</definedName>
  </definedNames>
  <calcPr calcId="152511"/>
</workbook>
</file>

<file path=xl/calcChain.xml><?xml version="1.0" encoding="utf-8"?>
<calcChain xmlns="http://schemas.openxmlformats.org/spreadsheetml/2006/main">
  <c r="CD70" i="1" l="1"/>
  <c r="C392" i="1"/>
  <c r="C370" i="1"/>
  <c r="C381" i="1"/>
  <c r="BD64" i="1"/>
  <c r="AG63" i="1" l="1"/>
  <c r="BN63" i="1"/>
  <c r="AP63" i="1"/>
  <c r="AJ59" i="1" l="1"/>
  <c r="C213" i="1" l="1"/>
  <c r="U64" i="1"/>
  <c r="B213" i="1"/>
  <c r="C200" i="1"/>
  <c r="C364" i="1"/>
  <c r="AP74" i="1"/>
  <c r="AE66" i="1"/>
  <c r="AJ66" i="1"/>
  <c r="BY66" i="1"/>
  <c r="BE66" i="1"/>
  <c r="BR66" i="1"/>
  <c r="BJ66" i="1"/>
  <c r="AP66" i="1"/>
  <c r="BD66" i="1"/>
  <c r="CC66" i="1"/>
  <c r="BX66" i="1"/>
  <c r="BS66" i="1"/>
  <c r="AW66" i="1"/>
  <c r="AG66" i="1"/>
  <c r="AI66" i="1"/>
  <c r="AB66" i="1"/>
  <c r="Y66" i="1"/>
  <c r="U66" i="1"/>
  <c r="E66" i="1"/>
  <c r="C66" i="1"/>
  <c r="AP68" i="1"/>
  <c r="C385" i="1"/>
  <c r="CD69" i="1"/>
  <c r="C389" i="1"/>
  <c r="C387" i="1"/>
  <c r="BN69" i="1"/>
  <c r="AP69" i="1"/>
  <c r="AG69" i="1"/>
  <c r="Y69" i="1"/>
  <c r="U69" i="1"/>
  <c r="CC69" i="1"/>
  <c r="E80" i="1"/>
  <c r="AJ80" i="1"/>
  <c r="AI80" i="1"/>
  <c r="Y80" i="1"/>
  <c r="U60" i="1"/>
  <c r="CB60" i="1"/>
  <c r="BX60" i="1"/>
  <c r="BK60" i="1"/>
  <c r="BE60" i="1"/>
  <c r="AP60" i="1"/>
  <c r="AJ60" i="1"/>
  <c r="AI60" i="1"/>
  <c r="AG60" i="1"/>
  <c r="AE60" i="1"/>
  <c r="Y60" i="1"/>
  <c r="E60" i="1"/>
  <c r="C60" i="1"/>
  <c r="C171" i="1" l="1"/>
  <c r="D139" i="1" l="1"/>
  <c r="D138" i="1"/>
  <c r="AJ74" i="1"/>
  <c r="AI74" i="1"/>
  <c r="AB74" i="1"/>
  <c r="AA74" i="1"/>
  <c r="Y74" i="1"/>
  <c r="X74" i="1"/>
  <c r="W74" i="1"/>
  <c r="U74" i="1"/>
  <c r="S74" i="1"/>
  <c r="E74" i="1"/>
  <c r="C74" i="1"/>
  <c r="AI73" i="1"/>
  <c r="AG73" i="1"/>
  <c r="Y73" i="1"/>
  <c r="U73" i="1"/>
  <c r="S73" i="1"/>
  <c r="E73" i="1"/>
  <c r="C73" i="1"/>
  <c r="BX69" i="1"/>
  <c r="AE69" i="1"/>
  <c r="E69" i="1"/>
  <c r="AJ68" i="1"/>
  <c r="BR65" i="1"/>
  <c r="BJ65" i="1"/>
  <c r="AP65" i="1"/>
  <c r="BH65" i="1"/>
  <c r="BE65" i="1"/>
  <c r="BD65" i="1"/>
  <c r="AG65" i="1"/>
  <c r="AC63" i="1" l="1"/>
  <c r="Y63" i="1"/>
  <c r="U63" i="1"/>
  <c r="P63" i="1"/>
  <c r="E63" i="1"/>
  <c r="P79" i="1" l="1"/>
  <c r="Y79" i="1"/>
  <c r="AI79" i="1"/>
  <c r="E79" i="1"/>
  <c r="AI77" i="1"/>
  <c r="E77" i="1"/>
  <c r="AJ76" i="1" l="1"/>
  <c r="BE76" i="1"/>
  <c r="AP76" i="1"/>
  <c r="AI76" i="1"/>
  <c r="Y76" i="1"/>
  <c r="U76" i="1"/>
  <c r="E76" i="1"/>
  <c r="C76" i="1"/>
  <c r="AP64" i="1" l="1"/>
  <c r="AJ64" i="1"/>
  <c r="BX64" i="1"/>
  <c r="BE64" i="1"/>
  <c r="AG64" i="1"/>
  <c r="AI64" i="1"/>
  <c r="AA64" i="1"/>
  <c r="Z64" i="1"/>
  <c r="Y64" i="1"/>
  <c r="X64" i="1"/>
  <c r="W64" i="1"/>
  <c r="P64" i="1"/>
  <c r="AG70" i="1"/>
  <c r="C383" i="1" l="1"/>
  <c r="C380" i="1" l="1"/>
  <c r="C324" i="1" l="1"/>
  <c r="C306" i="1"/>
  <c r="C252" i="1"/>
  <c r="C305" i="1"/>
  <c r="C276" i="1"/>
  <c r="C274" i="1"/>
  <c r="C272" i="1"/>
  <c r="C253" i="1"/>
  <c r="C250" i="1"/>
  <c r="AP59" i="1"/>
  <c r="AI59" i="1"/>
  <c r="AE59" i="1"/>
  <c r="AA59" i="1"/>
  <c r="Y59" i="1"/>
  <c r="X59" i="1"/>
  <c r="W59" i="1"/>
  <c r="U59" i="1"/>
  <c r="E59" i="1"/>
  <c r="X813" i="10" l="1"/>
  <c r="X815" i="10" s="1"/>
  <c r="U813" i="10"/>
  <c r="U815" i="10" s="1"/>
  <c r="A813" i="10"/>
  <c r="T812" i="10"/>
  <c r="S812" i="10"/>
  <c r="R812" i="10"/>
  <c r="Q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Q811" i="10"/>
  <c r="P811" i="10"/>
  <c r="M811" i="10"/>
  <c r="L811" i="10"/>
  <c r="K811" i="10"/>
  <c r="I811" i="10"/>
  <c r="H811" i="10"/>
  <c r="F811" i="10"/>
  <c r="D811" i="10"/>
  <c r="C811" i="10"/>
  <c r="A811" i="10"/>
  <c r="T810" i="10"/>
  <c r="S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H808" i="10"/>
  <c r="F808" i="10"/>
  <c r="D808" i="10"/>
  <c r="C808" i="10"/>
  <c r="A808" i="10"/>
  <c r="T807" i="10"/>
  <c r="S807" i="10"/>
  <c r="Q807" i="10"/>
  <c r="P807" i="10"/>
  <c r="M807" i="10"/>
  <c r="H807" i="10"/>
  <c r="A807" i="10"/>
  <c r="T806" i="10"/>
  <c r="S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Q802" i="10"/>
  <c r="P802" i="10"/>
  <c r="M802" i="10"/>
  <c r="L802" i="10"/>
  <c r="H802" i="10"/>
  <c r="F802" i="10"/>
  <c r="C802" i="10"/>
  <c r="A802" i="10"/>
  <c r="T801" i="10"/>
  <c r="S801" i="10"/>
  <c r="R801" i="10"/>
  <c r="Q801" i="10"/>
  <c r="P801" i="10"/>
  <c r="M801" i="10"/>
  <c r="L801" i="10"/>
  <c r="K801" i="10"/>
  <c r="H801" i="10"/>
  <c r="G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C797" i="10"/>
  <c r="A797" i="10"/>
  <c r="T796" i="10"/>
  <c r="S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Q794" i="10"/>
  <c r="P794" i="10"/>
  <c r="M794" i="10"/>
  <c r="L794" i="10"/>
  <c r="K794" i="10"/>
  <c r="I794" i="10"/>
  <c r="H794" i="10"/>
  <c r="G794" i="10"/>
  <c r="F794" i="10"/>
  <c r="A794" i="10"/>
  <c r="T793" i="10"/>
  <c r="S793" i="10"/>
  <c r="R793" i="10"/>
  <c r="Q793" i="10"/>
  <c r="P793" i="10"/>
  <c r="M793" i="10"/>
  <c r="L793" i="10"/>
  <c r="K793" i="10"/>
  <c r="G793" i="10"/>
  <c r="D793" i="10"/>
  <c r="C793" i="10"/>
  <c r="A793" i="10"/>
  <c r="T792" i="10"/>
  <c r="S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Q791" i="10"/>
  <c r="P791" i="10"/>
  <c r="M791" i="10"/>
  <c r="L791" i="10"/>
  <c r="K791" i="10"/>
  <c r="I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G788" i="10"/>
  <c r="F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G787" i="10"/>
  <c r="F787" i="10"/>
  <c r="D787" i="10"/>
  <c r="C787" i="10"/>
  <c r="A787" i="10"/>
  <c r="T786" i="10"/>
  <c r="S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Q780" i="10"/>
  <c r="P780" i="10"/>
  <c r="M780" i="10"/>
  <c r="L780" i="10"/>
  <c r="K780" i="10"/>
  <c r="D780" i="10"/>
  <c r="C780" i="10"/>
  <c r="A780" i="10"/>
  <c r="T779" i="10"/>
  <c r="S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Q775" i="10"/>
  <c r="P775" i="10"/>
  <c r="O775" i="10"/>
  <c r="M775" i="10"/>
  <c r="L775" i="10"/>
  <c r="K775" i="10"/>
  <c r="G775" i="10"/>
  <c r="F775" i="10"/>
  <c r="D775" i="10"/>
  <c r="C775" i="10"/>
  <c r="B775" i="10"/>
  <c r="A775" i="10"/>
  <c r="T774" i="10"/>
  <c r="S774" i="10"/>
  <c r="Q774" i="10"/>
  <c r="P774" i="10"/>
  <c r="O774" i="10"/>
  <c r="M774" i="10"/>
  <c r="L774" i="10"/>
  <c r="K774" i="10"/>
  <c r="I774" i="10"/>
  <c r="G774" i="10"/>
  <c r="F774" i="10"/>
  <c r="D774" i="10"/>
  <c r="C774" i="10"/>
  <c r="B774" i="10"/>
  <c r="A774" i="10"/>
  <c r="S773" i="10"/>
  <c r="Q773" i="10"/>
  <c r="P773" i="10"/>
  <c r="O773" i="10"/>
  <c r="H773" i="10"/>
  <c r="A773" i="10"/>
  <c r="T772" i="10"/>
  <c r="S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S767" i="10"/>
  <c r="Q767" i="10"/>
  <c r="O767" i="10"/>
  <c r="M767" i="10"/>
  <c r="L767" i="10"/>
  <c r="H767" i="10"/>
  <c r="G767" i="10"/>
  <c r="F767" i="10"/>
  <c r="A767" i="10"/>
  <c r="M766" i="10"/>
  <c r="L766" i="10"/>
  <c r="H766" i="10"/>
  <c r="F766" i="10"/>
  <c r="A766" i="10"/>
  <c r="T765" i="10"/>
  <c r="S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M764" i="10"/>
  <c r="B764" i="10"/>
  <c r="A764" i="10"/>
  <c r="T763" i="10"/>
  <c r="S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P762" i="10"/>
  <c r="M762" i="10"/>
  <c r="K762" i="10"/>
  <c r="I762" i="10"/>
  <c r="H762" i="10"/>
  <c r="G762" i="10"/>
  <c r="F762" i="10"/>
  <c r="D762" i="10"/>
  <c r="A762" i="10"/>
  <c r="T761" i="10"/>
  <c r="S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Q760" i="10"/>
  <c r="P760" i="10"/>
  <c r="O760" i="10"/>
  <c r="M760" i="10"/>
  <c r="L760" i="10"/>
  <c r="K760" i="10"/>
  <c r="I760" i="10"/>
  <c r="H760" i="10"/>
  <c r="G760" i="10"/>
  <c r="D760" i="10"/>
  <c r="C760" i="10"/>
  <c r="B760" i="10"/>
  <c r="A760" i="10"/>
  <c r="T759" i="10"/>
  <c r="S759" i="10"/>
  <c r="Q759" i="10"/>
  <c r="O759" i="10"/>
  <c r="L759" i="10"/>
  <c r="H759" i="10"/>
  <c r="F759" i="10"/>
  <c r="C759" i="10"/>
  <c r="A759" i="10"/>
  <c r="T758" i="10"/>
  <c r="S758" i="10"/>
  <c r="Q758" i="10"/>
  <c r="O758" i="10"/>
  <c r="M758" i="10"/>
  <c r="L758" i="10"/>
  <c r="H758" i="10"/>
  <c r="F758" i="10"/>
  <c r="C758" i="10"/>
  <c r="A758" i="10"/>
  <c r="T757" i="10"/>
  <c r="S757" i="10"/>
  <c r="Q757" i="10"/>
  <c r="P757" i="10"/>
  <c r="O757" i="10"/>
  <c r="M757" i="10"/>
  <c r="L757" i="10"/>
  <c r="K757" i="10"/>
  <c r="I757" i="10"/>
  <c r="H757" i="10"/>
  <c r="F757" i="10"/>
  <c r="D757" i="10"/>
  <c r="C757" i="10"/>
  <c r="B757" i="10"/>
  <c r="A757" i="10"/>
  <c r="Q756" i="10"/>
  <c r="M756" i="10"/>
  <c r="L756" i="10"/>
  <c r="H756" i="10"/>
  <c r="A756" i="10"/>
  <c r="T755" i="10"/>
  <c r="S755" i="10"/>
  <c r="Q755" i="10"/>
  <c r="M755" i="10"/>
  <c r="L755" i="10"/>
  <c r="I755" i="10"/>
  <c r="H755" i="10"/>
  <c r="F755" i="10"/>
  <c r="C755" i="10"/>
  <c r="A755" i="10"/>
  <c r="T754" i="10"/>
  <c r="S754" i="10"/>
  <c r="Q754" i="10"/>
  <c r="O754" i="10"/>
  <c r="M754" i="10"/>
  <c r="L754" i="10"/>
  <c r="K754" i="10"/>
  <c r="I754" i="10"/>
  <c r="H754" i="10"/>
  <c r="F754" i="10"/>
  <c r="C754" i="10"/>
  <c r="A754" i="10"/>
  <c r="T753" i="10"/>
  <c r="S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M752" i="10"/>
  <c r="H752" i="10"/>
  <c r="A752" i="10"/>
  <c r="T751" i="10"/>
  <c r="S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Q747" i="10"/>
  <c r="P747" i="10"/>
  <c r="O747" i="10"/>
  <c r="M747" i="10"/>
  <c r="L747" i="10"/>
  <c r="H747" i="10"/>
  <c r="F747" i="10"/>
  <c r="C747" i="10"/>
  <c r="B747" i="10"/>
  <c r="A747" i="10"/>
  <c r="T746" i="10"/>
  <c r="S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Q741" i="10"/>
  <c r="P741" i="10"/>
  <c r="O741" i="10"/>
  <c r="M741" i="10"/>
  <c r="L741" i="10"/>
  <c r="K741" i="10"/>
  <c r="I741" i="10"/>
  <c r="H741" i="10"/>
  <c r="G741" i="10"/>
  <c r="D741" i="10"/>
  <c r="C741" i="10"/>
  <c r="A741" i="10"/>
  <c r="T740" i="10"/>
  <c r="S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S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M736" i="10"/>
  <c r="H736" i="10"/>
  <c r="A736" i="10"/>
  <c r="T735" i="10"/>
  <c r="S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Q734" i="10"/>
  <c r="P734" i="10"/>
  <c r="M734" i="10"/>
  <c r="L734" i="10"/>
  <c r="K734" i="10"/>
  <c r="H734" i="10"/>
  <c r="F734" i="10"/>
  <c r="B734" i="10"/>
  <c r="A734" i="10"/>
  <c r="CF730" i="10"/>
  <c r="CE730" i="10"/>
  <c r="BP730" i="10"/>
  <c r="BN730" i="10"/>
  <c r="BF730" i="10"/>
  <c r="BE730" i="10"/>
  <c r="BA730" i="10"/>
  <c r="AZ730" i="10"/>
  <c r="AY730" i="10"/>
  <c r="AX730" i="10"/>
  <c r="AW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G730" i="10"/>
  <c r="AF730" i="10"/>
  <c r="AE730" i="10"/>
  <c r="AD730" i="10"/>
  <c r="AB730" i="10"/>
  <c r="AA730" i="10"/>
  <c r="Z730" i="10"/>
  <c r="Y730" i="10"/>
  <c r="X730" i="10"/>
  <c r="W730" i="10"/>
  <c r="U730" i="10"/>
  <c r="S730" i="10"/>
  <c r="R730" i="10"/>
  <c r="P730" i="10"/>
  <c r="O730" i="10"/>
  <c r="N730" i="10"/>
  <c r="M730" i="10"/>
  <c r="K730" i="10"/>
  <c r="I730" i="10"/>
  <c r="H730" i="10"/>
  <c r="F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H726" i="10"/>
  <c r="G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AY722" i="10"/>
  <c r="AX722" i="10"/>
  <c r="AV722" i="10"/>
  <c r="AR722" i="10"/>
  <c r="AQ722" i="10"/>
  <c r="AP722" i="10"/>
  <c r="AM722" i="10"/>
  <c r="AL722" i="10"/>
  <c r="AK722" i="10"/>
  <c r="AJ722" i="10"/>
  <c r="AG722" i="10"/>
  <c r="AF722" i="10"/>
  <c r="AE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D722" i="10"/>
  <c r="C722" i="10"/>
  <c r="B722" i="10"/>
  <c r="A722" i="10"/>
  <c r="E550" i="10"/>
  <c r="E546" i="10"/>
  <c r="F546" i="10"/>
  <c r="H545" i="10"/>
  <c r="F545" i="10"/>
  <c r="E545" i="10"/>
  <c r="F544" i="10"/>
  <c r="E544" i="10"/>
  <c r="E540" i="10"/>
  <c r="E539" i="10"/>
  <c r="H538" i="10"/>
  <c r="F538" i="10"/>
  <c r="E538" i="10"/>
  <c r="E537" i="10"/>
  <c r="H536" i="10"/>
  <c r="F536" i="10"/>
  <c r="E536" i="10"/>
  <c r="F535" i="10"/>
  <c r="E534" i="10"/>
  <c r="H533" i="10"/>
  <c r="F533" i="10"/>
  <c r="E533" i="10"/>
  <c r="E532" i="10"/>
  <c r="E531" i="10"/>
  <c r="E530" i="10"/>
  <c r="F528" i="10"/>
  <c r="E527" i="10"/>
  <c r="H527" i="10"/>
  <c r="E526" i="10"/>
  <c r="H525" i="10"/>
  <c r="F525" i="10"/>
  <c r="E525" i="10"/>
  <c r="F524" i="10"/>
  <c r="F523" i="10"/>
  <c r="E523" i="10"/>
  <c r="H523" i="10"/>
  <c r="E522" i="10"/>
  <c r="F522" i="10"/>
  <c r="F521" i="10"/>
  <c r="F520" i="10"/>
  <c r="F519" i="10"/>
  <c r="E519" i="10"/>
  <c r="F517" i="10"/>
  <c r="E515" i="10"/>
  <c r="F514" i="10"/>
  <c r="F513" i="10"/>
  <c r="F512" i="10"/>
  <c r="E511" i="10"/>
  <c r="F511" i="10"/>
  <c r="F510" i="10"/>
  <c r="E510" i="10"/>
  <c r="F509" i="10"/>
  <c r="E509" i="10"/>
  <c r="E508" i="10"/>
  <c r="H508" i="10"/>
  <c r="H507" i="10"/>
  <c r="F507" i="10"/>
  <c r="E507" i="10"/>
  <c r="H506" i="10"/>
  <c r="E506" i="10"/>
  <c r="F506" i="10"/>
  <c r="E505" i="10"/>
  <c r="H504" i="10"/>
  <c r="F504" i="10"/>
  <c r="E504" i="10"/>
  <c r="F503" i="10"/>
  <c r="H502" i="10"/>
  <c r="F502" i="10"/>
  <c r="E502" i="10"/>
  <c r="H501" i="10"/>
  <c r="F501" i="10"/>
  <c r="E501" i="10"/>
  <c r="F500" i="10"/>
  <c r="E500" i="10"/>
  <c r="H500" i="10"/>
  <c r="E499" i="10"/>
  <c r="F499" i="10"/>
  <c r="E497" i="10"/>
  <c r="E496" i="10"/>
  <c r="G493" i="10"/>
  <c r="E493" i="10"/>
  <c r="C493" i="10"/>
  <c r="A493" i="10"/>
  <c r="B474" i="10"/>
  <c r="C472" i="10"/>
  <c r="B472" i="10"/>
  <c r="B471" i="10"/>
  <c r="B469" i="10"/>
  <c r="B468" i="10"/>
  <c r="B459" i="10"/>
  <c r="B455" i="10"/>
  <c r="B454" i="10"/>
  <c r="B453" i="10"/>
  <c r="C447" i="10"/>
  <c r="C446" i="10"/>
  <c r="B444" i="10"/>
  <c r="C438" i="10"/>
  <c r="B437" i="10"/>
  <c r="B434" i="10"/>
  <c r="B431" i="10"/>
  <c r="B429" i="10"/>
  <c r="B423" i="10"/>
  <c r="D421" i="10"/>
  <c r="B421" i="10"/>
  <c r="C420" i="10"/>
  <c r="B420" i="10"/>
  <c r="D418" i="10"/>
  <c r="B418" i="10"/>
  <c r="B417" i="10"/>
  <c r="B415" i="10"/>
  <c r="B414" i="10"/>
  <c r="A412" i="10"/>
  <c r="C392" i="10"/>
  <c r="CD730" i="10" s="1"/>
  <c r="C389" i="10"/>
  <c r="C388" i="10"/>
  <c r="CA730" i="10" s="1"/>
  <c r="C387" i="10"/>
  <c r="BZ730" i="10" s="1"/>
  <c r="C386" i="10"/>
  <c r="C385" i="10"/>
  <c r="C384" i="10"/>
  <c r="C383" i="10"/>
  <c r="C382" i="10"/>
  <c r="C381" i="10"/>
  <c r="C380" i="10"/>
  <c r="C379" i="10"/>
  <c r="C378" i="10"/>
  <c r="C370" i="10"/>
  <c r="C365" i="10"/>
  <c r="BM730" i="10" s="1"/>
  <c r="C364" i="10"/>
  <c r="BL730" i="10" s="1"/>
  <c r="C363" i="10"/>
  <c r="D367" i="10" s="1"/>
  <c r="C448" i="10" s="1"/>
  <c r="C360" i="10"/>
  <c r="C359" i="10"/>
  <c r="C337" i="10"/>
  <c r="C332" i="10"/>
  <c r="BB730" i="10" s="1"/>
  <c r="D329" i="10"/>
  <c r="D328" i="10"/>
  <c r="D330" i="10" s="1"/>
  <c r="C323" i="10"/>
  <c r="AV730" i="10" s="1"/>
  <c r="D319" i="10"/>
  <c r="C306" i="10"/>
  <c r="AI730" i="10" s="1"/>
  <c r="C305" i="10"/>
  <c r="C286" i="10"/>
  <c r="D283" i="10"/>
  <c r="C276" i="10"/>
  <c r="B478" i="10" s="1"/>
  <c r="C274" i="10"/>
  <c r="C272" i="10"/>
  <c r="C269" i="10"/>
  <c r="Q730" i="10" s="1"/>
  <c r="D265" i="10"/>
  <c r="C262" i="10"/>
  <c r="L730" i="10" s="1"/>
  <c r="C258" i="10"/>
  <c r="J730" i="10" s="1"/>
  <c r="C255" i="10"/>
  <c r="G730" i="10" s="1"/>
  <c r="C253" i="10"/>
  <c r="C252" i="10"/>
  <c r="D730" i="10" s="1"/>
  <c r="D240" i="10"/>
  <c r="B447" i="10" s="1"/>
  <c r="D236" i="10"/>
  <c r="B446" i="10" s="1"/>
  <c r="D229" i="10"/>
  <c r="B445" i="10" s="1"/>
  <c r="D221" i="10"/>
  <c r="CD722" i="10" s="1"/>
  <c r="D217" i="10"/>
  <c r="B217" i="10"/>
  <c r="E216" i="10"/>
  <c r="D215" i="10"/>
  <c r="BP722" i="10" s="1"/>
  <c r="C215" i="10"/>
  <c r="BO722" i="10" s="1"/>
  <c r="E214" i="10"/>
  <c r="E213" i="10"/>
  <c r="D213" i="10"/>
  <c r="BJ722" i="10" s="1"/>
  <c r="C213" i="10"/>
  <c r="BI722" i="10" s="1"/>
  <c r="E212" i="10"/>
  <c r="E211" i="10"/>
  <c r="E210" i="10"/>
  <c r="D210" i="10"/>
  <c r="BA722" i="10" s="1"/>
  <c r="C210" i="10"/>
  <c r="AZ722" i="10" s="1"/>
  <c r="E209" i="10"/>
  <c r="C209" i="10"/>
  <c r="AW722" i="10" s="1"/>
  <c r="D204" i="10"/>
  <c r="B204" i="10"/>
  <c r="E203" i="10"/>
  <c r="C475" i="10" s="1"/>
  <c r="D202" i="10"/>
  <c r="C202" i="10"/>
  <c r="AN722" i="10" s="1"/>
  <c r="E201" i="10"/>
  <c r="D200" i="10"/>
  <c r="AI722" i="10" s="1"/>
  <c r="C200" i="10"/>
  <c r="AH722" i="10" s="1"/>
  <c r="E199" i="10"/>
  <c r="E198" i="10"/>
  <c r="C471" i="10" s="1"/>
  <c r="E197" i="10"/>
  <c r="C470" i="10" s="1"/>
  <c r="C197" i="10"/>
  <c r="Y722" i="10" s="1"/>
  <c r="E196" i="10"/>
  <c r="C469" i="10" s="1"/>
  <c r="E195" i="10"/>
  <c r="C468" i="10" s="1"/>
  <c r="D190" i="10"/>
  <c r="D437" i="10" s="1"/>
  <c r="D186" i="10"/>
  <c r="D436" i="10" s="1"/>
  <c r="D181" i="10"/>
  <c r="C180" i="10"/>
  <c r="D177" i="10"/>
  <c r="D434" i="10" s="1"/>
  <c r="D173" i="10"/>
  <c r="D428" i="10" s="1"/>
  <c r="C169" i="10"/>
  <c r="C168" i="10"/>
  <c r="E722" i="10" s="1"/>
  <c r="E154" i="10"/>
  <c r="E153" i="10"/>
  <c r="D463" i="10" s="1"/>
  <c r="D465" i="10" s="1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D139" i="10"/>
  <c r="AI726" i="10" s="1"/>
  <c r="E138" i="10"/>
  <c r="C414" i="10" s="1"/>
  <c r="D138" i="10"/>
  <c r="AH726" i="10" s="1"/>
  <c r="E127" i="10"/>
  <c r="D114" i="10"/>
  <c r="D111" i="10"/>
  <c r="F726" i="10" s="1"/>
  <c r="AP80" i="10"/>
  <c r="T773" i="10" s="1"/>
  <c r="AJ80" i="10"/>
  <c r="T767" i="10" s="1"/>
  <c r="AI80" i="10"/>
  <c r="T766" i="10" s="1"/>
  <c r="Y80" i="10"/>
  <c r="T756" i="10" s="1"/>
  <c r="F80" i="10"/>
  <c r="T737" i="10" s="1"/>
  <c r="E80" i="10"/>
  <c r="T736" i="10" s="1"/>
  <c r="C80" i="10"/>
  <c r="T734" i="10" s="1"/>
  <c r="CF79" i="10"/>
  <c r="AI79" i="10"/>
  <c r="S766" i="10" s="1"/>
  <c r="Y79" i="10"/>
  <c r="S756" i="10" s="1"/>
  <c r="P79" i="10"/>
  <c r="S747" i="10" s="1"/>
  <c r="E79" i="10"/>
  <c r="S736" i="10" s="1"/>
  <c r="C79" i="10"/>
  <c r="S734" i="10" s="1"/>
  <c r="CE77" i="10"/>
  <c r="AI77" i="10"/>
  <c r="Q766" i="10" s="1"/>
  <c r="E77" i="10"/>
  <c r="Q736" i="10" s="1"/>
  <c r="CC76" i="10"/>
  <c r="P812" i="10" s="1"/>
  <c r="BE76" i="10"/>
  <c r="P788" i="10" s="1"/>
  <c r="AJ76" i="10"/>
  <c r="AI76" i="10"/>
  <c r="P766" i="10" s="1"/>
  <c r="AB76" i="10"/>
  <c r="AA76" i="10"/>
  <c r="P758" i="10" s="1"/>
  <c r="Y76" i="10"/>
  <c r="P756" i="10" s="1"/>
  <c r="X76" i="10"/>
  <c r="P755" i="10" s="1"/>
  <c r="W76" i="10"/>
  <c r="P754" i="10" s="1"/>
  <c r="U76" i="10"/>
  <c r="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I75" i="10"/>
  <c r="N766" i="10" s="1"/>
  <c r="AH75" i="10"/>
  <c r="N765" i="10" s="1"/>
  <c r="AF75" i="10"/>
  <c r="N763" i="10" s="1"/>
  <c r="AD75" i="10"/>
  <c r="N761" i="10" s="1"/>
  <c r="AC75" i="10"/>
  <c r="N760" i="10" s="1"/>
  <c r="AA75" i="10"/>
  <c r="N758" i="10" s="1"/>
  <c r="Z75" i="10"/>
  <c r="N757" i="10" s="1"/>
  <c r="Y75" i="10"/>
  <c r="N756" i="10" s="1"/>
  <c r="V75" i="10"/>
  <c r="N753" i="10" s="1"/>
  <c r="T75" i="10"/>
  <c r="N751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C75" i="10"/>
  <c r="N734" i="10" s="1"/>
  <c r="AP74" i="10"/>
  <c r="AP75" i="10" s="1"/>
  <c r="N773" i="10" s="1"/>
  <c r="AJ74" i="10"/>
  <c r="AJ75" i="10" s="1"/>
  <c r="N767" i="10" s="1"/>
  <c r="AI74" i="10"/>
  <c r="AE74" i="10"/>
  <c r="AB74" i="10"/>
  <c r="AB75" i="10" s="1"/>
  <c r="N759" i="10" s="1"/>
  <c r="AA74" i="10"/>
  <c r="Z74" i="10"/>
  <c r="Y74" i="10"/>
  <c r="X74" i="10"/>
  <c r="W74" i="10"/>
  <c r="W75" i="10" s="1"/>
  <c r="N754" i="10" s="1"/>
  <c r="U74" i="10"/>
  <c r="S74" i="10"/>
  <c r="CE74" i="10" s="1"/>
  <c r="C464" i="10" s="1"/>
  <c r="D74" i="10"/>
  <c r="D75" i="10" s="1"/>
  <c r="N735" i="10" s="1"/>
  <c r="C74" i="10"/>
  <c r="AI73" i="10"/>
  <c r="O766" i="10" s="1"/>
  <c r="AG73" i="10"/>
  <c r="O764" i="10" s="1"/>
  <c r="AE73" i="10"/>
  <c r="Y73" i="10"/>
  <c r="O756" i="10" s="1"/>
  <c r="X73" i="10"/>
  <c r="O755" i="10" s="1"/>
  <c r="U73" i="10"/>
  <c r="O752" i="10" s="1"/>
  <c r="S73" i="10"/>
  <c r="O750" i="10" s="1"/>
  <c r="E73" i="10"/>
  <c r="C73" i="10"/>
  <c r="O734" i="10" s="1"/>
  <c r="CE72" i="10"/>
  <c r="CD70" i="10"/>
  <c r="AP70" i="10"/>
  <c r="M773" i="10" s="1"/>
  <c r="AB70" i="10"/>
  <c r="M759" i="10" s="1"/>
  <c r="BX69" i="10"/>
  <c r="L807" i="10" s="1"/>
  <c r="BN69" i="10"/>
  <c r="L797" i="10" s="1"/>
  <c r="AP69" i="10"/>
  <c r="L773" i="10" s="1"/>
  <c r="AG69" i="10"/>
  <c r="L764" i="10" s="1"/>
  <c r="AE69" i="10"/>
  <c r="CE69" i="10" s="1"/>
  <c r="U69" i="10"/>
  <c r="L752" i="10" s="1"/>
  <c r="E69" i="10"/>
  <c r="L736" i="10" s="1"/>
  <c r="BX68" i="10"/>
  <c r="K807" i="10" s="1"/>
  <c r="BS68" i="10"/>
  <c r="K802" i="10" s="1"/>
  <c r="AP68" i="10"/>
  <c r="K773" i="10" s="1"/>
  <c r="AJ68" i="10"/>
  <c r="K767" i="10" s="1"/>
  <c r="AI68" i="10"/>
  <c r="K766" i="10" s="1"/>
  <c r="AG68" i="10"/>
  <c r="K764" i="10" s="1"/>
  <c r="AB68" i="10"/>
  <c r="K759" i="10" s="1"/>
  <c r="AA68" i="10"/>
  <c r="K758" i="10" s="1"/>
  <c r="Y68" i="10"/>
  <c r="K756" i="10" s="1"/>
  <c r="X68" i="10"/>
  <c r="K755" i="10" s="1"/>
  <c r="U68" i="10"/>
  <c r="K752" i="10" s="1"/>
  <c r="P68" i="10"/>
  <c r="K747" i="10" s="1"/>
  <c r="E68" i="10"/>
  <c r="K736" i="10" s="1"/>
  <c r="BY66" i="10"/>
  <c r="I808" i="10" s="1"/>
  <c r="BX66" i="10"/>
  <c r="I807" i="10" s="1"/>
  <c r="BS66" i="10"/>
  <c r="I802" i="10" s="1"/>
  <c r="BR66" i="10"/>
  <c r="I801" i="10" s="1"/>
  <c r="BJ66" i="10"/>
  <c r="I793" i="10" s="1"/>
  <c r="BE66" i="10"/>
  <c r="I788" i="10" s="1"/>
  <c r="AW66" i="10"/>
  <c r="I780" i="10" s="1"/>
  <c r="AR66" i="10"/>
  <c r="I775" i="10" s="1"/>
  <c r="AP66" i="10"/>
  <c r="I773" i="10" s="1"/>
  <c r="AJ66" i="10"/>
  <c r="I767" i="10" s="1"/>
  <c r="AI66" i="10"/>
  <c r="I766" i="10" s="1"/>
  <c r="AG66" i="10"/>
  <c r="I764" i="10" s="1"/>
  <c r="AB66" i="10"/>
  <c r="I759" i="10" s="1"/>
  <c r="AA66" i="10"/>
  <c r="I758" i="10" s="1"/>
  <c r="Y66" i="10"/>
  <c r="I756" i="10" s="1"/>
  <c r="U66" i="10"/>
  <c r="I752" i="10" s="1"/>
  <c r="P66" i="10"/>
  <c r="I747" i="10" s="1"/>
  <c r="E66" i="10"/>
  <c r="I736" i="10" s="1"/>
  <c r="C66" i="10"/>
  <c r="BJ65" i="10"/>
  <c r="H793" i="10" s="1"/>
  <c r="BH65" i="10"/>
  <c r="H791" i="10" s="1"/>
  <c r="BE65" i="10"/>
  <c r="H788" i="10" s="1"/>
  <c r="BD65" i="10"/>
  <c r="H787" i="10" s="1"/>
  <c r="AW65" i="10"/>
  <c r="H780" i="10" s="1"/>
  <c r="AR65" i="10"/>
  <c r="H775" i="10" s="1"/>
  <c r="AQ65" i="10"/>
  <c r="H774" i="10" s="1"/>
  <c r="AP65" i="10"/>
  <c r="AG65" i="10"/>
  <c r="H764" i="10" s="1"/>
  <c r="CB64" i="10"/>
  <c r="G811" i="10" s="1"/>
  <c r="BY64" i="10"/>
  <c r="G808" i="10" s="1"/>
  <c r="BX64" i="10"/>
  <c r="G807" i="10" s="1"/>
  <c r="BS64" i="10"/>
  <c r="G802" i="10" s="1"/>
  <c r="AW64" i="10"/>
  <c r="G780" i="10" s="1"/>
  <c r="AP64" i="10"/>
  <c r="G773" i="10" s="1"/>
  <c r="AI64" i="10"/>
  <c r="G766" i="10" s="1"/>
  <c r="AG64" i="10"/>
  <c r="G764" i="10" s="1"/>
  <c r="AB64" i="10"/>
  <c r="G759" i="10" s="1"/>
  <c r="AA64" i="10"/>
  <c r="G758" i="10" s="1"/>
  <c r="Z64" i="10"/>
  <c r="G757" i="10" s="1"/>
  <c r="Y64" i="10"/>
  <c r="G756" i="10" s="1"/>
  <c r="X64" i="10"/>
  <c r="G755" i="10" s="1"/>
  <c r="W64" i="10"/>
  <c r="G754" i="10" s="1"/>
  <c r="U64" i="10"/>
  <c r="G752" i="10" s="1"/>
  <c r="P64" i="10"/>
  <c r="G747" i="10" s="1"/>
  <c r="E64" i="10"/>
  <c r="G736" i="10" s="1"/>
  <c r="C64" i="10"/>
  <c r="G734" i="10" s="1"/>
  <c r="BX63" i="10"/>
  <c r="F807" i="10" s="1"/>
  <c r="BN63" i="10"/>
  <c r="F797" i="10" s="1"/>
  <c r="BJ63" i="10"/>
  <c r="F793" i="10" s="1"/>
  <c r="AY63" i="10"/>
  <c r="F782" i="10" s="1"/>
  <c r="AW63" i="10"/>
  <c r="F780" i="10" s="1"/>
  <c r="AP63" i="10"/>
  <c r="F773" i="10" s="1"/>
  <c r="AG63" i="10"/>
  <c r="F764" i="10" s="1"/>
  <c r="AC63" i="10"/>
  <c r="F760" i="10" s="1"/>
  <c r="Y63" i="10"/>
  <c r="F756" i="10" s="1"/>
  <c r="U63" i="10"/>
  <c r="F752" i="10" s="1"/>
  <c r="J63" i="10"/>
  <c r="F741" i="10" s="1"/>
  <c r="E63" i="10"/>
  <c r="BX61" i="10"/>
  <c r="D807" i="10" s="1"/>
  <c r="BS61" i="10"/>
  <c r="BR61" i="10"/>
  <c r="D801" i="10" s="1"/>
  <c r="BN61" i="10"/>
  <c r="BK61" i="10"/>
  <c r="BE61" i="10"/>
  <c r="D788" i="10" s="1"/>
  <c r="AP61" i="10"/>
  <c r="D773" i="10" s="1"/>
  <c r="AJ61" i="10"/>
  <c r="D767" i="10" s="1"/>
  <c r="AI61" i="10"/>
  <c r="D766" i="10" s="1"/>
  <c r="AG61" i="10"/>
  <c r="D764" i="10" s="1"/>
  <c r="AB61" i="10"/>
  <c r="D759" i="10" s="1"/>
  <c r="AA61" i="10"/>
  <c r="D758" i="10" s="1"/>
  <c r="Y61" i="10"/>
  <c r="D756" i="10" s="1"/>
  <c r="X61" i="10"/>
  <c r="W61" i="10"/>
  <c r="U61" i="10"/>
  <c r="D752" i="10" s="1"/>
  <c r="P61" i="10"/>
  <c r="E61" i="10"/>
  <c r="D736" i="10" s="1"/>
  <c r="C61" i="10"/>
  <c r="D734" i="10" s="1"/>
  <c r="BX60" i="10"/>
  <c r="C807" i="10" s="1"/>
  <c r="BK60" i="10"/>
  <c r="C794" i="10" s="1"/>
  <c r="AP60" i="10"/>
  <c r="C773" i="10" s="1"/>
  <c r="AJ60" i="10"/>
  <c r="C767" i="10" s="1"/>
  <c r="AI60" i="10"/>
  <c r="C766" i="10" s="1"/>
  <c r="AG60" i="10"/>
  <c r="C764" i="10" s="1"/>
  <c r="AE60" i="10"/>
  <c r="C762" i="10" s="1"/>
  <c r="Y60" i="10"/>
  <c r="C756" i="10" s="1"/>
  <c r="U60" i="10"/>
  <c r="C752" i="10" s="1"/>
  <c r="E60" i="10"/>
  <c r="C736" i="10" s="1"/>
  <c r="C60" i="10"/>
  <c r="C734" i="10" s="1"/>
  <c r="C815" i="10" s="1"/>
  <c r="AP59" i="10"/>
  <c r="AJ59" i="10"/>
  <c r="AI59" i="10"/>
  <c r="AE59" i="10"/>
  <c r="AA59" i="10"/>
  <c r="Y59" i="10"/>
  <c r="X59" i="10"/>
  <c r="W59" i="10"/>
  <c r="U59" i="10"/>
  <c r="J59" i="10"/>
  <c r="E59" i="10"/>
  <c r="B53" i="10"/>
  <c r="CE51" i="10"/>
  <c r="B49" i="10"/>
  <c r="CE47" i="10"/>
  <c r="L816" i="10" l="1"/>
  <c r="C440" i="10"/>
  <c r="AC730" i="10"/>
  <c r="D290" i="10"/>
  <c r="B755" i="10"/>
  <c r="E517" i="10"/>
  <c r="D755" i="10"/>
  <c r="CE65" i="10"/>
  <c r="E200" i="10"/>
  <c r="AH730" i="10"/>
  <c r="D314" i="10"/>
  <c r="D339" i="10" s="1"/>
  <c r="C482" i="10" s="1"/>
  <c r="D754" i="10"/>
  <c r="B756" i="10"/>
  <c r="E518" i="10"/>
  <c r="D794" i="10"/>
  <c r="CE63" i="10"/>
  <c r="I734" i="10"/>
  <c r="I815" i="10" s="1"/>
  <c r="CE66" i="10"/>
  <c r="O762" i="10"/>
  <c r="AE75" i="10"/>
  <c r="N762" i="10" s="1"/>
  <c r="BK730" i="10"/>
  <c r="B464" i="10"/>
  <c r="G817" i="10"/>
  <c r="BT730" i="10"/>
  <c r="B430" i="10"/>
  <c r="CC730" i="10"/>
  <c r="B439" i="10"/>
  <c r="B758" i="10"/>
  <c r="E520" i="10"/>
  <c r="Q816" i="10"/>
  <c r="G612" i="10"/>
  <c r="CE79" i="10"/>
  <c r="CE60" i="10"/>
  <c r="D797" i="10"/>
  <c r="W813" i="10"/>
  <c r="W815" i="10" s="1"/>
  <c r="C459" i="10"/>
  <c r="S75" i="10"/>
  <c r="N750" i="10" s="1"/>
  <c r="P759" i="10"/>
  <c r="B762" i="10"/>
  <c r="E524" i="10"/>
  <c r="CE68" i="10"/>
  <c r="O815" i="10"/>
  <c r="CE75" i="10"/>
  <c r="CF77" i="10"/>
  <c r="CE80" i="10"/>
  <c r="AO722" i="10"/>
  <c r="E202" i="10"/>
  <c r="C474" i="10" s="1"/>
  <c r="F498" i="10"/>
  <c r="F736" i="10"/>
  <c r="F815" i="10" s="1"/>
  <c r="B754" i="10"/>
  <c r="E516" i="10"/>
  <c r="B736" i="10"/>
  <c r="E498" i="10"/>
  <c r="D415" i="10"/>
  <c r="B766" i="10"/>
  <c r="E528" i="10"/>
  <c r="D802" i="10"/>
  <c r="O736" i="10"/>
  <c r="E75" i="10"/>
  <c r="N736" i="10" s="1"/>
  <c r="N815" i="10" s="1"/>
  <c r="CE73" i="10"/>
  <c r="AG75" i="10"/>
  <c r="N764" i="10" s="1"/>
  <c r="P736" i="10"/>
  <c r="CE76" i="10"/>
  <c r="AB78" i="10" s="1"/>
  <c r="R759" i="10" s="1"/>
  <c r="P767" i="10"/>
  <c r="V730" i="10"/>
  <c r="B475" i="10"/>
  <c r="B741" i="10"/>
  <c r="E503" i="10"/>
  <c r="D424" i="10"/>
  <c r="B767" i="10"/>
  <c r="E529" i="10"/>
  <c r="D747" i="10"/>
  <c r="D815" i="10" s="1"/>
  <c r="X75" i="10"/>
  <c r="N755" i="10" s="1"/>
  <c r="P752" i="10"/>
  <c r="E730" i="10"/>
  <c r="D260" i="10"/>
  <c r="F516" i="10"/>
  <c r="B752" i="10"/>
  <c r="E514" i="10"/>
  <c r="B773" i="10"/>
  <c r="E535" i="10"/>
  <c r="L762" i="10"/>
  <c r="C439" i="10"/>
  <c r="V813" i="10"/>
  <c r="V815" i="10" s="1"/>
  <c r="CD71" i="10"/>
  <c r="C575" i="10" s="1"/>
  <c r="D817" i="10"/>
  <c r="BQ730" i="10"/>
  <c r="B427" i="10"/>
  <c r="D390" i="10"/>
  <c r="B441" i="10" s="1"/>
  <c r="L817" i="10"/>
  <c r="BY730" i="10"/>
  <c r="B435" i="10"/>
  <c r="B438" i="10"/>
  <c r="B440" i="10" s="1"/>
  <c r="H534" i="10"/>
  <c r="F534" i="10"/>
  <c r="C615" i="10"/>
  <c r="T815" i="10"/>
  <c r="D275" i="10"/>
  <c r="BU730" i="10"/>
  <c r="H817" i="10"/>
  <c r="B470" i="10"/>
  <c r="F496" i="10"/>
  <c r="F537" i="10"/>
  <c r="G815" i="10"/>
  <c r="U75" i="10"/>
  <c r="N752" i="10" s="1"/>
  <c r="S815" i="10"/>
  <c r="I726" i="10"/>
  <c r="B424" i="10"/>
  <c r="D435" i="10"/>
  <c r="D438" i="10"/>
  <c r="BV730" i="10"/>
  <c r="I817" i="10"/>
  <c r="B432" i="10"/>
  <c r="B436" i="10"/>
  <c r="F508" i="10"/>
  <c r="F550" i="10"/>
  <c r="M817" i="10"/>
  <c r="BO730" i="10"/>
  <c r="J817" i="10"/>
  <c r="BW730" i="10"/>
  <c r="F497" i="10"/>
  <c r="F531" i="10"/>
  <c r="H539" i="10"/>
  <c r="F539" i="10"/>
  <c r="M815" i="10"/>
  <c r="CE61" i="10"/>
  <c r="CE64" i="10"/>
  <c r="CE70" i="10"/>
  <c r="W78" i="10"/>
  <c r="R754" i="10" s="1"/>
  <c r="C204" i="10"/>
  <c r="E215" i="10"/>
  <c r="E217" i="10" s="1"/>
  <c r="C478" i="10" s="1"/>
  <c r="O817" i="10"/>
  <c r="BJ730" i="10"/>
  <c r="B463" i="10"/>
  <c r="D361" i="10"/>
  <c r="D372" i="10"/>
  <c r="C445" i="10"/>
  <c r="B458" i="10"/>
  <c r="F527" i="10"/>
  <c r="F529" i="10"/>
  <c r="B433" i="10"/>
  <c r="D242" i="10"/>
  <c r="B448" i="10" s="1"/>
  <c r="CB730" i="10"/>
  <c r="C444" i="10"/>
  <c r="BR730" i="10"/>
  <c r="E817" i="10"/>
  <c r="F515" i="10"/>
  <c r="F526" i="10"/>
  <c r="F540" i="10"/>
  <c r="H540" i="10"/>
  <c r="C217" i="10"/>
  <c r="D433" i="10" s="1"/>
  <c r="T730" i="10"/>
  <c r="B473" i="10"/>
  <c r="B428" i="10"/>
  <c r="H505" i="10"/>
  <c r="F505" i="10"/>
  <c r="H530" i="10"/>
  <c r="F530" i="10"/>
  <c r="F532" i="10"/>
  <c r="H532" i="10"/>
  <c r="K817" i="10"/>
  <c r="BX730" i="10"/>
  <c r="F518" i="10"/>
  <c r="H815" i="10"/>
  <c r="F817" i="10"/>
  <c r="BS730" i="10"/>
  <c r="P815" i="10"/>
  <c r="Q815" i="10"/>
  <c r="K815" i="10"/>
  <c r="L815" i="10"/>
  <c r="F493" i="1"/>
  <c r="D493" i="1"/>
  <c r="B493" i="1"/>
  <c r="AJ78" i="10" l="1"/>
  <c r="R767" i="10" s="1"/>
  <c r="T816" i="10"/>
  <c r="L612" i="10"/>
  <c r="C816" i="10"/>
  <c r="BI730" i="10"/>
  <c r="H612" i="10"/>
  <c r="P816" i="10"/>
  <c r="D612" i="10"/>
  <c r="BX78" i="10"/>
  <c r="R807" i="10" s="1"/>
  <c r="BK78" i="10"/>
  <c r="R794" i="10" s="1"/>
  <c r="AU78" i="10"/>
  <c r="R778" i="10" s="1"/>
  <c r="AM78" i="10"/>
  <c r="R770" i="10" s="1"/>
  <c r="AE78" i="10"/>
  <c r="R762" i="10" s="1"/>
  <c r="O78" i="10"/>
  <c r="R746" i="10" s="1"/>
  <c r="G78" i="10"/>
  <c r="R738" i="10" s="1"/>
  <c r="BV78" i="10"/>
  <c r="R805" i="10" s="1"/>
  <c r="BH78" i="10"/>
  <c r="R791" i="10" s="1"/>
  <c r="AS78" i="10"/>
  <c r="R776" i="10" s="1"/>
  <c r="AK78" i="10"/>
  <c r="R768" i="10" s="1"/>
  <c r="AC78" i="10"/>
  <c r="R760" i="10" s="1"/>
  <c r="M78" i="10"/>
  <c r="R744" i="10" s="1"/>
  <c r="BU78" i="10"/>
  <c r="R804" i="10" s="1"/>
  <c r="BC78" i="10"/>
  <c r="R786" i="10" s="1"/>
  <c r="AR78" i="10"/>
  <c r="R775" i="10" s="1"/>
  <c r="T78" i="10"/>
  <c r="R751" i="10" s="1"/>
  <c r="L78" i="10"/>
  <c r="R743" i="10" s="1"/>
  <c r="D78" i="10"/>
  <c r="R735" i="10" s="1"/>
  <c r="BS78" i="10"/>
  <c r="R802" i="10" s="1"/>
  <c r="AT78" i="10"/>
  <c r="R777" i="10" s="1"/>
  <c r="AG78" i="10"/>
  <c r="R764" i="10" s="1"/>
  <c r="S78" i="10"/>
  <c r="R750" i="10" s="1"/>
  <c r="H78" i="10"/>
  <c r="R739" i="10" s="1"/>
  <c r="BB52" i="10"/>
  <c r="BB67" i="10" s="1"/>
  <c r="J785" i="10" s="1"/>
  <c r="AT52" i="10"/>
  <c r="AT67" i="10" s="1"/>
  <c r="J777" i="10" s="1"/>
  <c r="AD52" i="10"/>
  <c r="AD67" i="10" s="1"/>
  <c r="J761" i="10" s="1"/>
  <c r="BM78" i="10"/>
  <c r="R796" i="10" s="1"/>
  <c r="AQ78" i="10"/>
  <c r="R774" i="10" s="1"/>
  <c r="AF78" i="10"/>
  <c r="R763" i="10" s="1"/>
  <c r="R78" i="10"/>
  <c r="R749" i="10" s="1"/>
  <c r="F78" i="10"/>
  <c r="R737" i="10" s="1"/>
  <c r="AS52" i="10"/>
  <c r="AS67" i="10" s="1"/>
  <c r="J776" i="10" s="1"/>
  <c r="AK52" i="10"/>
  <c r="AK67" i="10" s="1"/>
  <c r="J768" i="10" s="1"/>
  <c r="U52" i="10"/>
  <c r="U67" i="10" s="1"/>
  <c r="J752" i="10" s="1"/>
  <c r="CB78" i="10"/>
  <c r="R811" i="10" s="1"/>
  <c r="BL78" i="10"/>
  <c r="R795" i="10" s="1"/>
  <c r="AP78" i="10"/>
  <c r="R773" i="10" s="1"/>
  <c r="AD78" i="10"/>
  <c r="R761" i="10" s="1"/>
  <c r="Q78" i="10"/>
  <c r="R748" i="10" s="1"/>
  <c r="C78" i="10"/>
  <c r="AR52" i="10"/>
  <c r="AR67" i="10" s="1"/>
  <c r="J775" i="10" s="1"/>
  <c r="AJ52" i="10"/>
  <c r="AJ67" i="10" s="1"/>
  <c r="J767" i="10" s="1"/>
  <c r="T52" i="10"/>
  <c r="T67" i="10" s="1"/>
  <c r="J751" i="10" s="1"/>
  <c r="O52" i="10"/>
  <c r="O67" i="10" s="1"/>
  <c r="J746" i="10" s="1"/>
  <c r="CA78" i="10"/>
  <c r="R810" i="10" s="1"/>
  <c r="BI78" i="10"/>
  <c r="R792" i="10" s="1"/>
  <c r="AO78" i="10"/>
  <c r="R772" i="10" s="1"/>
  <c r="AA78" i="10"/>
  <c r="R758" i="10" s="1"/>
  <c r="P78" i="10"/>
  <c r="R747" i="10" s="1"/>
  <c r="BG52" i="10"/>
  <c r="BG67" i="10" s="1"/>
  <c r="J790" i="10" s="1"/>
  <c r="AY52" i="10"/>
  <c r="AY67" i="10" s="1"/>
  <c r="J782" i="10" s="1"/>
  <c r="AI52" i="10"/>
  <c r="AI67" i="10" s="1"/>
  <c r="J766" i="10" s="1"/>
  <c r="AN78" i="10"/>
  <c r="R771" i="10" s="1"/>
  <c r="N78" i="10"/>
  <c r="R745" i="10" s="1"/>
  <c r="BF52" i="10"/>
  <c r="BF67" i="10" s="1"/>
  <c r="J789" i="10" s="1"/>
  <c r="AE52" i="10"/>
  <c r="AE67" i="10" s="1"/>
  <c r="J762" i="10" s="1"/>
  <c r="BZ78" i="10"/>
  <c r="R809" i="10" s="1"/>
  <c r="BB78" i="10"/>
  <c r="R785" i="10" s="1"/>
  <c r="Z78" i="10"/>
  <c r="R757" i="10" s="1"/>
  <c r="BY78" i="10"/>
  <c r="R808" i="10" s="1"/>
  <c r="BA78" i="10"/>
  <c r="R784" i="10" s="1"/>
  <c r="AL78" i="10"/>
  <c r="R769" i="10" s="1"/>
  <c r="Y78" i="10"/>
  <c r="R756" i="10" s="1"/>
  <c r="K78" i="10"/>
  <c r="R742" i="10" s="1"/>
  <c r="BE52" i="10"/>
  <c r="BE67" i="10" s="1"/>
  <c r="J788" i="10" s="1"/>
  <c r="AW52" i="10"/>
  <c r="AW67" i="10" s="1"/>
  <c r="J780" i="10" s="1"/>
  <c r="AG52" i="10"/>
  <c r="AG67" i="10" s="1"/>
  <c r="J764" i="10" s="1"/>
  <c r="V78" i="10"/>
  <c r="R753" i="10" s="1"/>
  <c r="CA52" i="10"/>
  <c r="CA67" i="10" s="1"/>
  <c r="J810" i="10" s="1"/>
  <c r="BC52" i="10"/>
  <c r="BC67" i="10" s="1"/>
  <c r="J786" i="10" s="1"/>
  <c r="W52" i="10"/>
  <c r="W67" i="10" s="1"/>
  <c r="J754" i="10" s="1"/>
  <c r="G52" i="10"/>
  <c r="G67" i="10" s="1"/>
  <c r="J738" i="10" s="1"/>
  <c r="BW78" i="10"/>
  <c r="R806" i="10" s="1"/>
  <c r="AW78" i="10"/>
  <c r="R780" i="10" s="1"/>
  <c r="AI78" i="10"/>
  <c r="R766" i="10" s="1"/>
  <c r="X78" i="10"/>
  <c r="R755" i="10" s="1"/>
  <c r="J78" i="10"/>
  <c r="R741" i="10" s="1"/>
  <c r="CB52" i="10"/>
  <c r="CB67" i="10" s="1"/>
  <c r="J811" i="10" s="1"/>
  <c r="BT52" i="10"/>
  <c r="BT67" i="10" s="1"/>
  <c r="J803" i="10" s="1"/>
  <c r="BL52" i="10"/>
  <c r="BL67" i="10" s="1"/>
  <c r="J795" i="10" s="1"/>
  <c r="AN52" i="10"/>
  <c r="AN67" i="10" s="1"/>
  <c r="J771" i="10" s="1"/>
  <c r="X52" i="10"/>
  <c r="X67" i="10" s="1"/>
  <c r="J755" i="10" s="1"/>
  <c r="P52" i="10"/>
  <c r="P67" i="10" s="1"/>
  <c r="J747" i="10" s="1"/>
  <c r="H52" i="10"/>
  <c r="H67" i="10" s="1"/>
  <c r="J739" i="10" s="1"/>
  <c r="BT78" i="10"/>
  <c r="R803" i="10" s="1"/>
  <c r="AV78" i="10"/>
  <c r="R779" i="10" s="1"/>
  <c r="AH78" i="10"/>
  <c r="R765" i="10" s="1"/>
  <c r="I78" i="10"/>
  <c r="R740" i="10" s="1"/>
  <c r="CF76" i="10"/>
  <c r="V52" i="10" s="1"/>
  <c r="V67" i="10" s="1"/>
  <c r="J753" i="10" s="1"/>
  <c r="AM52" i="10"/>
  <c r="AM67" i="10" s="1"/>
  <c r="J770" i="10" s="1"/>
  <c r="U78" i="10"/>
  <c r="R752" i="10" s="1"/>
  <c r="N817" i="10"/>
  <c r="B465" i="10"/>
  <c r="D368" i="10"/>
  <c r="D373" i="10" s="1"/>
  <c r="D391" i="10" s="1"/>
  <c r="D393" i="10" s="1"/>
  <c r="D396" i="10" s="1"/>
  <c r="M816" i="10"/>
  <c r="C458" i="10"/>
  <c r="S816" i="10"/>
  <c r="J612" i="10"/>
  <c r="I816" i="10"/>
  <c r="C432" i="10"/>
  <c r="G816" i="10"/>
  <c r="F612" i="10"/>
  <c r="C430" i="10"/>
  <c r="K816" i="10"/>
  <c r="C434" i="10"/>
  <c r="F816" i="10"/>
  <c r="C429" i="10"/>
  <c r="E78" i="10"/>
  <c r="R736" i="10" s="1"/>
  <c r="D816" i="10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AO48" i="10"/>
  <c r="AO62" i="10" s="1"/>
  <c r="Q48" i="10"/>
  <c r="Q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U48" i="10"/>
  <c r="BU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AW48" i="10"/>
  <c r="AW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X48" i="10"/>
  <c r="BX62" i="10" s="1"/>
  <c r="BP48" i="10"/>
  <c r="BP62" i="10" s="1"/>
  <c r="AZ48" i="10"/>
  <c r="AZ62" i="10" s="1"/>
  <c r="AR48" i="10"/>
  <c r="AR62" i="10" s="1"/>
  <c r="AB48" i="10"/>
  <c r="AB62" i="10" s="1"/>
  <c r="T48" i="10"/>
  <c r="T62" i="10" s="1"/>
  <c r="D48" i="10"/>
  <c r="D62" i="10" s="1"/>
  <c r="CC48" i="10"/>
  <c r="CC62" i="10" s="1"/>
  <c r="AG48" i="10"/>
  <c r="AG62" i="10" s="1"/>
  <c r="BH48" i="10"/>
  <c r="BH62" i="10" s="1"/>
  <c r="AJ48" i="10"/>
  <c r="AJ62" i="10" s="1"/>
  <c r="L48" i="10"/>
  <c r="L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E48" i="10"/>
  <c r="BE62" i="10" s="1"/>
  <c r="I48" i="10"/>
  <c r="I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M48" i="10"/>
  <c r="BM62" i="10" s="1"/>
  <c r="Y48" i="10"/>
  <c r="Y62" i="10" s="1"/>
  <c r="C473" i="10"/>
  <c r="E204" i="10"/>
  <c r="C476" i="10" s="1"/>
  <c r="N816" i="10"/>
  <c r="K612" i="10"/>
  <c r="C465" i="10"/>
  <c r="B476" i="10"/>
  <c r="D277" i="10"/>
  <c r="D292" i="10" s="1"/>
  <c r="D341" i="10" s="1"/>
  <c r="C481" i="10" s="1"/>
  <c r="O816" i="10"/>
  <c r="C463" i="10"/>
  <c r="H816" i="10"/>
  <c r="C431" i="10"/>
  <c r="B575" i="1"/>
  <c r="A493" i="1"/>
  <c r="C115" i="8"/>
  <c r="C444" i="1"/>
  <c r="D367" i="1"/>
  <c r="C448" i="1" s="1"/>
  <c r="D221" i="1"/>
  <c r="B444" i="1" s="1"/>
  <c r="D12" i="6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49" i="9"/>
  <c r="H349" i="9"/>
  <c r="G349" i="9"/>
  <c r="F349" i="9"/>
  <c r="E349" i="9"/>
  <c r="D349" i="9"/>
  <c r="C351" i="9"/>
  <c r="C349" i="9"/>
  <c r="I319" i="9"/>
  <c r="H319" i="9"/>
  <c r="I317" i="9"/>
  <c r="H317" i="9"/>
  <c r="G317" i="9"/>
  <c r="I287" i="9"/>
  <c r="H287" i="9"/>
  <c r="G287" i="9"/>
  <c r="I285" i="9"/>
  <c r="H285" i="9"/>
  <c r="G285" i="9"/>
  <c r="D287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29" i="9"/>
  <c r="D28" i="9"/>
  <c r="H105" i="9"/>
  <c r="G28" i="9"/>
  <c r="G29" i="9"/>
  <c r="G31" i="9"/>
  <c r="H92" i="9"/>
  <c r="I252" i="9"/>
  <c r="F284" i="9"/>
  <c r="H284" i="9"/>
  <c r="H316" i="9"/>
  <c r="D348" i="9"/>
  <c r="G348" i="9"/>
  <c r="E316" i="9"/>
  <c r="C96" i="9"/>
  <c r="F96" i="9"/>
  <c r="G156" i="9"/>
  <c r="G157" i="9"/>
  <c r="E160" i="9"/>
  <c r="G160" i="9"/>
  <c r="H28" i="9"/>
  <c r="I28" i="9"/>
  <c r="H29" i="9"/>
  <c r="F31" i="9"/>
  <c r="H31" i="9"/>
  <c r="I31" i="9"/>
  <c r="G32" i="9"/>
  <c r="H32" i="9"/>
  <c r="I32" i="9"/>
  <c r="C63" i="9"/>
  <c r="D60" i="9"/>
  <c r="E60" i="9"/>
  <c r="F60" i="9"/>
  <c r="G60" i="9"/>
  <c r="H60" i="9"/>
  <c r="D61" i="9"/>
  <c r="E61" i="9"/>
  <c r="F61" i="9"/>
  <c r="G61" i="9"/>
  <c r="D63" i="9"/>
  <c r="E63" i="9"/>
  <c r="F63" i="9"/>
  <c r="G63" i="9"/>
  <c r="D64" i="9"/>
  <c r="E64" i="9"/>
  <c r="F64" i="9"/>
  <c r="G64" i="9"/>
  <c r="H64" i="9"/>
  <c r="C92" i="9"/>
  <c r="C93" i="9"/>
  <c r="D92" i="9"/>
  <c r="D93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E95" i="9"/>
  <c r="F95" i="9"/>
  <c r="E96" i="9"/>
  <c r="C124" i="9"/>
  <c r="C125" i="9"/>
  <c r="C128" i="9"/>
  <c r="E124" i="9"/>
  <c r="F124" i="9"/>
  <c r="D125" i="9"/>
  <c r="E125" i="9"/>
  <c r="F125" i="9"/>
  <c r="E127" i="9"/>
  <c r="F127" i="9"/>
  <c r="E128" i="9"/>
  <c r="F128" i="9"/>
  <c r="I124" i="9"/>
  <c r="H125" i="9"/>
  <c r="I125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3" i="9"/>
  <c r="C224" i="9"/>
  <c r="D220" i="9"/>
  <c r="E220" i="9"/>
  <c r="D221" i="9"/>
  <c r="E221" i="9"/>
  <c r="D223" i="9"/>
  <c r="E223" i="9"/>
  <c r="D224" i="9"/>
  <c r="E224" i="9"/>
  <c r="F221" i="9"/>
  <c r="F223" i="9"/>
  <c r="C253" i="9"/>
  <c r="D253" i="9"/>
  <c r="E253" i="9"/>
  <c r="F253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H156" i="9"/>
  <c r="F220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32" i="6" s="1"/>
  <c r="E196" i="1"/>
  <c r="E197" i="1"/>
  <c r="C470" i="1" s="1"/>
  <c r="E198" i="1"/>
  <c r="E199" i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D463" i="1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29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L48" i="1"/>
  <c r="L62" i="1" s="1"/>
  <c r="D436" i="1"/>
  <c r="C34" i="5"/>
  <c r="C16" i="8"/>
  <c r="C469" i="1"/>
  <c r="F8" i="6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M48" i="1"/>
  <c r="M62" i="1" s="1"/>
  <c r="CD71" i="1"/>
  <c r="E373" i="9" s="1"/>
  <c r="BU48" i="1"/>
  <c r="BU62" i="1" s="1"/>
  <c r="C332" i="9" s="1"/>
  <c r="I48" i="1"/>
  <c r="I62" i="1" s="1"/>
  <c r="AA48" i="1"/>
  <c r="AA62" i="1" s="1"/>
  <c r="F108" i="9" s="1"/>
  <c r="C615" i="1"/>
  <c r="B440" i="1"/>
  <c r="E372" i="9"/>
  <c r="BT48" i="1"/>
  <c r="BT62" i="1" s="1"/>
  <c r="BD48" i="1"/>
  <c r="BD62" i="1" s="1"/>
  <c r="G236" i="9" s="1"/>
  <c r="AN48" i="1"/>
  <c r="AN62" i="1" s="1"/>
  <c r="R48" i="1"/>
  <c r="R62" i="1" s="1"/>
  <c r="F15" i="6" l="1"/>
  <c r="G28" i="4"/>
  <c r="G10" i="4"/>
  <c r="BX78" i="1"/>
  <c r="F350" i="9" s="1"/>
  <c r="BK78" i="1"/>
  <c r="G286" i="9" s="1"/>
  <c r="AU78" i="1"/>
  <c r="E222" i="9" s="1"/>
  <c r="AM78" i="1"/>
  <c r="D190" i="9" s="1"/>
  <c r="AE78" i="1"/>
  <c r="C158" i="9" s="1"/>
  <c r="W78" i="1"/>
  <c r="I94" i="9" s="1"/>
  <c r="O78" i="1"/>
  <c r="H62" i="9" s="1"/>
  <c r="G78" i="1"/>
  <c r="G30" i="9" s="1"/>
  <c r="CB78" i="1"/>
  <c r="C382" i="9" s="1"/>
  <c r="BT78" i="1"/>
  <c r="I318" i="9" s="1"/>
  <c r="AQ78" i="1"/>
  <c r="H190" i="9" s="1"/>
  <c r="AA78" i="1"/>
  <c r="F126" i="9" s="1"/>
  <c r="AG78" i="1"/>
  <c r="E158" i="9" s="1"/>
  <c r="AN78" i="1"/>
  <c r="E190" i="9" s="1"/>
  <c r="BW78" i="1"/>
  <c r="E350" i="9" s="1"/>
  <c r="BI78" i="1"/>
  <c r="E286" i="9" s="1"/>
  <c r="AT78" i="1"/>
  <c r="D222" i="9" s="1"/>
  <c r="AL78" i="1"/>
  <c r="C190" i="9" s="1"/>
  <c r="AD78" i="1"/>
  <c r="I126" i="9" s="1"/>
  <c r="V78" i="1"/>
  <c r="H94" i="9" s="1"/>
  <c r="N78" i="1"/>
  <c r="G62" i="9" s="1"/>
  <c r="F78" i="1"/>
  <c r="F30" i="9" s="1"/>
  <c r="BY78" i="1"/>
  <c r="G350" i="9" s="1"/>
  <c r="AV78" i="1"/>
  <c r="F222" i="9" s="1"/>
  <c r="H78" i="1"/>
  <c r="H30" i="9" s="1"/>
  <c r="BV78" i="1"/>
  <c r="D350" i="9" s="1"/>
  <c r="BH78" i="1"/>
  <c r="D286" i="9" s="1"/>
  <c r="AS78" i="1"/>
  <c r="C222" i="9" s="1"/>
  <c r="AK78" i="1"/>
  <c r="I158" i="9" s="1"/>
  <c r="AC78" i="1"/>
  <c r="H126" i="9" s="1"/>
  <c r="M78" i="1"/>
  <c r="F62" i="9" s="1"/>
  <c r="BB78" i="1"/>
  <c r="E254" i="9" s="1"/>
  <c r="S78" i="1"/>
  <c r="E94" i="9" s="1"/>
  <c r="Q78" i="1"/>
  <c r="C94" i="9" s="1"/>
  <c r="AF78" i="1"/>
  <c r="D158" i="9" s="1"/>
  <c r="BU78" i="1"/>
  <c r="C350" i="9" s="1"/>
  <c r="BC78" i="1"/>
  <c r="F254" i="9" s="1"/>
  <c r="AR78" i="1"/>
  <c r="I190" i="9" s="1"/>
  <c r="AB78" i="1"/>
  <c r="G126" i="9" s="1"/>
  <c r="T78" i="1"/>
  <c r="F94" i="9" s="1"/>
  <c r="L78" i="1"/>
  <c r="E62" i="9" s="1"/>
  <c r="D78" i="1"/>
  <c r="D30" i="9" s="1"/>
  <c r="K78" i="1"/>
  <c r="D62" i="9" s="1"/>
  <c r="I78" i="1"/>
  <c r="I30" i="9" s="1"/>
  <c r="BL78" i="1"/>
  <c r="H286" i="9" s="1"/>
  <c r="X78" i="1"/>
  <c r="C126" i="9" s="1"/>
  <c r="P78" i="1"/>
  <c r="I62" i="9" s="1"/>
  <c r="CA78" i="1"/>
  <c r="I350" i="9" s="1"/>
  <c r="BS78" i="1"/>
  <c r="H318" i="9" s="1"/>
  <c r="BA78" i="1"/>
  <c r="D254" i="9" s="1"/>
  <c r="AH78" i="1"/>
  <c r="F158" i="9" s="1"/>
  <c r="Z78" i="1"/>
  <c r="E126" i="9" s="1"/>
  <c r="R78" i="1"/>
  <c r="D94" i="9" s="1"/>
  <c r="J78" i="1"/>
  <c r="C62" i="9" s="1"/>
  <c r="BZ78" i="1"/>
  <c r="H350" i="9" s="1"/>
  <c r="BM78" i="1"/>
  <c r="I286" i="9" s="1"/>
  <c r="AW78" i="1"/>
  <c r="G222" i="9" s="1"/>
  <c r="AO78" i="1"/>
  <c r="F190" i="9" s="1"/>
  <c r="AJ78" i="1"/>
  <c r="H158" i="9" s="1"/>
  <c r="Y78" i="1"/>
  <c r="D126" i="9" s="1"/>
  <c r="U78" i="1"/>
  <c r="G94" i="9" s="1"/>
  <c r="E78" i="1"/>
  <c r="E30" i="9" s="1"/>
  <c r="C78" i="1"/>
  <c r="AI78" i="1"/>
  <c r="G158" i="9" s="1"/>
  <c r="AP78" i="1"/>
  <c r="G190" i="9" s="1"/>
  <c r="B19" i="4"/>
  <c r="E28" i="4"/>
  <c r="D433" i="1"/>
  <c r="C473" i="1"/>
  <c r="C119" i="8"/>
  <c r="D368" i="1"/>
  <c r="C120" i="8" s="1"/>
  <c r="C432" i="1"/>
  <c r="B441" i="1"/>
  <c r="I362" i="9"/>
  <c r="D5" i="7"/>
  <c r="C14" i="5"/>
  <c r="B10" i="4"/>
  <c r="G122" i="9"/>
  <c r="I90" i="9"/>
  <c r="G90" i="9"/>
  <c r="I377" i="9"/>
  <c r="E154" i="9"/>
  <c r="F9" i="6"/>
  <c r="C575" i="1"/>
  <c r="C440" i="1"/>
  <c r="C434" i="1"/>
  <c r="I381" i="9"/>
  <c r="G612" i="1"/>
  <c r="I380" i="9"/>
  <c r="CF76" i="1"/>
  <c r="BZ52" i="1" s="1"/>
  <c r="BZ67" i="1" s="1"/>
  <c r="H337" i="9" s="1"/>
  <c r="D612" i="1"/>
  <c r="I366" i="9"/>
  <c r="C430" i="1"/>
  <c r="I372" i="9"/>
  <c r="D330" i="1"/>
  <c r="C86" i="8" s="1"/>
  <c r="AD48" i="1"/>
  <c r="AD62" i="1" s="1"/>
  <c r="BY48" i="1"/>
  <c r="BY62" i="1" s="1"/>
  <c r="AI48" i="1"/>
  <c r="AI62" i="1" s="1"/>
  <c r="E48" i="1"/>
  <c r="E62" i="1" s="1"/>
  <c r="BI48" i="1"/>
  <c r="BI62" i="1" s="1"/>
  <c r="E268" i="9" s="1"/>
  <c r="P48" i="1"/>
  <c r="P62" i="1" s="1"/>
  <c r="I44" i="9" s="1"/>
  <c r="AF48" i="1"/>
  <c r="AF62" i="1" s="1"/>
  <c r="D140" i="9" s="1"/>
  <c r="AV48" i="1"/>
  <c r="AV62" i="1" s="1"/>
  <c r="BL48" i="1"/>
  <c r="BL62" i="1" s="1"/>
  <c r="H268" i="9" s="1"/>
  <c r="CA48" i="1"/>
  <c r="CA62" i="1" s="1"/>
  <c r="BG48" i="1"/>
  <c r="BG62" i="1" s="1"/>
  <c r="C268" i="9" s="1"/>
  <c r="AO48" i="1"/>
  <c r="AO62" i="1" s="1"/>
  <c r="F172" i="9" s="1"/>
  <c r="BA48" i="1"/>
  <c r="BA62" i="1" s="1"/>
  <c r="AM48" i="1"/>
  <c r="AM62" i="1" s="1"/>
  <c r="AB48" i="1"/>
  <c r="AB62" i="1" s="1"/>
  <c r="AT48" i="1"/>
  <c r="AT62" i="1" s="1"/>
  <c r="BJ48" i="1"/>
  <c r="BJ62" i="1" s="1"/>
  <c r="Q48" i="1"/>
  <c r="Q62" i="1" s="1"/>
  <c r="AC48" i="1"/>
  <c r="AC62" i="1" s="1"/>
  <c r="H108" i="9" s="1"/>
  <c r="N48" i="1"/>
  <c r="N62" i="1" s="1"/>
  <c r="AL48" i="1"/>
  <c r="AL62" i="1" s="1"/>
  <c r="C172" i="9" s="1"/>
  <c r="BB48" i="1"/>
  <c r="BB62" i="1" s="1"/>
  <c r="BR48" i="1"/>
  <c r="BR62" i="1" s="1"/>
  <c r="G300" i="9" s="1"/>
  <c r="BO48" i="1"/>
  <c r="BO62" i="1" s="1"/>
  <c r="D300" i="9" s="1"/>
  <c r="AW48" i="1"/>
  <c r="AW62" i="1" s="1"/>
  <c r="BQ48" i="1"/>
  <c r="BQ62" i="1" s="1"/>
  <c r="AE48" i="1"/>
  <c r="AE62" i="1" s="1"/>
  <c r="I363" i="9"/>
  <c r="F48" i="1"/>
  <c r="F62" i="1" s="1"/>
  <c r="V48" i="1"/>
  <c r="V62" i="1" s="1"/>
  <c r="H76" i="9" s="1"/>
  <c r="AH48" i="1"/>
  <c r="AH62" i="1" s="1"/>
  <c r="AP48" i="1"/>
  <c r="AP62" i="1" s="1"/>
  <c r="G172" i="9" s="1"/>
  <c r="AX48" i="1"/>
  <c r="AX62" i="1" s="1"/>
  <c r="BF48" i="1"/>
  <c r="BF62" i="1" s="1"/>
  <c r="BN48" i="1"/>
  <c r="BN62" i="1" s="1"/>
  <c r="BV48" i="1"/>
  <c r="BV62" i="1" s="1"/>
  <c r="D332" i="9" s="1"/>
  <c r="E44" i="9"/>
  <c r="CB48" i="1"/>
  <c r="CB62" i="1" s="1"/>
  <c r="C364" i="9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O48" i="1"/>
  <c r="O62" i="1" s="1"/>
  <c r="BS48" i="1"/>
  <c r="BS62" i="1" s="1"/>
  <c r="G48" i="1"/>
  <c r="G62" i="1" s="1"/>
  <c r="G12" i="9" s="1"/>
  <c r="D48" i="1"/>
  <c r="D62" i="1" s="1"/>
  <c r="T48" i="1"/>
  <c r="T62" i="1" s="1"/>
  <c r="F76" i="9" s="1"/>
  <c r="AS48" i="1"/>
  <c r="AS62" i="1" s="1"/>
  <c r="C204" i="9" s="1"/>
  <c r="J48" i="1"/>
  <c r="J62" i="1" s="1"/>
  <c r="Z48" i="1"/>
  <c r="Z62" i="1" s="1"/>
  <c r="E108" i="9" s="1"/>
  <c r="AJ48" i="1"/>
  <c r="AJ62" i="1" s="1"/>
  <c r="AR48" i="1"/>
  <c r="AR62" i="1" s="1"/>
  <c r="I172" i="9" s="1"/>
  <c r="AZ48" i="1"/>
  <c r="AZ62" i="1" s="1"/>
  <c r="BH48" i="1"/>
  <c r="BH62" i="1" s="1"/>
  <c r="BP48" i="1"/>
  <c r="BP62" i="1" s="1"/>
  <c r="BX48" i="1"/>
  <c r="BX62" i="1" s="1"/>
  <c r="C48" i="1"/>
  <c r="C62" i="1" s="1"/>
  <c r="C12" i="9" s="1"/>
  <c r="S48" i="1"/>
  <c r="S62" i="1" s="1"/>
  <c r="E76" i="9" s="1"/>
  <c r="AY48" i="1"/>
  <c r="AY62" i="1" s="1"/>
  <c r="CC48" i="1"/>
  <c r="CC62" i="1" s="1"/>
  <c r="AG48" i="1"/>
  <c r="AG62" i="1" s="1"/>
  <c r="E140" i="9" s="1"/>
  <c r="BM48" i="1"/>
  <c r="BM62" i="1" s="1"/>
  <c r="AK48" i="1"/>
  <c r="AK62" i="1" s="1"/>
  <c r="C427" i="1"/>
  <c r="BC48" i="1"/>
  <c r="BC62" i="1" s="1"/>
  <c r="AU48" i="1"/>
  <c r="AU62" i="1" s="1"/>
  <c r="BZ48" i="1"/>
  <c r="BZ62" i="1" s="1"/>
  <c r="H48" i="1"/>
  <c r="H62" i="1" s="1"/>
  <c r="X48" i="1"/>
  <c r="X62" i="1" s="1"/>
  <c r="W48" i="1"/>
  <c r="W62" i="1" s="1"/>
  <c r="I76" i="9" s="1"/>
  <c r="D76" i="9"/>
  <c r="I12" i="9"/>
  <c r="E172" i="9"/>
  <c r="I300" i="9"/>
  <c r="E736" i="10"/>
  <c r="E787" i="10"/>
  <c r="E796" i="10"/>
  <c r="E797" i="10"/>
  <c r="E766" i="10"/>
  <c r="AI71" i="10"/>
  <c r="E791" i="10"/>
  <c r="E799" i="10"/>
  <c r="E784" i="10"/>
  <c r="BA71" i="10"/>
  <c r="E761" i="10"/>
  <c r="AD71" i="10"/>
  <c r="E738" i="10"/>
  <c r="G71" i="10"/>
  <c r="E802" i="10"/>
  <c r="E771" i="10"/>
  <c r="AN71" i="10"/>
  <c r="R734" i="10"/>
  <c r="R815" i="10" s="1"/>
  <c r="CE78" i="10"/>
  <c r="E812" i="10"/>
  <c r="E748" i="10"/>
  <c r="E741" i="10"/>
  <c r="J71" i="10"/>
  <c r="E805" i="10"/>
  <c r="E774" i="10"/>
  <c r="AQ71" i="10"/>
  <c r="E764" i="10"/>
  <c r="AG71" i="10"/>
  <c r="E807" i="10"/>
  <c r="E792" i="10"/>
  <c r="E769" i="10"/>
  <c r="E746" i="10"/>
  <c r="O71" i="10"/>
  <c r="E810" i="10"/>
  <c r="CA71" i="10"/>
  <c r="E779" i="10"/>
  <c r="AO52" i="10"/>
  <c r="AO67" i="10" s="1"/>
  <c r="J772" i="10" s="1"/>
  <c r="BV52" i="10"/>
  <c r="BV67" i="10" s="1"/>
  <c r="J805" i="10" s="1"/>
  <c r="AQ52" i="10"/>
  <c r="AQ67" i="10" s="1"/>
  <c r="J774" i="10" s="1"/>
  <c r="AB52" i="10"/>
  <c r="AB67" i="10" s="1"/>
  <c r="J759" i="10" s="1"/>
  <c r="AC52" i="10"/>
  <c r="AC67" i="10" s="1"/>
  <c r="J760" i="10" s="1"/>
  <c r="AL52" i="10"/>
  <c r="AL67" i="10" s="1"/>
  <c r="J769" i="10" s="1"/>
  <c r="E749" i="10"/>
  <c r="E777" i="10"/>
  <c r="AT71" i="10"/>
  <c r="E788" i="10"/>
  <c r="BE71" i="10"/>
  <c r="E762" i="10"/>
  <c r="AE71" i="10"/>
  <c r="E765" i="10"/>
  <c r="AH71" i="10"/>
  <c r="C62" i="10"/>
  <c r="CE48" i="10"/>
  <c r="E798" i="10"/>
  <c r="E751" i="10"/>
  <c r="T71" i="10"/>
  <c r="E752" i="10"/>
  <c r="U71" i="10"/>
  <c r="E780" i="10"/>
  <c r="AW71" i="10"/>
  <c r="B542" i="1" s="1"/>
  <c r="E793" i="10"/>
  <c r="E770" i="10"/>
  <c r="AM71" i="10"/>
  <c r="E739" i="10"/>
  <c r="H71" i="10"/>
  <c r="E803" i="10"/>
  <c r="BT71" i="10"/>
  <c r="AF52" i="10"/>
  <c r="AF67" i="10" s="1"/>
  <c r="J763" i="10" s="1"/>
  <c r="BM52" i="10"/>
  <c r="BM67" i="10" s="1"/>
  <c r="J796" i="10" s="1"/>
  <c r="J52" i="10"/>
  <c r="J67" i="10" s="1"/>
  <c r="J741" i="10" s="1"/>
  <c r="BS52" i="10"/>
  <c r="BS67" i="10" s="1"/>
  <c r="J802" i="10" s="1"/>
  <c r="C52" i="10"/>
  <c r="BO52" i="10"/>
  <c r="BO67" i="10" s="1"/>
  <c r="J798" i="10" s="1"/>
  <c r="AU52" i="10"/>
  <c r="AU67" i="10" s="1"/>
  <c r="J778" i="10" s="1"/>
  <c r="AZ52" i="10"/>
  <c r="AZ67" i="10" s="1"/>
  <c r="J783" i="10" s="1"/>
  <c r="BA52" i="10"/>
  <c r="BA67" i="10" s="1"/>
  <c r="J784" i="10" s="1"/>
  <c r="BJ52" i="10"/>
  <c r="BJ67" i="10" s="1"/>
  <c r="J793" i="10" s="1"/>
  <c r="E800" i="10"/>
  <c r="BQ71" i="10"/>
  <c r="E757" i="10"/>
  <c r="E808" i="10"/>
  <c r="E773" i="10"/>
  <c r="AP71" i="10"/>
  <c r="E742" i="10"/>
  <c r="K71" i="10"/>
  <c r="E806" i="10"/>
  <c r="E759" i="10"/>
  <c r="AB71" i="10"/>
  <c r="E760" i="10"/>
  <c r="AC71" i="10"/>
  <c r="B522" i="1" s="1"/>
  <c r="E737" i="10"/>
  <c r="F71" i="10"/>
  <c r="E801" i="10"/>
  <c r="BR71" i="10"/>
  <c r="E778" i="10"/>
  <c r="AU71" i="10"/>
  <c r="B540" i="1" s="1"/>
  <c r="E747" i="10"/>
  <c r="P71" i="10"/>
  <c r="E811" i="10"/>
  <c r="CB71" i="10"/>
  <c r="I52" i="10"/>
  <c r="I67" i="10" s="1"/>
  <c r="J740" i="10" s="1"/>
  <c r="BU52" i="10"/>
  <c r="BU67" i="10" s="1"/>
  <c r="J804" i="10" s="1"/>
  <c r="AH52" i="10"/>
  <c r="AH67" i="10" s="1"/>
  <c r="J765" i="10" s="1"/>
  <c r="R52" i="10"/>
  <c r="R67" i="10" s="1"/>
  <c r="J749" i="10" s="1"/>
  <c r="K52" i="10"/>
  <c r="K67" i="10" s="1"/>
  <c r="J742" i="10" s="1"/>
  <c r="BW52" i="10"/>
  <c r="BW67" i="10" s="1"/>
  <c r="J806" i="10" s="1"/>
  <c r="BK52" i="10"/>
  <c r="BK67" i="10" s="1"/>
  <c r="J794" i="10" s="1"/>
  <c r="BH52" i="10"/>
  <c r="BH67" i="10" s="1"/>
  <c r="J791" i="10" s="1"/>
  <c r="BI52" i="10"/>
  <c r="BI67" i="10" s="1"/>
  <c r="J792" i="10" s="1"/>
  <c r="F52" i="10"/>
  <c r="F67" i="10" s="1"/>
  <c r="J737" i="10" s="1"/>
  <c r="BR52" i="10"/>
  <c r="BR67" i="10" s="1"/>
  <c r="J801" i="10" s="1"/>
  <c r="E782" i="10"/>
  <c r="AY71" i="10"/>
  <c r="E790" i="10"/>
  <c r="BG71" i="10"/>
  <c r="E744" i="10"/>
  <c r="M71" i="10"/>
  <c r="B506" i="1" s="1"/>
  <c r="E795" i="10"/>
  <c r="BL71" i="10"/>
  <c r="E781" i="10"/>
  <c r="E750" i="10"/>
  <c r="E743" i="10"/>
  <c r="L71" i="10"/>
  <c r="B505" i="1" s="1"/>
  <c r="E775" i="10"/>
  <c r="AR71" i="10"/>
  <c r="E768" i="10"/>
  <c r="AK71" i="10"/>
  <c r="E745" i="10"/>
  <c r="E809" i="10"/>
  <c r="E786" i="10"/>
  <c r="BC71" i="10"/>
  <c r="E755" i="10"/>
  <c r="X71" i="10"/>
  <c r="AV52" i="10"/>
  <c r="AV67" i="10" s="1"/>
  <c r="J779" i="10" s="1"/>
  <c r="Q52" i="10"/>
  <c r="Q67" i="10" s="1"/>
  <c r="J748" i="10" s="1"/>
  <c r="CC52" i="10"/>
  <c r="CC67" i="10" s="1"/>
  <c r="J812" i="10" s="1"/>
  <c r="AX52" i="10"/>
  <c r="AX67" i="10" s="1"/>
  <c r="J781" i="10" s="1"/>
  <c r="Z52" i="10"/>
  <c r="Z67" i="10" s="1"/>
  <c r="J757" i="10" s="1"/>
  <c r="S52" i="10"/>
  <c r="S67" i="10" s="1"/>
  <c r="J750" i="10" s="1"/>
  <c r="D52" i="10"/>
  <c r="D67" i="10" s="1"/>
  <c r="J735" i="10" s="1"/>
  <c r="BP52" i="10"/>
  <c r="BP67" i="10" s="1"/>
  <c r="J799" i="10" s="1"/>
  <c r="E52" i="10"/>
  <c r="E67" i="10" s="1"/>
  <c r="J736" i="10" s="1"/>
  <c r="BQ52" i="10"/>
  <c r="BQ67" i="10" s="1"/>
  <c r="J800" i="10" s="1"/>
  <c r="N52" i="10"/>
  <c r="N67" i="10" s="1"/>
  <c r="J745" i="10" s="1"/>
  <c r="BZ52" i="10"/>
  <c r="BZ67" i="10" s="1"/>
  <c r="J809" i="10" s="1"/>
  <c r="E740" i="10"/>
  <c r="E754" i="10"/>
  <c r="W71" i="10"/>
  <c r="E735" i="10"/>
  <c r="E785" i="10"/>
  <c r="BB71" i="10"/>
  <c r="B547" i="1" s="1"/>
  <c r="E772" i="10"/>
  <c r="AO71" i="10"/>
  <c r="E756" i="10"/>
  <c r="E789" i="10"/>
  <c r="BF71" i="10"/>
  <c r="E758" i="10"/>
  <c r="E767" i="10"/>
  <c r="AJ71" i="10"/>
  <c r="E783" i="10"/>
  <c r="E776" i="10"/>
  <c r="AS71" i="10"/>
  <c r="E753" i="10"/>
  <c r="V71" i="10"/>
  <c r="E804" i="10"/>
  <c r="E794" i="10"/>
  <c r="BK71" i="10"/>
  <c r="E763" i="10"/>
  <c r="AF71" i="10"/>
  <c r="BD52" i="10"/>
  <c r="BD67" i="10" s="1"/>
  <c r="J787" i="10" s="1"/>
  <c r="Y52" i="10"/>
  <c r="Y67" i="10" s="1"/>
  <c r="J756" i="10" s="1"/>
  <c r="BN52" i="10"/>
  <c r="BN67" i="10" s="1"/>
  <c r="J797" i="10" s="1"/>
  <c r="AP52" i="10"/>
  <c r="AP67" i="10" s="1"/>
  <c r="J773" i="10" s="1"/>
  <c r="AA52" i="10"/>
  <c r="AA67" i="10" s="1"/>
  <c r="J758" i="10" s="1"/>
  <c r="L52" i="10"/>
  <c r="L67" i="10" s="1"/>
  <c r="J743" i="10" s="1"/>
  <c r="BX52" i="10"/>
  <c r="BX67" i="10" s="1"/>
  <c r="J807" i="10" s="1"/>
  <c r="M52" i="10"/>
  <c r="M67" i="10" s="1"/>
  <c r="J744" i="10" s="1"/>
  <c r="BY52" i="10"/>
  <c r="BY67" i="10" s="1"/>
  <c r="J808" i="10" s="1"/>
  <c r="B500" i="1"/>
  <c r="B552" i="1"/>
  <c r="B538" i="1"/>
  <c r="B514" i="1"/>
  <c r="B525" i="1"/>
  <c r="B551" i="1"/>
  <c r="B501" i="1"/>
  <c r="B509" i="1"/>
  <c r="B513" i="1"/>
  <c r="B537" i="1"/>
  <c r="B534" i="1"/>
  <c r="B535" i="1"/>
  <c r="B546" i="1"/>
  <c r="B550" i="1"/>
  <c r="B548" i="1"/>
  <c r="B556" i="1"/>
  <c r="B563" i="1"/>
  <c r="B527" i="1"/>
  <c r="B503" i="1"/>
  <c r="B544" i="1"/>
  <c r="B528" i="1"/>
  <c r="B508" i="1"/>
  <c r="B539" i="1"/>
  <c r="B515" i="1"/>
  <c r="B565" i="1"/>
  <c r="B523" i="1"/>
  <c r="F44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CE78" i="1" l="1"/>
  <c r="C30" i="9"/>
  <c r="BS52" i="1"/>
  <c r="BS67" i="1" s="1"/>
  <c r="AA52" i="1"/>
  <c r="AA67" i="1" s="1"/>
  <c r="AA71" i="1" s="1"/>
  <c r="F117" i="9" s="1"/>
  <c r="AS52" i="1"/>
  <c r="AS67" i="1" s="1"/>
  <c r="AS71" i="1" s="1"/>
  <c r="C710" i="1" s="1"/>
  <c r="BD52" i="1"/>
  <c r="BD67" i="1" s="1"/>
  <c r="BD71" i="1" s="1"/>
  <c r="C624" i="1" s="1"/>
  <c r="BW52" i="1"/>
  <c r="BW67" i="1" s="1"/>
  <c r="CB52" i="1"/>
  <c r="CB67" i="1" s="1"/>
  <c r="Z52" i="1"/>
  <c r="Z67" i="1" s="1"/>
  <c r="E113" i="9" s="1"/>
  <c r="AG52" i="1"/>
  <c r="AG67" i="1" s="1"/>
  <c r="E145" i="9" s="1"/>
  <c r="U52" i="1"/>
  <c r="U67" i="1" s="1"/>
  <c r="G81" i="9" s="1"/>
  <c r="BI52" i="1"/>
  <c r="BI67" i="1" s="1"/>
  <c r="M52" i="1"/>
  <c r="M67" i="1" s="1"/>
  <c r="M71" i="1" s="1"/>
  <c r="C506" i="1" s="1"/>
  <c r="G506" i="1" s="1"/>
  <c r="K52" i="1"/>
  <c r="K67" i="1" s="1"/>
  <c r="D49" i="9" s="1"/>
  <c r="AI52" i="1"/>
  <c r="AI67" i="1" s="1"/>
  <c r="G145" i="9" s="1"/>
  <c r="CA52" i="1"/>
  <c r="CA67" i="1" s="1"/>
  <c r="I337" i="9" s="1"/>
  <c r="BR52" i="1"/>
  <c r="BR67" i="1" s="1"/>
  <c r="F52" i="1"/>
  <c r="F67" i="1" s="1"/>
  <c r="AZ52" i="1"/>
  <c r="AZ67" i="1" s="1"/>
  <c r="AZ71" i="1" s="1"/>
  <c r="C245" i="9" s="1"/>
  <c r="BA52" i="1"/>
  <c r="BA67" i="1" s="1"/>
  <c r="D241" i="9" s="1"/>
  <c r="Q52" i="1"/>
  <c r="Q67" i="1" s="1"/>
  <c r="Q71" i="1" s="1"/>
  <c r="C682" i="1" s="1"/>
  <c r="G52" i="1"/>
  <c r="G67" i="1" s="1"/>
  <c r="G71" i="1" s="1"/>
  <c r="C500" i="1" s="1"/>
  <c r="G500" i="1" s="1"/>
  <c r="D52" i="1"/>
  <c r="D67" i="1" s="1"/>
  <c r="D17" i="9" s="1"/>
  <c r="BN52" i="1"/>
  <c r="BN67" i="1" s="1"/>
  <c r="BM52" i="1"/>
  <c r="BM67" i="1" s="1"/>
  <c r="BM71" i="1" s="1"/>
  <c r="C638" i="1" s="1"/>
  <c r="BQ52" i="1"/>
  <c r="BQ67" i="1" s="1"/>
  <c r="F305" i="9" s="1"/>
  <c r="AT52" i="1"/>
  <c r="AT67" i="1" s="1"/>
  <c r="BT52" i="1"/>
  <c r="BT67" i="1" s="1"/>
  <c r="AR52" i="1"/>
  <c r="AR67" i="1" s="1"/>
  <c r="I177" i="9" s="1"/>
  <c r="BU52" i="1"/>
  <c r="BU67" i="1" s="1"/>
  <c r="BU71" i="1" s="1"/>
  <c r="C641" i="1" s="1"/>
  <c r="AU52" i="1"/>
  <c r="AU67" i="1" s="1"/>
  <c r="I52" i="1"/>
  <c r="I67" i="1" s="1"/>
  <c r="AF52" i="1"/>
  <c r="AF67" i="1" s="1"/>
  <c r="AP52" i="1"/>
  <c r="AP67" i="1" s="1"/>
  <c r="V52" i="1"/>
  <c r="V67" i="1" s="1"/>
  <c r="W52" i="1"/>
  <c r="W67" i="1" s="1"/>
  <c r="L52" i="1"/>
  <c r="L67" i="1" s="1"/>
  <c r="L71" i="1" s="1"/>
  <c r="C677" i="1" s="1"/>
  <c r="AQ52" i="1"/>
  <c r="AQ67" i="1" s="1"/>
  <c r="N52" i="1"/>
  <c r="N67" i="1" s="1"/>
  <c r="J52" i="1"/>
  <c r="J67" i="1" s="1"/>
  <c r="C49" i="9" s="1"/>
  <c r="AX52" i="1"/>
  <c r="AX67" i="1" s="1"/>
  <c r="AX71" i="1" s="1"/>
  <c r="C543" i="1" s="1"/>
  <c r="BV52" i="1"/>
  <c r="BV67" i="1" s="1"/>
  <c r="D337" i="9" s="1"/>
  <c r="T52" i="1"/>
  <c r="T67" i="1" s="1"/>
  <c r="F81" i="9" s="1"/>
  <c r="AY52" i="1"/>
  <c r="AY67" i="1" s="1"/>
  <c r="BF52" i="1"/>
  <c r="BF67" i="1" s="1"/>
  <c r="BF71" i="1" s="1"/>
  <c r="C551" i="1" s="1"/>
  <c r="AB52" i="1"/>
  <c r="AB67" i="1" s="1"/>
  <c r="G113" i="9" s="1"/>
  <c r="R52" i="1"/>
  <c r="R67" i="1" s="1"/>
  <c r="P52" i="1"/>
  <c r="P67" i="1" s="1"/>
  <c r="P71" i="1" s="1"/>
  <c r="I53" i="9" s="1"/>
  <c r="AJ52" i="1"/>
  <c r="AJ67" i="1" s="1"/>
  <c r="H145" i="9" s="1"/>
  <c r="H52" i="1"/>
  <c r="H67" i="1" s="1"/>
  <c r="CC52" i="1"/>
  <c r="CC67" i="1" s="1"/>
  <c r="AH52" i="1"/>
  <c r="AH67" i="1" s="1"/>
  <c r="F145" i="9" s="1"/>
  <c r="AN52" i="1"/>
  <c r="AN67" i="1" s="1"/>
  <c r="AO52" i="1"/>
  <c r="AO67" i="1" s="1"/>
  <c r="F177" i="9" s="1"/>
  <c r="BJ52" i="1"/>
  <c r="BJ67" i="1" s="1"/>
  <c r="AC52" i="1"/>
  <c r="AC67" i="1" s="1"/>
  <c r="H113" i="9" s="1"/>
  <c r="E52" i="1"/>
  <c r="E67" i="1" s="1"/>
  <c r="AL52" i="1"/>
  <c r="AL67" i="1" s="1"/>
  <c r="BO52" i="1"/>
  <c r="BO67" i="1" s="1"/>
  <c r="D305" i="9" s="1"/>
  <c r="AV52" i="1"/>
  <c r="AV67" i="1" s="1"/>
  <c r="F209" i="9" s="1"/>
  <c r="BE52" i="1"/>
  <c r="BE67" i="1" s="1"/>
  <c r="BE71" i="1" s="1"/>
  <c r="H245" i="9" s="1"/>
  <c r="AK52" i="1"/>
  <c r="AK67" i="1" s="1"/>
  <c r="AW52" i="1"/>
  <c r="AW67" i="1" s="1"/>
  <c r="AW71" i="1" s="1"/>
  <c r="G213" i="9" s="1"/>
  <c r="BY52" i="1"/>
  <c r="BY67" i="1" s="1"/>
  <c r="AM52" i="1"/>
  <c r="AM67" i="1" s="1"/>
  <c r="D177" i="9" s="1"/>
  <c r="BL52" i="1"/>
  <c r="BL67" i="1" s="1"/>
  <c r="X52" i="1"/>
  <c r="X67" i="1" s="1"/>
  <c r="BB52" i="1"/>
  <c r="BB67" i="1" s="1"/>
  <c r="BG52" i="1"/>
  <c r="BG67" i="1" s="1"/>
  <c r="C273" i="9" s="1"/>
  <c r="O52" i="1"/>
  <c r="O67" i="1" s="1"/>
  <c r="BX52" i="1"/>
  <c r="BX67" i="1" s="1"/>
  <c r="BX71" i="1" s="1"/>
  <c r="F341" i="9" s="1"/>
  <c r="Y52" i="1"/>
  <c r="Y67" i="1" s="1"/>
  <c r="BC52" i="1"/>
  <c r="BC67" i="1" s="1"/>
  <c r="F241" i="9" s="1"/>
  <c r="S52" i="1"/>
  <c r="S67" i="1" s="1"/>
  <c r="BK52" i="1"/>
  <c r="BK67" i="1" s="1"/>
  <c r="G273" i="9" s="1"/>
  <c r="BP52" i="1"/>
  <c r="BP67" i="1" s="1"/>
  <c r="BH52" i="1"/>
  <c r="BH67" i="1" s="1"/>
  <c r="BH71" i="1" s="1"/>
  <c r="AD52" i="1"/>
  <c r="AD67" i="1" s="1"/>
  <c r="I113" i="9" s="1"/>
  <c r="C52" i="1"/>
  <c r="C67" i="1" s="1"/>
  <c r="C17" i="9" s="1"/>
  <c r="AE52" i="1"/>
  <c r="AE67" i="1" s="1"/>
  <c r="C44" i="9"/>
  <c r="I332" i="9"/>
  <c r="D236" i="9"/>
  <c r="C300" i="9"/>
  <c r="D204" i="9"/>
  <c r="H172" i="9"/>
  <c r="E236" i="9"/>
  <c r="D172" i="9"/>
  <c r="G140" i="9"/>
  <c r="D268" i="9"/>
  <c r="I236" i="9"/>
  <c r="E332" i="9"/>
  <c r="G332" i="9"/>
  <c r="C76" i="9"/>
  <c r="D364" i="9"/>
  <c r="C140" i="9"/>
  <c r="G44" i="9"/>
  <c r="I108" i="9"/>
  <c r="E12" i="9"/>
  <c r="F268" i="9"/>
  <c r="F204" i="9"/>
  <c r="H204" i="9"/>
  <c r="G108" i="9"/>
  <c r="C236" i="9"/>
  <c r="I268" i="9"/>
  <c r="D12" i="9"/>
  <c r="F12" i="9"/>
  <c r="F332" i="9"/>
  <c r="G76" i="9"/>
  <c r="G204" i="9"/>
  <c r="H12" i="9"/>
  <c r="F300" i="9"/>
  <c r="I204" i="9"/>
  <c r="H44" i="9"/>
  <c r="H332" i="9"/>
  <c r="E300" i="9"/>
  <c r="BZ71" i="1"/>
  <c r="C571" i="1" s="1"/>
  <c r="I140" i="9"/>
  <c r="H140" i="9"/>
  <c r="D44" i="9"/>
  <c r="H300" i="9"/>
  <c r="CE48" i="1"/>
  <c r="E204" i="9"/>
  <c r="F140" i="9"/>
  <c r="D108" i="9"/>
  <c r="F236" i="9"/>
  <c r="C108" i="9"/>
  <c r="CE62" i="1"/>
  <c r="C428" i="1" s="1"/>
  <c r="C573" i="10"/>
  <c r="C622" i="10"/>
  <c r="C671" i="10"/>
  <c r="C499" i="10"/>
  <c r="C676" i="10"/>
  <c r="C504" i="10"/>
  <c r="G504" i="10" s="1"/>
  <c r="C623" i="10"/>
  <c r="C562" i="10"/>
  <c r="C532" i="10"/>
  <c r="G532" i="10" s="1"/>
  <c r="C704" i="10"/>
  <c r="C685" i="10"/>
  <c r="C513" i="10"/>
  <c r="C696" i="10"/>
  <c r="C524" i="10"/>
  <c r="C647" i="10"/>
  <c r="C572" i="10"/>
  <c r="BX71" i="10"/>
  <c r="B569" i="1" s="1"/>
  <c r="C503" i="10"/>
  <c r="C675" i="10"/>
  <c r="C705" i="10"/>
  <c r="C533" i="10"/>
  <c r="G533" i="10" s="1"/>
  <c r="C546" i="10"/>
  <c r="C630" i="10"/>
  <c r="BN71" i="10"/>
  <c r="C697" i="10"/>
  <c r="C525" i="10"/>
  <c r="G525" i="10" s="1"/>
  <c r="C710" i="10"/>
  <c r="C538" i="10"/>
  <c r="G538" i="10" s="1"/>
  <c r="C629" i="10"/>
  <c r="C551" i="10"/>
  <c r="D71" i="10"/>
  <c r="N71" i="10"/>
  <c r="S71" i="10"/>
  <c r="C618" i="10"/>
  <c r="C552" i="10"/>
  <c r="C681" i="10"/>
  <c r="C509" i="10"/>
  <c r="C707" i="10"/>
  <c r="C535" i="10"/>
  <c r="BJ71" i="10"/>
  <c r="BO71" i="10"/>
  <c r="C614" i="10"/>
  <c r="C550" i="10"/>
  <c r="C508" i="10"/>
  <c r="G508" i="10" s="1"/>
  <c r="C680" i="10"/>
  <c r="C526" i="10"/>
  <c r="C698" i="10"/>
  <c r="Q71" i="10"/>
  <c r="BS71" i="10"/>
  <c r="BP71" i="10"/>
  <c r="BM71" i="10"/>
  <c r="B504" i="1"/>
  <c r="C694" i="10"/>
  <c r="C522" i="10"/>
  <c r="C556" i="10"/>
  <c r="C635" i="10"/>
  <c r="AZ71" i="10"/>
  <c r="Y71" i="10"/>
  <c r="C688" i="10"/>
  <c r="C516" i="10"/>
  <c r="C689" i="10"/>
  <c r="C517" i="10"/>
  <c r="C702" i="10"/>
  <c r="C530" i="10"/>
  <c r="G530" i="10" s="1"/>
  <c r="AX71" i="10"/>
  <c r="C625" i="10"/>
  <c r="C544" i="10"/>
  <c r="C712" i="10"/>
  <c r="C540" i="10"/>
  <c r="G540" i="10" s="1"/>
  <c r="C693" i="10"/>
  <c r="C521" i="10"/>
  <c r="BY71" i="10"/>
  <c r="C565" i="10"/>
  <c r="C640" i="10"/>
  <c r="C631" i="10"/>
  <c r="C542" i="10"/>
  <c r="C539" i="10"/>
  <c r="G539" i="10" s="1"/>
  <c r="C711" i="10"/>
  <c r="AL71" i="10"/>
  <c r="C708" i="10"/>
  <c r="C536" i="10"/>
  <c r="G536" i="10" s="1"/>
  <c r="CC71" i="10"/>
  <c r="C672" i="10"/>
  <c r="C500" i="10"/>
  <c r="G500" i="10" s="1"/>
  <c r="BH71" i="10"/>
  <c r="BD71" i="10"/>
  <c r="B533" i="1"/>
  <c r="B499" i="1"/>
  <c r="B524" i="1"/>
  <c r="BU71" i="10"/>
  <c r="C701" i="10"/>
  <c r="C529" i="10"/>
  <c r="C534" i="10"/>
  <c r="G534" i="10" s="1"/>
  <c r="C706" i="10"/>
  <c r="I71" i="10"/>
  <c r="C548" i="10"/>
  <c r="C633" i="10"/>
  <c r="C709" i="10"/>
  <c r="C537" i="10"/>
  <c r="C557" i="10"/>
  <c r="C637" i="10"/>
  <c r="E734" i="10"/>
  <c r="E815" i="10" s="1"/>
  <c r="CE62" i="10"/>
  <c r="C626" i="10"/>
  <c r="C563" i="10"/>
  <c r="BW71" i="10"/>
  <c r="Z71" i="10"/>
  <c r="C673" i="10"/>
  <c r="C501" i="10"/>
  <c r="G501" i="10" s="1"/>
  <c r="C514" i="10"/>
  <c r="C686" i="10"/>
  <c r="C527" i="10"/>
  <c r="G527" i="10" s="1"/>
  <c r="C699" i="10"/>
  <c r="R71" i="10"/>
  <c r="AV71" i="10"/>
  <c r="BI71" i="10"/>
  <c r="BV71" i="10"/>
  <c r="R816" i="10"/>
  <c r="I612" i="10"/>
  <c r="C695" i="10"/>
  <c r="C523" i="10"/>
  <c r="G523" i="10" s="1"/>
  <c r="C700" i="10"/>
  <c r="C528" i="10"/>
  <c r="E71" i="10"/>
  <c r="B498" i="1" s="1"/>
  <c r="C515" i="10"/>
  <c r="C687" i="10"/>
  <c r="AA71" i="10"/>
  <c r="C547" i="10"/>
  <c r="C632" i="10"/>
  <c r="BZ71" i="10"/>
  <c r="C677" i="10"/>
  <c r="C505" i="10"/>
  <c r="G505" i="10" s="1"/>
  <c r="C506" i="10"/>
  <c r="G506" i="10" s="1"/>
  <c r="C678" i="10"/>
  <c r="C67" i="10"/>
  <c r="CE52" i="10"/>
  <c r="B529" i="1"/>
  <c r="B516" i="1"/>
  <c r="F516" i="1" s="1"/>
  <c r="B536" i="1"/>
  <c r="F536" i="1" s="1"/>
  <c r="B532" i="1"/>
  <c r="F532" i="1" s="1"/>
  <c r="B518" i="1"/>
  <c r="B517" i="1"/>
  <c r="F517" i="1" s="1"/>
  <c r="B526" i="1"/>
  <c r="B521" i="1"/>
  <c r="B572" i="1"/>
  <c r="B530" i="1"/>
  <c r="B562" i="1"/>
  <c r="B566" i="1"/>
  <c r="B557" i="1"/>
  <c r="B511" i="1"/>
  <c r="B573" i="1"/>
  <c r="H501" i="1"/>
  <c r="F501" i="1"/>
  <c r="F499" i="1"/>
  <c r="H505" i="1"/>
  <c r="F505" i="1"/>
  <c r="F515" i="1"/>
  <c r="D27" i="7"/>
  <c r="B448" i="1"/>
  <c r="F544" i="1"/>
  <c r="F528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C476" i="1"/>
  <c r="F16" i="6"/>
  <c r="F540" i="1"/>
  <c r="H540" i="1"/>
  <c r="F524" i="1"/>
  <c r="F550" i="1"/>
  <c r="I382" i="9" l="1"/>
  <c r="I612" i="1"/>
  <c r="E81" i="9"/>
  <c r="E209" i="9"/>
  <c r="CA71" i="1"/>
  <c r="I341" i="9" s="1"/>
  <c r="BA71" i="1"/>
  <c r="D245" i="9" s="1"/>
  <c r="BO71" i="1"/>
  <c r="D309" i="9" s="1"/>
  <c r="F71" i="1"/>
  <c r="F21" i="9" s="1"/>
  <c r="AU71" i="1"/>
  <c r="C712" i="1" s="1"/>
  <c r="C692" i="1"/>
  <c r="T71" i="1"/>
  <c r="C685" i="1" s="1"/>
  <c r="BN71" i="1"/>
  <c r="C559" i="1" s="1"/>
  <c r="C520" i="1"/>
  <c r="G520" i="1" s="1"/>
  <c r="CB71" i="1"/>
  <c r="C622" i="1" s="1"/>
  <c r="D81" i="9"/>
  <c r="F49" i="9"/>
  <c r="C113" i="9"/>
  <c r="H273" i="9"/>
  <c r="F53" i="9"/>
  <c r="AR71" i="1"/>
  <c r="C709" i="1" s="1"/>
  <c r="I81" i="9"/>
  <c r="F17" i="9"/>
  <c r="G245" i="9"/>
  <c r="BR71" i="1"/>
  <c r="C563" i="1" s="1"/>
  <c r="C209" i="9"/>
  <c r="F337" i="9"/>
  <c r="X71" i="1"/>
  <c r="C117" i="9" s="1"/>
  <c r="C678" i="1"/>
  <c r="C369" i="9"/>
  <c r="G305" i="9"/>
  <c r="G209" i="9"/>
  <c r="Z71" i="1"/>
  <c r="E117" i="9" s="1"/>
  <c r="BI71" i="1"/>
  <c r="C634" i="1" s="1"/>
  <c r="AT71" i="1"/>
  <c r="C539" i="1" s="1"/>
  <c r="G539" i="1" s="1"/>
  <c r="BK71" i="1"/>
  <c r="C556" i="1" s="1"/>
  <c r="H49" i="9"/>
  <c r="D209" i="9"/>
  <c r="N71" i="1"/>
  <c r="C507" i="1" s="1"/>
  <c r="G507" i="1" s="1"/>
  <c r="E273" i="9"/>
  <c r="BJ71" i="1"/>
  <c r="F277" i="9" s="1"/>
  <c r="H81" i="9"/>
  <c r="C71" i="1"/>
  <c r="C668" i="1" s="1"/>
  <c r="F113" i="9"/>
  <c r="C305" i="9"/>
  <c r="AY71" i="1"/>
  <c r="C544" i="1" s="1"/>
  <c r="G544" i="1" s="1"/>
  <c r="V71" i="1"/>
  <c r="C515" i="1" s="1"/>
  <c r="G515" i="1" s="1"/>
  <c r="C81" i="9"/>
  <c r="G49" i="9"/>
  <c r="C566" i="1"/>
  <c r="BS71" i="1"/>
  <c r="H309" i="9" s="1"/>
  <c r="AP71" i="1"/>
  <c r="C707" i="1" s="1"/>
  <c r="H71" i="1"/>
  <c r="C501" i="1" s="1"/>
  <c r="G501" i="1" s="1"/>
  <c r="D273" i="9"/>
  <c r="H305" i="9"/>
  <c r="H209" i="9"/>
  <c r="K71" i="1"/>
  <c r="C504" i="1" s="1"/>
  <c r="G504" i="1" s="1"/>
  <c r="BV71" i="1"/>
  <c r="C642" i="1" s="1"/>
  <c r="BW71" i="1"/>
  <c r="C643" i="1" s="1"/>
  <c r="AM71" i="1"/>
  <c r="C704" i="1" s="1"/>
  <c r="C241" i="9"/>
  <c r="H17" i="9"/>
  <c r="E337" i="9"/>
  <c r="J71" i="1"/>
  <c r="C675" i="1" s="1"/>
  <c r="AB71" i="1"/>
  <c r="G117" i="9" s="1"/>
  <c r="W71" i="1"/>
  <c r="C688" i="1" s="1"/>
  <c r="D145" i="9"/>
  <c r="G241" i="9"/>
  <c r="H241" i="9"/>
  <c r="E71" i="1"/>
  <c r="E21" i="9" s="1"/>
  <c r="D113" i="9"/>
  <c r="E177" i="9"/>
  <c r="E49" i="9"/>
  <c r="C549" i="1"/>
  <c r="AJ71" i="1"/>
  <c r="H149" i="9" s="1"/>
  <c r="AG71" i="1"/>
  <c r="E149" i="9" s="1"/>
  <c r="E17" i="9"/>
  <c r="C505" i="1"/>
  <c r="G505" i="1" s="1"/>
  <c r="AN71" i="1"/>
  <c r="I145" i="9"/>
  <c r="C341" i="9"/>
  <c r="AK71" i="1"/>
  <c r="C530" i="1" s="1"/>
  <c r="G530" i="1" s="1"/>
  <c r="AL71" i="1"/>
  <c r="C181" i="9" s="1"/>
  <c r="D71" i="1"/>
  <c r="C497" i="1" s="1"/>
  <c r="G497" i="1" s="1"/>
  <c r="E241" i="9"/>
  <c r="H177" i="9"/>
  <c r="Y71" i="1"/>
  <c r="C518" i="1" s="1"/>
  <c r="G518" i="1" s="1"/>
  <c r="CE52" i="1"/>
  <c r="C337" i="9"/>
  <c r="AO71" i="1"/>
  <c r="F181" i="9" s="1"/>
  <c r="AI71" i="1"/>
  <c r="G149" i="9" s="1"/>
  <c r="U71" i="1"/>
  <c r="G85" i="9" s="1"/>
  <c r="AQ71" i="1"/>
  <c r="H181" i="9" s="1"/>
  <c r="G177" i="9"/>
  <c r="BB71" i="1"/>
  <c r="D277" i="9"/>
  <c r="C636" i="1"/>
  <c r="I241" i="9"/>
  <c r="BQ71" i="1"/>
  <c r="C623" i="1" s="1"/>
  <c r="AD71" i="1"/>
  <c r="I117" i="9" s="1"/>
  <c r="BY71" i="1"/>
  <c r="C570" i="1" s="1"/>
  <c r="I49" i="9"/>
  <c r="AV71" i="1"/>
  <c r="C713" i="1" s="1"/>
  <c r="D369" i="9"/>
  <c r="I71" i="1"/>
  <c r="G337" i="9"/>
  <c r="I209" i="9"/>
  <c r="C669" i="1"/>
  <c r="I273" i="9"/>
  <c r="BC71" i="1"/>
  <c r="C633" i="1" s="1"/>
  <c r="AC71" i="1"/>
  <c r="H117" i="9" s="1"/>
  <c r="O71" i="1"/>
  <c r="C508" i="1" s="1"/>
  <c r="G508" i="1" s="1"/>
  <c r="I17" i="9"/>
  <c r="I305" i="9"/>
  <c r="G17" i="9"/>
  <c r="E53" i="9"/>
  <c r="BP71" i="1"/>
  <c r="C621" i="1" s="1"/>
  <c r="CC71" i="1"/>
  <c r="D373" i="9" s="1"/>
  <c r="BL71" i="1"/>
  <c r="H277" i="9" s="1"/>
  <c r="AF71" i="1"/>
  <c r="C697" i="1" s="1"/>
  <c r="BG71" i="1"/>
  <c r="C618" i="1" s="1"/>
  <c r="S71" i="1"/>
  <c r="C684" i="1" s="1"/>
  <c r="E305" i="9"/>
  <c r="BT71" i="1"/>
  <c r="C565" i="1" s="1"/>
  <c r="F273" i="9"/>
  <c r="R71" i="1"/>
  <c r="C177" i="9"/>
  <c r="CE67" i="1"/>
  <c r="AH71" i="1"/>
  <c r="C553" i="1"/>
  <c r="C533" i="1"/>
  <c r="G533" i="1" s="1"/>
  <c r="C510" i="1"/>
  <c r="G510" i="1" s="1"/>
  <c r="C569" i="1"/>
  <c r="C145" i="9"/>
  <c r="AE71" i="1"/>
  <c r="C524" i="1" s="1"/>
  <c r="G524" i="1" s="1"/>
  <c r="C85" i="9"/>
  <c r="C616" i="1"/>
  <c r="H213" i="9"/>
  <c r="C681" i="1"/>
  <c r="C509" i="1"/>
  <c r="G509" i="1" s="1"/>
  <c r="G21" i="9"/>
  <c r="I245" i="9"/>
  <c r="C631" i="1"/>
  <c r="C542" i="1"/>
  <c r="C644" i="1"/>
  <c r="C672" i="1"/>
  <c r="C629" i="1"/>
  <c r="C614" i="1"/>
  <c r="D615" i="1" s="1"/>
  <c r="H341" i="9"/>
  <c r="I364" i="9"/>
  <c r="C550" i="1"/>
  <c r="C646" i="1"/>
  <c r="I277" i="9"/>
  <c r="C558" i="1"/>
  <c r="C545" i="1"/>
  <c r="G545" i="1" s="1"/>
  <c r="C213" i="9"/>
  <c r="C538" i="1"/>
  <c r="G538" i="1" s="1"/>
  <c r="C628" i="1"/>
  <c r="J734" i="10"/>
  <c r="J815" i="10" s="1"/>
  <c r="CE67" i="10"/>
  <c r="CE71" i="10" s="1"/>
  <c r="C716" i="10" s="1"/>
  <c r="C692" i="10"/>
  <c r="C520" i="10"/>
  <c r="B520" i="1"/>
  <c r="C71" i="10"/>
  <c r="C570" i="10"/>
  <c r="C645" i="10"/>
  <c r="B570" i="1"/>
  <c r="C682" i="10"/>
  <c r="C510" i="10"/>
  <c r="B510" i="1"/>
  <c r="F510" i="1" s="1"/>
  <c r="C617" i="10"/>
  <c r="C555" i="10"/>
  <c r="B555" i="1"/>
  <c r="C679" i="10"/>
  <c r="C507" i="10"/>
  <c r="G507" i="10" s="1"/>
  <c r="B507" i="1"/>
  <c r="H507" i="1" s="1"/>
  <c r="C619" i="10"/>
  <c r="C559" i="10"/>
  <c r="B559" i="1"/>
  <c r="G514" i="10"/>
  <c r="H514" i="10" s="1"/>
  <c r="E816" i="10"/>
  <c r="C428" i="10"/>
  <c r="C502" i="10"/>
  <c r="G502" i="10" s="1"/>
  <c r="C674" i="10"/>
  <c r="B502" i="1"/>
  <c r="C703" i="10"/>
  <c r="C531" i="10"/>
  <c r="B531" i="1"/>
  <c r="G521" i="10"/>
  <c r="H521" i="10"/>
  <c r="H535" i="10"/>
  <c r="G535" i="10"/>
  <c r="C669" i="10"/>
  <c r="C497" i="10"/>
  <c r="B497" i="1"/>
  <c r="C567" i="10"/>
  <c r="C642" i="10"/>
  <c r="G517" i="10"/>
  <c r="H517" i="10" s="1"/>
  <c r="H546" i="10"/>
  <c r="G546" i="10"/>
  <c r="B567" i="1"/>
  <c r="C670" i="10"/>
  <c r="C498" i="10"/>
  <c r="C554" i="10"/>
  <c r="C634" i="10"/>
  <c r="B554" i="1"/>
  <c r="C553" i="10"/>
  <c r="C636" i="10"/>
  <c r="B553" i="1"/>
  <c r="H509" i="10"/>
  <c r="G509" i="10"/>
  <c r="G515" i="10"/>
  <c r="H515" i="10" s="1"/>
  <c r="C549" i="10"/>
  <c r="C624" i="10"/>
  <c r="B549" i="1"/>
  <c r="G522" i="10"/>
  <c r="H522" i="10" s="1"/>
  <c r="G526" i="10"/>
  <c r="H526" i="10"/>
  <c r="G524" i="10"/>
  <c r="H524" i="10"/>
  <c r="G528" i="10"/>
  <c r="H528" i="10" s="1"/>
  <c r="C713" i="10"/>
  <c r="C541" i="10"/>
  <c r="B541" i="1"/>
  <c r="C519" i="10"/>
  <c r="C691" i="10"/>
  <c r="B519" i="1"/>
  <c r="G529" i="10"/>
  <c r="H529" i="10"/>
  <c r="G516" i="10"/>
  <c r="H516" i="10" s="1"/>
  <c r="H513" i="10"/>
  <c r="G513" i="10"/>
  <c r="G499" i="10"/>
  <c r="H499" i="10" s="1"/>
  <c r="C646" i="10"/>
  <c r="C571" i="10"/>
  <c r="B571" i="1"/>
  <c r="C511" i="10"/>
  <c r="C683" i="10"/>
  <c r="C568" i="10"/>
  <c r="C643" i="10"/>
  <c r="B568" i="1"/>
  <c r="G537" i="10"/>
  <c r="H537" i="10"/>
  <c r="G544" i="10"/>
  <c r="H544" i="10" s="1"/>
  <c r="C638" i="10"/>
  <c r="C558" i="10"/>
  <c r="B558" i="1"/>
  <c r="G550" i="10"/>
  <c r="H550" i="10"/>
  <c r="C641" i="10"/>
  <c r="C566" i="10"/>
  <c r="C620" i="10"/>
  <c r="C574" i="10"/>
  <c r="B574" i="1"/>
  <c r="C518" i="10"/>
  <c r="C690" i="10"/>
  <c r="C621" i="10"/>
  <c r="C561" i="10"/>
  <c r="B561" i="1"/>
  <c r="C648" i="10"/>
  <c r="M716" i="10" s="1"/>
  <c r="Y816" i="10" s="1"/>
  <c r="D615" i="10"/>
  <c r="G503" i="10"/>
  <c r="H503" i="10"/>
  <c r="C616" i="10"/>
  <c r="C543" i="10"/>
  <c r="B543" i="1"/>
  <c r="C545" i="10"/>
  <c r="G545" i="10" s="1"/>
  <c r="C628" i="10"/>
  <c r="B545" i="1"/>
  <c r="C564" i="10"/>
  <c r="C639" i="10"/>
  <c r="B564" i="1"/>
  <c r="C627" i="10"/>
  <c r="C560" i="10"/>
  <c r="B560" i="1"/>
  <c r="C684" i="10"/>
  <c r="C512" i="10"/>
  <c r="B512" i="1"/>
  <c r="F512" i="1" s="1"/>
  <c r="C644" i="10"/>
  <c r="C569" i="10"/>
  <c r="H532" i="1"/>
  <c r="F498" i="1"/>
  <c r="F511" i="1"/>
  <c r="B496" i="1"/>
  <c r="F522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26" i="1"/>
  <c r="F503" i="1"/>
  <c r="H508" i="1"/>
  <c r="F508" i="1"/>
  <c r="F514" i="1"/>
  <c r="F518" i="1"/>
  <c r="F546" i="1"/>
  <c r="F506" i="1"/>
  <c r="H506" i="1"/>
  <c r="H500" i="1"/>
  <c r="F500" i="1"/>
  <c r="F509" i="1"/>
  <c r="F507" i="1" l="1"/>
  <c r="D181" i="9"/>
  <c r="C546" i="1"/>
  <c r="G546" i="1" s="1"/>
  <c r="C630" i="1"/>
  <c r="G53" i="9"/>
  <c r="C627" i="1"/>
  <c r="F85" i="9"/>
  <c r="C572" i="1"/>
  <c r="C647" i="1"/>
  <c r="D21" i="9"/>
  <c r="C671" i="1"/>
  <c r="E213" i="9"/>
  <c r="C519" i="1"/>
  <c r="G519" i="1" s="1"/>
  <c r="C540" i="1"/>
  <c r="G540" i="1" s="1"/>
  <c r="C499" i="1"/>
  <c r="G499" i="1" s="1"/>
  <c r="C560" i="1"/>
  <c r="C513" i="1"/>
  <c r="G513" i="1" s="1"/>
  <c r="C526" i="1"/>
  <c r="G526" i="1" s="1"/>
  <c r="C309" i="9"/>
  <c r="C626" i="1"/>
  <c r="C619" i="1"/>
  <c r="C573" i="1"/>
  <c r="C373" i="9"/>
  <c r="H515" i="1"/>
  <c r="C537" i="1"/>
  <c r="G537" i="1" s="1"/>
  <c r="C679" i="1"/>
  <c r="D213" i="9"/>
  <c r="I149" i="9"/>
  <c r="I181" i="9"/>
  <c r="E341" i="9"/>
  <c r="C689" i="1"/>
  <c r="C21" i="9"/>
  <c r="C562" i="1"/>
  <c r="C536" i="1"/>
  <c r="G536" i="1" s="1"/>
  <c r="C496" i="1"/>
  <c r="G496" i="1" s="1"/>
  <c r="C708" i="1"/>
  <c r="C695" i="1"/>
  <c r="C639" i="1"/>
  <c r="C557" i="1"/>
  <c r="G309" i="9"/>
  <c r="C711" i="1"/>
  <c r="H524" i="1"/>
  <c r="I85" i="9"/>
  <c r="C517" i="1"/>
  <c r="G517" i="1" s="1"/>
  <c r="C564" i="1"/>
  <c r="C670" i="1"/>
  <c r="C523" i="1"/>
  <c r="G523" i="1" s="1"/>
  <c r="C635" i="1"/>
  <c r="C706" i="1"/>
  <c r="C637" i="1"/>
  <c r="C568" i="1"/>
  <c r="C498" i="1"/>
  <c r="G498" i="1" s="1"/>
  <c r="C701" i="1"/>
  <c r="C529" i="1"/>
  <c r="G529" i="1" s="1"/>
  <c r="C516" i="1"/>
  <c r="G516" i="1" s="1"/>
  <c r="C532" i="1"/>
  <c r="G532" i="1" s="1"/>
  <c r="G277" i="9"/>
  <c r="E277" i="9"/>
  <c r="C554" i="1"/>
  <c r="C687" i="1"/>
  <c r="C691" i="1"/>
  <c r="C535" i="1"/>
  <c r="G535" i="1" s="1"/>
  <c r="H85" i="9"/>
  <c r="C673" i="1"/>
  <c r="C617" i="1"/>
  <c r="C555" i="1"/>
  <c r="H544" i="1"/>
  <c r="I213" i="9"/>
  <c r="C625" i="1"/>
  <c r="C567" i="1"/>
  <c r="D53" i="9"/>
  <c r="C676" i="1"/>
  <c r="C521" i="1"/>
  <c r="G521" i="1" s="1"/>
  <c r="D341" i="9"/>
  <c r="G341" i="9"/>
  <c r="C503" i="1"/>
  <c r="G503" i="1" s="1"/>
  <c r="C53" i="9"/>
  <c r="C534" i="1"/>
  <c r="G534" i="1" s="1"/>
  <c r="H21" i="9"/>
  <c r="G181" i="9"/>
  <c r="C528" i="1"/>
  <c r="G528" i="1" s="1"/>
  <c r="C698" i="1"/>
  <c r="C525" i="1"/>
  <c r="G525" i="1" s="1"/>
  <c r="C700" i="1"/>
  <c r="C693" i="1"/>
  <c r="C690" i="1"/>
  <c r="C645" i="1"/>
  <c r="C680" i="1"/>
  <c r="C514" i="1"/>
  <c r="G514" i="1" s="1"/>
  <c r="F213" i="9"/>
  <c r="E181" i="9"/>
  <c r="C705" i="1"/>
  <c r="C547" i="1"/>
  <c r="E245" i="9"/>
  <c r="C632" i="1"/>
  <c r="H518" i="1"/>
  <c r="F245" i="9"/>
  <c r="C703" i="1"/>
  <c r="C686" i="1"/>
  <c r="C548" i="1"/>
  <c r="C531" i="1"/>
  <c r="G531" i="1" s="1"/>
  <c r="C702" i="1"/>
  <c r="C552" i="1"/>
  <c r="D117" i="9"/>
  <c r="C699" i="1"/>
  <c r="C527" i="1"/>
  <c r="G527" i="1" s="1"/>
  <c r="F149" i="9"/>
  <c r="C511" i="1"/>
  <c r="D85" i="9"/>
  <c r="F309" i="9"/>
  <c r="C522" i="1"/>
  <c r="G522" i="1" s="1"/>
  <c r="E85" i="9"/>
  <c r="C561" i="1"/>
  <c r="C574" i="1"/>
  <c r="C620" i="1"/>
  <c r="C277" i="9"/>
  <c r="C683" i="1"/>
  <c r="C541" i="1"/>
  <c r="I369" i="9"/>
  <c r="C433" i="1"/>
  <c r="C441" i="1" s="1"/>
  <c r="I309" i="9"/>
  <c r="C640" i="1"/>
  <c r="I21" i="9"/>
  <c r="C674" i="1"/>
  <c r="C502" i="1"/>
  <c r="G502" i="1" s="1"/>
  <c r="CE71" i="1"/>
  <c r="C716" i="1" s="1"/>
  <c r="D149" i="9"/>
  <c r="E309" i="9"/>
  <c r="C694" i="1"/>
  <c r="C512" i="1"/>
  <c r="G512" i="1" s="1"/>
  <c r="H53" i="9"/>
  <c r="H510" i="1"/>
  <c r="C696" i="1"/>
  <c r="C149" i="9"/>
  <c r="H509" i="1"/>
  <c r="G550" i="1"/>
  <c r="H550" i="1" s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34" i="1"/>
  <c r="D638" i="1"/>
  <c r="D691" i="1"/>
  <c r="D673" i="1"/>
  <c r="D677" i="1"/>
  <c r="D640" i="1"/>
  <c r="D689" i="1"/>
  <c r="D712" i="1"/>
  <c r="D678" i="1"/>
  <c r="D672" i="1"/>
  <c r="D710" i="1"/>
  <c r="D626" i="1"/>
  <c r="D668" i="1"/>
  <c r="D641" i="1"/>
  <c r="D680" i="1"/>
  <c r="D633" i="1"/>
  <c r="D643" i="1"/>
  <c r="D646" i="1"/>
  <c r="D619" i="1"/>
  <c r="D695" i="1"/>
  <c r="D688" i="1"/>
  <c r="D683" i="1"/>
  <c r="D679" i="1"/>
  <c r="D624" i="1"/>
  <c r="D693" i="1"/>
  <c r="D625" i="1"/>
  <c r="D618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69" i="1"/>
  <c r="D703" i="1"/>
  <c r="D670" i="1"/>
  <c r="D627" i="1"/>
  <c r="D621" i="1"/>
  <c r="D701" i="1"/>
  <c r="D696" i="1"/>
  <c r="D708" i="1"/>
  <c r="H497" i="1"/>
  <c r="F497" i="1"/>
  <c r="G531" i="10"/>
  <c r="H531" i="10"/>
  <c r="G512" i="10"/>
  <c r="H512" i="10"/>
  <c r="G518" i="10"/>
  <c r="H518" i="10" s="1"/>
  <c r="G497" i="10"/>
  <c r="H497" i="10"/>
  <c r="C668" i="10"/>
  <c r="C715" i="10" s="1"/>
  <c r="C496" i="10"/>
  <c r="D716" i="10"/>
  <c r="D713" i="10"/>
  <c r="D706" i="10"/>
  <c r="D698" i="10"/>
  <c r="D690" i="10"/>
  <c r="D682" i="10"/>
  <c r="D674" i="10"/>
  <c r="D705" i="10"/>
  <c r="D697" i="10"/>
  <c r="D689" i="10"/>
  <c r="D681" i="10"/>
  <c r="D710" i="10"/>
  <c r="D702" i="10"/>
  <c r="D694" i="10"/>
  <c r="D686" i="10"/>
  <c r="D678" i="10"/>
  <c r="D670" i="10"/>
  <c r="D647" i="10"/>
  <c r="D646" i="10"/>
  <c r="D645" i="10"/>
  <c r="D708" i="10"/>
  <c r="D701" i="10"/>
  <c r="D687" i="10"/>
  <c r="D680" i="10"/>
  <c r="D669" i="10"/>
  <c r="D668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3" i="10"/>
  <c r="D696" i="10"/>
  <c r="D644" i="10"/>
  <c r="D627" i="10"/>
  <c r="D711" i="10"/>
  <c r="D704" i="10"/>
  <c r="D683" i="10"/>
  <c r="D623" i="10"/>
  <c r="D619" i="10"/>
  <c r="D625" i="10"/>
  <c r="D621" i="10"/>
  <c r="D709" i="10"/>
  <c r="D707" i="10"/>
  <c r="D692" i="10"/>
  <c r="D679" i="10"/>
  <c r="D671" i="10"/>
  <c r="D618" i="10"/>
  <c r="D695" i="10"/>
  <c r="D677" i="10"/>
  <c r="D628" i="10"/>
  <c r="D672" i="10"/>
  <c r="D622" i="10"/>
  <c r="D712" i="10"/>
  <c r="D691" i="10"/>
  <c r="D688" i="10"/>
  <c r="D700" i="10"/>
  <c r="D685" i="10"/>
  <c r="D620" i="10"/>
  <c r="D699" i="10"/>
  <c r="D676" i="10"/>
  <c r="D626" i="10"/>
  <c r="D684" i="10"/>
  <c r="D629" i="10"/>
  <c r="D617" i="10"/>
  <c r="D693" i="10"/>
  <c r="D673" i="10"/>
  <c r="D616" i="10"/>
  <c r="D715" i="10" s="1"/>
  <c r="D675" i="10"/>
  <c r="F520" i="1"/>
  <c r="H520" i="1"/>
  <c r="G519" i="10"/>
  <c r="H519" i="10"/>
  <c r="G520" i="10"/>
  <c r="H520" i="10"/>
  <c r="G510" i="10"/>
  <c r="H510" i="10" s="1"/>
  <c r="E623" i="10"/>
  <c r="H511" i="10"/>
  <c r="G511" i="10"/>
  <c r="G498" i="10"/>
  <c r="H498" i="10"/>
  <c r="C441" i="10"/>
  <c r="J816" i="10"/>
  <c r="C433" i="10"/>
  <c r="F496" i="1"/>
  <c r="H545" i="1"/>
  <c r="F545" i="1"/>
  <c r="H525" i="1"/>
  <c r="F525" i="1"/>
  <c r="F529" i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E623" i="1" l="1"/>
  <c r="E716" i="1" s="1"/>
  <c r="C648" i="1"/>
  <c r="M716" i="1" s="1"/>
  <c r="C715" i="1"/>
  <c r="E612" i="1"/>
  <c r="H546" i="1"/>
  <c r="H496" i="1"/>
  <c r="H519" i="1"/>
  <c r="H499" i="1"/>
  <c r="H526" i="1"/>
  <c r="H537" i="1"/>
  <c r="H513" i="1"/>
  <c r="H529" i="1"/>
  <c r="H536" i="1"/>
  <c r="H528" i="1"/>
  <c r="H535" i="1"/>
  <c r="H516" i="1"/>
  <c r="H503" i="1"/>
  <c r="H498" i="1"/>
  <c r="H517" i="1"/>
  <c r="H531" i="1"/>
  <c r="I373" i="9"/>
  <c r="H522" i="1"/>
  <c r="H521" i="1"/>
  <c r="H514" i="1"/>
  <c r="H512" i="1"/>
  <c r="G511" i="1"/>
  <c r="H511" i="1"/>
  <c r="D715" i="1"/>
  <c r="E716" i="10"/>
  <c r="G496" i="10"/>
  <c r="H496" i="10" s="1"/>
  <c r="E612" i="10"/>
  <c r="E713" i="10" s="1"/>
  <c r="E672" i="1" l="1"/>
  <c r="E630" i="1"/>
  <c r="E677" i="1"/>
  <c r="E637" i="1"/>
  <c r="E636" i="1"/>
  <c r="E704" i="1"/>
  <c r="E634" i="1"/>
  <c r="E706" i="1"/>
  <c r="E682" i="1"/>
  <c r="E703" i="1"/>
  <c r="E713" i="1"/>
  <c r="E684" i="1"/>
  <c r="E645" i="1"/>
  <c r="E683" i="1"/>
  <c r="E679" i="1"/>
  <c r="E707" i="1"/>
  <c r="E712" i="1"/>
  <c r="E624" i="1"/>
  <c r="F624" i="1" s="1"/>
  <c r="F629" i="1" s="1"/>
  <c r="E705" i="1"/>
  <c r="E674" i="1"/>
  <c r="E670" i="1"/>
  <c r="E695" i="1"/>
  <c r="E697" i="1"/>
  <c r="E641" i="1"/>
  <c r="E687" i="1"/>
  <c r="E627" i="1"/>
  <c r="E668" i="1"/>
  <c r="E702" i="1"/>
  <c r="E675" i="1"/>
  <c r="E693" i="1"/>
  <c r="E646" i="1"/>
  <c r="E640" i="1"/>
  <c r="E628" i="1"/>
  <c r="E673" i="1"/>
  <c r="E632" i="1"/>
  <c r="E631" i="1"/>
  <c r="E699" i="1"/>
  <c r="E710" i="1"/>
  <c r="E708" i="1"/>
  <c r="E696" i="1"/>
  <c r="E676" i="1"/>
  <c r="E639" i="1"/>
  <c r="E671" i="1"/>
  <c r="E647" i="1"/>
  <c r="E700" i="1"/>
  <c r="E711" i="1"/>
  <c r="E694" i="1"/>
  <c r="E688" i="1"/>
  <c r="E709" i="1"/>
  <c r="E690" i="1"/>
  <c r="E644" i="1"/>
  <c r="E635" i="1"/>
  <c r="E691" i="1"/>
  <c r="E626" i="1"/>
  <c r="E681" i="1"/>
  <c r="E638" i="1"/>
  <c r="E625" i="1"/>
  <c r="E680" i="1"/>
  <c r="E678" i="1"/>
  <c r="E685" i="1"/>
  <c r="E698" i="1"/>
  <c r="E629" i="1"/>
  <c r="E701" i="1"/>
  <c r="E643" i="1"/>
  <c r="E669" i="1"/>
  <c r="E633" i="1"/>
  <c r="E689" i="1"/>
  <c r="E686" i="1"/>
  <c r="E692" i="1"/>
  <c r="E642" i="1"/>
  <c r="E684" i="10"/>
  <c r="E647" i="10"/>
  <c r="E642" i="10"/>
  <c r="E681" i="10"/>
  <c r="E685" i="10"/>
  <c r="E689" i="10"/>
  <c r="E691" i="10"/>
  <c r="E671" i="10"/>
  <c r="E628" i="10"/>
  <c r="E626" i="10"/>
  <c r="E712" i="10"/>
  <c r="E674" i="10"/>
  <c r="E692" i="10"/>
  <c r="E698" i="10"/>
  <c r="E704" i="10"/>
  <c r="E699" i="10"/>
  <c r="E679" i="10"/>
  <c r="E701" i="10"/>
  <c r="E630" i="10"/>
  <c r="E636" i="10"/>
  <c r="E677" i="10"/>
  <c r="E705" i="10"/>
  <c r="E700" i="10"/>
  <c r="E688" i="10"/>
  <c r="E707" i="10"/>
  <c r="E687" i="10"/>
  <c r="E693" i="10"/>
  <c r="E635" i="10"/>
  <c r="E672" i="10"/>
  <c r="E627" i="10"/>
  <c r="E633" i="10"/>
  <c r="E625" i="10"/>
  <c r="E709" i="10"/>
  <c r="E678" i="10"/>
  <c r="E695" i="10"/>
  <c r="E640" i="10"/>
  <c r="E680" i="10"/>
  <c r="E641" i="10"/>
  <c r="E645" i="10"/>
  <c r="E686" i="10"/>
  <c r="E703" i="10"/>
  <c r="E708" i="10"/>
  <c r="E638" i="10"/>
  <c r="E624" i="10"/>
  <c r="E639" i="10"/>
  <c r="E670" i="10"/>
  <c r="E690" i="10"/>
  <c r="E644" i="10"/>
  <c r="E694" i="10"/>
  <c r="E711" i="10"/>
  <c r="E696" i="10"/>
  <c r="E631" i="10"/>
  <c r="E643" i="10"/>
  <c r="E632" i="10"/>
  <c r="E669" i="10"/>
  <c r="E629" i="10"/>
  <c r="E646" i="10"/>
  <c r="E673" i="10"/>
  <c r="E697" i="10"/>
  <c r="E675" i="10"/>
  <c r="E702" i="10"/>
  <c r="E637" i="10"/>
  <c r="E706" i="10"/>
  <c r="E634" i="10"/>
  <c r="E668" i="10"/>
  <c r="E676" i="10"/>
  <c r="E682" i="10"/>
  <c r="E683" i="10"/>
  <c r="E710" i="10"/>
  <c r="F633" i="1" l="1"/>
  <c r="F709" i="1"/>
  <c r="F670" i="1"/>
  <c r="F713" i="1"/>
  <c r="F681" i="1"/>
  <c r="F708" i="1"/>
  <c r="F696" i="1"/>
  <c r="F688" i="1"/>
  <c r="F676" i="1"/>
  <c r="F684" i="1"/>
  <c r="F673" i="1"/>
  <c r="F672" i="1"/>
  <c r="F632" i="1"/>
  <c r="F625" i="1"/>
  <c r="G625" i="1" s="1"/>
  <c r="G678" i="1" s="1"/>
  <c r="F677" i="1"/>
  <c r="F669" i="1"/>
  <c r="F647" i="1"/>
  <c r="F685" i="1"/>
  <c r="F686" i="1"/>
  <c r="F638" i="1"/>
  <c r="F627" i="1"/>
  <c r="F678" i="1"/>
  <c r="F631" i="1"/>
  <c r="F683" i="1"/>
  <c r="F675" i="1"/>
  <c r="F697" i="1"/>
  <c r="F630" i="1"/>
  <c r="F699" i="1"/>
  <c r="F702" i="1"/>
  <c r="F712" i="1"/>
  <c r="F698" i="1"/>
  <c r="F679" i="1"/>
  <c r="F690" i="1"/>
  <c r="F640" i="1"/>
  <c r="F707" i="1"/>
  <c r="F643" i="1"/>
  <c r="F694" i="1"/>
  <c r="F636" i="1"/>
  <c r="F711" i="1"/>
  <c r="F701" i="1"/>
  <c r="F691" i="1"/>
  <c r="F645" i="1"/>
  <c r="F687" i="1"/>
  <c r="F646" i="1"/>
  <c r="F671" i="1"/>
  <c r="F703" i="1"/>
  <c r="F674" i="1"/>
  <c r="F695" i="1"/>
  <c r="F682" i="1"/>
  <c r="F716" i="1"/>
  <c r="F692" i="1"/>
  <c r="F704" i="1"/>
  <c r="F635" i="1"/>
  <c r="F641" i="1"/>
  <c r="F642" i="1"/>
  <c r="F700" i="1"/>
  <c r="F680" i="1"/>
  <c r="F639" i="1"/>
  <c r="F705" i="1"/>
  <c r="F628" i="1"/>
  <c r="F689" i="1"/>
  <c r="F637" i="1"/>
  <c r="F634" i="1"/>
  <c r="F668" i="1"/>
  <c r="F693" i="1"/>
  <c r="F706" i="1"/>
  <c r="F644" i="1"/>
  <c r="F626" i="1"/>
  <c r="F710" i="1"/>
  <c r="E715" i="1"/>
  <c r="E715" i="10"/>
  <c r="F624" i="10"/>
  <c r="G645" i="1" l="1"/>
  <c r="G644" i="1"/>
  <c r="G709" i="1"/>
  <c r="G647" i="1"/>
  <c r="F715" i="1"/>
  <c r="G680" i="1"/>
  <c r="G629" i="1"/>
  <c r="G691" i="1"/>
  <c r="G638" i="1"/>
  <c r="G705" i="1"/>
  <c r="G708" i="1"/>
  <c r="G627" i="1"/>
  <c r="G685" i="1"/>
  <c r="G695" i="1"/>
  <c r="G697" i="1"/>
  <c r="G694" i="1"/>
  <c r="G635" i="1"/>
  <c r="G696" i="1"/>
  <c r="G681" i="1"/>
  <c r="G628" i="1"/>
  <c r="G633" i="1"/>
  <c r="G636" i="1"/>
  <c r="G692" i="1"/>
  <c r="G646" i="1"/>
  <c r="G704" i="1"/>
  <c r="G670" i="1"/>
  <c r="G679" i="1"/>
  <c r="G710" i="1"/>
  <c r="G640" i="1"/>
  <c r="G707" i="1"/>
  <c r="G703" i="1"/>
  <c r="G676" i="1"/>
  <c r="G632" i="1"/>
  <c r="G682" i="1"/>
  <c r="G688" i="1"/>
  <c r="G698" i="1"/>
  <c r="G626" i="1"/>
  <c r="G700" i="1"/>
  <c r="G713" i="1"/>
  <c r="G684" i="1"/>
  <c r="G706" i="1"/>
  <c r="G674" i="1"/>
  <c r="G687" i="1"/>
  <c r="G671" i="1"/>
  <c r="G630" i="1"/>
  <c r="G642" i="1"/>
  <c r="G693" i="1"/>
  <c r="G711" i="1"/>
  <c r="G673" i="1"/>
  <c r="G690" i="1"/>
  <c r="G669" i="1"/>
  <c r="G634" i="1"/>
  <c r="G712" i="1"/>
  <c r="G701" i="1"/>
  <c r="G675" i="1"/>
  <c r="G689" i="1"/>
  <c r="G641" i="1"/>
  <c r="G699" i="1"/>
  <c r="G677" i="1"/>
  <c r="G631" i="1"/>
  <c r="G702" i="1"/>
  <c r="G639" i="1"/>
  <c r="G686" i="1"/>
  <c r="G672" i="1"/>
  <c r="G683" i="1"/>
  <c r="G668" i="1"/>
  <c r="G637" i="1"/>
  <c r="G643" i="1"/>
  <c r="G716" i="1"/>
  <c r="F712" i="10"/>
  <c r="F708" i="10"/>
  <c r="F700" i="10"/>
  <c r="F692" i="10"/>
  <c r="F684" i="10"/>
  <c r="F676" i="10"/>
  <c r="F668" i="10"/>
  <c r="F707" i="10"/>
  <c r="F699" i="10"/>
  <c r="F691" i="10"/>
  <c r="F683" i="10"/>
  <c r="F704" i="10"/>
  <c r="F696" i="10"/>
  <c r="F688" i="10"/>
  <c r="F680" i="10"/>
  <c r="F672" i="10"/>
  <c r="F713" i="10"/>
  <c r="F702" i="10"/>
  <c r="F695" i="10"/>
  <c r="F681" i="10"/>
  <c r="F627" i="10"/>
  <c r="F711" i="10"/>
  <c r="F697" i="10"/>
  <c r="F690" i="10"/>
  <c r="F645" i="10"/>
  <c r="F625" i="10"/>
  <c r="F705" i="10"/>
  <c r="F698" i="10"/>
  <c r="F628" i="10"/>
  <c r="F687" i="10"/>
  <c r="F636" i="10"/>
  <c r="F694" i="10"/>
  <c r="F679" i="10"/>
  <c r="F677" i="10"/>
  <c r="F674" i="10"/>
  <c r="F671" i="10"/>
  <c r="F644" i="10"/>
  <c r="F642" i="10"/>
  <c r="F634" i="10"/>
  <c r="F629" i="10"/>
  <c r="F703" i="10"/>
  <c r="F701" i="10"/>
  <c r="F637" i="10"/>
  <c r="F689" i="10"/>
  <c r="F647" i="10"/>
  <c r="F641" i="10"/>
  <c r="F706" i="10"/>
  <c r="F669" i="10"/>
  <c r="F638" i="10"/>
  <c r="F633" i="10"/>
  <c r="F709" i="10"/>
  <c r="F685" i="10"/>
  <c r="F682" i="10"/>
  <c r="F646" i="10"/>
  <c r="F643" i="10"/>
  <c r="F640" i="10"/>
  <c r="F635" i="10"/>
  <c r="F630" i="10"/>
  <c r="F626" i="10"/>
  <c r="F632" i="10"/>
  <c r="F693" i="10"/>
  <c r="F716" i="10"/>
  <c r="F678" i="10"/>
  <c r="F673" i="10"/>
  <c r="F675" i="10"/>
  <c r="F639" i="10"/>
  <c r="F710" i="10"/>
  <c r="F686" i="10"/>
  <c r="F631" i="10"/>
  <c r="F670" i="10"/>
  <c r="H628" i="1" l="1"/>
  <c r="H683" i="1" s="1"/>
  <c r="G715" i="1"/>
  <c r="F715" i="10"/>
  <c r="G625" i="10"/>
  <c r="H672" i="1" l="1"/>
  <c r="H678" i="1"/>
  <c r="H643" i="1"/>
  <c r="H686" i="1"/>
  <c r="H716" i="1"/>
  <c r="H675" i="1"/>
  <c r="H671" i="1"/>
  <c r="H701" i="1"/>
  <c r="H674" i="1"/>
  <c r="H687" i="1"/>
  <c r="H640" i="1"/>
  <c r="H697" i="1"/>
  <c r="H642" i="1"/>
  <c r="H670" i="1"/>
  <c r="H706" i="1"/>
  <c r="H680" i="1"/>
  <c r="H703" i="1"/>
  <c r="H638" i="1"/>
  <c r="H693" i="1"/>
  <c r="H632" i="1"/>
  <c r="H646" i="1"/>
  <c r="H682" i="1"/>
  <c r="H636" i="1"/>
  <c r="H707" i="1"/>
  <c r="H634" i="1"/>
  <c r="H685" i="1"/>
  <c r="H684" i="1"/>
  <c r="H635" i="1"/>
  <c r="H713" i="1"/>
  <c r="H696" i="1"/>
  <c r="H688" i="1"/>
  <c r="H709" i="1"/>
  <c r="H705" i="1"/>
  <c r="H629" i="1"/>
  <c r="H689" i="1"/>
  <c r="H631" i="1"/>
  <c r="H673" i="1"/>
  <c r="H641" i="1"/>
  <c r="H645" i="1"/>
  <c r="H691" i="1"/>
  <c r="H704" i="1"/>
  <c r="H710" i="1"/>
  <c r="H633" i="1"/>
  <c r="H669" i="1"/>
  <c r="H712" i="1"/>
  <c r="H647" i="1"/>
  <c r="H698" i="1"/>
  <c r="H681" i="1"/>
  <c r="H630" i="1"/>
  <c r="H711" i="1"/>
  <c r="H690" i="1"/>
  <c r="H708" i="1"/>
  <c r="H694" i="1"/>
  <c r="H692" i="1"/>
  <c r="H679" i="1"/>
  <c r="H700" i="1"/>
  <c r="H637" i="1"/>
  <c r="H677" i="1"/>
  <c r="H668" i="1"/>
  <c r="H695" i="1"/>
  <c r="H699" i="1"/>
  <c r="H639" i="1"/>
  <c r="H644" i="1"/>
  <c r="H702" i="1"/>
  <c r="H676" i="1"/>
  <c r="I629" i="1"/>
  <c r="G716" i="10"/>
  <c r="G705" i="10"/>
  <c r="G697" i="10"/>
  <c r="G689" i="10"/>
  <c r="G681" i="10"/>
  <c r="G673" i="10"/>
  <c r="G704" i="10"/>
  <c r="G696" i="10"/>
  <c r="G688" i="10"/>
  <c r="G680" i="10"/>
  <c r="G709" i="10"/>
  <c r="G701" i="10"/>
  <c r="G693" i="10"/>
  <c r="G685" i="10"/>
  <c r="G677" i="10"/>
  <c r="G669" i="10"/>
  <c r="G710" i="10"/>
  <c r="G703" i="10"/>
  <c r="G682" i="10"/>
  <c r="G644" i="10"/>
  <c r="G698" i="10"/>
  <c r="G683" i="10"/>
  <c r="G628" i="10"/>
  <c r="G712" i="10"/>
  <c r="G706" i="10"/>
  <c r="G691" i="10"/>
  <c r="G684" i="10"/>
  <c r="G646" i="10"/>
  <c r="G711" i="10"/>
  <c r="G639" i="10"/>
  <c r="G631" i="10"/>
  <c r="G713" i="10"/>
  <c r="G690" i="10"/>
  <c r="G637" i="10"/>
  <c r="G699" i="10"/>
  <c r="G686" i="10"/>
  <c r="G640" i="10"/>
  <c r="G632" i="10"/>
  <c r="G626" i="10"/>
  <c r="G638" i="10"/>
  <c r="G633" i="10"/>
  <c r="G674" i="10"/>
  <c r="G643" i="10"/>
  <c r="G635" i="10"/>
  <c r="G630" i="10"/>
  <c r="G627" i="10"/>
  <c r="G700" i="10"/>
  <c r="G694" i="10"/>
  <c r="G679" i="10"/>
  <c r="G676" i="10"/>
  <c r="G671" i="10"/>
  <c r="G708" i="10"/>
  <c r="G678" i="10"/>
  <c r="G645" i="10"/>
  <c r="G642" i="10"/>
  <c r="G629" i="10"/>
  <c r="G702" i="10"/>
  <c r="G687" i="10"/>
  <c r="G675" i="10"/>
  <c r="G668" i="10"/>
  <c r="G634" i="10"/>
  <c r="G670" i="10"/>
  <c r="G707" i="10"/>
  <c r="G641" i="10"/>
  <c r="G636" i="10"/>
  <c r="G695" i="10"/>
  <c r="G672" i="10"/>
  <c r="G692" i="10"/>
  <c r="G647" i="10"/>
  <c r="H715" i="1" l="1"/>
  <c r="I646" i="1"/>
  <c r="I647" i="1"/>
  <c r="I645" i="1"/>
  <c r="I670" i="1"/>
  <c r="I712" i="1"/>
  <c r="I697" i="1"/>
  <c r="I677" i="1"/>
  <c r="I636" i="1"/>
  <c r="I706" i="1"/>
  <c r="I710" i="1"/>
  <c r="I682" i="1"/>
  <c r="I668" i="1"/>
  <c r="I679" i="1"/>
  <c r="I698" i="1"/>
  <c r="I691" i="1"/>
  <c r="I700" i="1"/>
  <c r="I637" i="1"/>
  <c r="I684" i="1"/>
  <c r="I711" i="1"/>
  <c r="I708" i="1"/>
  <c r="I704" i="1"/>
  <c r="I683" i="1"/>
  <c r="I716" i="1"/>
  <c r="I707" i="1"/>
  <c r="I671" i="1"/>
  <c r="I687" i="1"/>
  <c r="I692" i="1"/>
  <c r="I676" i="1"/>
  <c r="I672" i="1"/>
  <c r="I693" i="1"/>
  <c r="I634" i="1"/>
  <c r="I673" i="1"/>
  <c r="I694" i="1"/>
  <c r="I689" i="1"/>
  <c r="I705" i="1"/>
  <c r="I633" i="1"/>
  <c r="I643" i="1"/>
  <c r="I695" i="1"/>
  <c r="I644" i="1"/>
  <c r="I635" i="1"/>
  <c r="I631" i="1"/>
  <c r="I686" i="1"/>
  <c r="I675" i="1"/>
  <c r="I642" i="1"/>
  <c r="I702" i="1"/>
  <c r="I678" i="1"/>
  <c r="I696" i="1"/>
  <c r="I639" i="1"/>
  <c r="I685" i="1"/>
  <c r="I640" i="1"/>
  <c r="I681" i="1"/>
  <c r="I641" i="1"/>
  <c r="I713" i="1"/>
  <c r="I632" i="1"/>
  <c r="I688" i="1"/>
  <c r="I674" i="1"/>
  <c r="I680" i="1"/>
  <c r="I690" i="1"/>
  <c r="I630" i="1"/>
  <c r="I709" i="1"/>
  <c r="I669" i="1"/>
  <c r="I703" i="1"/>
  <c r="I701" i="1"/>
  <c r="I699" i="1"/>
  <c r="I638" i="1"/>
  <c r="G715" i="10"/>
  <c r="H628" i="10"/>
  <c r="I715" i="1" l="1"/>
  <c r="J630" i="1"/>
  <c r="H712" i="10"/>
  <c r="H716" i="10"/>
  <c r="H710" i="10"/>
  <c r="H702" i="10"/>
  <c r="H694" i="10"/>
  <c r="H686" i="10"/>
  <c r="H678" i="10"/>
  <c r="H670" i="10"/>
  <c r="H647" i="10"/>
  <c r="H646" i="10"/>
  <c r="H645" i="10"/>
  <c r="H709" i="10"/>
  <c r="H701" i="10"/>
  <c r="H693" i="10"/>
  <c r="H685" i="10"/>
  <c r="H706" i="10"/>
  <c r="H698" i="10"/>
  <c r="H690" i="10"/>
  <c r="H682" i="10"/>
  <c r="H674" i="10"/>
  <c r="H711" i="10"/>
  <c r="H696" i="10"/>
  <c r="H689" i="10"/>
  <c r="H705" i="10"/>
  <c r="H691" i="10"/>
  <c r="H684" i="10"/>
  <c r="H699" i="10"/>
  <c r="H692" i="10"/>
  <c r="H677" i="10"/>
  <c r="H676" i="10"/>
  <c r="H675" i="10"/>
  <c r="H629" i="10"/>
  <c r="H707" i="10"/>
  <c r="H683" i="10"/>
  <c r="H679" i="10"/>
  <c r="H671" i="10"/>
  <c r="H668" i="10"/>
  <c r="H642" i="10"/>
  <c r="H634" i="10"/>
  <c r="H703" i="10"/>
  <c r="H640" i="10"/>
  <c r="H632" i="10"/>
  <c r="H688" i="10"/>
  <c r="H672" i="10"/>
  <c r="H669" i="10"/>
  <c r="H635" i="10"/>
  <c r="H713" i="10"/>
  <c r="H643" i="10"/>
  <c r="H630" i="10"/>
  <c r="H700" i="10"/>
  <c r="H697" i="10"/>
  <c r="H708" i="10"/>
  <c r="H637" i="10"/>
  <c r="H687" i="10"/>
  <c r="H673" i="10"/>
  <c r="H681" i="10"/>
  <c r="H639" i="10"/>
  <c r="H695" i="10"/>
  <c r="H641" i="10"/>
  <c r="H636" i="10"/>
  <c r="H631" i="10"/>
  <c r="H644" i="10"/>
  <c r="H704" i="10"/>
  <c r="H680" i="10"/>
  <c r="H638" i="10"/>
  <c r="H633" i="10"/>
  <c r="J634" i="1" l="1"/>
  <c r="J645" i="1"/>
  <c r="J681" i="1"/>
  <c r="J683" i="1"/>
  <c r="J639" i="1"/>
  <c r="J709" i="1"/>
  <c r="J689" i="1"/>
  <c r="J676" i="1"/>
  <c r="J701" i="1"/>
  <c r="J705" i="1"/>
  <c r="J713" i="1"/>
  <c r="J688" i="1"/>
  <c r="J638" i="1"/>
  <c r="J685" i="1"/>
  <c r="J670" i="1"/>
  <c r="J694" i="1"/>
  <c r="J716" i="1"/>
  <c r="J710" i="1"/>
  <c r="J633" i="1"/>
  <c r="J711" i="1"/>
  <c r="J706" i="1"/>
  <c r="J682" i="1"/>
  <c r="J642" i="1"/>
  <c r="J672" i="1"/>
  <c r="J631" i="1"/>
  <c r="J699" i="1"/>
  <c r="J669" i="1"/>
  <c r="J691" i="1"/>
  <c r="J637" i="1"/>
  <c r="J704" i="1"/>
  <c r="J700" i="1"/>
  <c r="J696" i="1"/>
  <c r="J632" i="1"/>
  <c r="J673" i="1"/>
  <c r="J698" i="1"/>
  <c r="J643" i="1"/>
  <c r="J668" i="1"/>
  <c r="J640" i="1"/>
  <c r="J708" i="1"/>
  <c r="J702" i="1"/>
  <c r="J675" i="1"/>
  <c r="J692" i="1"/>
  <c r="J690" i="1"/>
  <c r="J647" i="1"/>
  <c r="J679" i="1"/>
  <c r="J686" i="1"/>
  <c r="J641" i="1"/>
  <c r="J635" i="1"/>
  <c r="J697" i="1"/>
  <c r="J687" i="1"/>
  <c r="J707" i="1"/>
  <c r="J636" i="1"/>
  <c r="J680" i="1"/>
  <c r="J678" i="1"/>
  <c r="J684" i="1"/>
  <c r="J695" i="1"/>
  <c r="J712" i="1"/>
  <c r="J703" i="1"/>
  <c r="J646" i="1"/>
  <c r="J674" i="1"/>
  <c r="J677" i="1"/>
  <c r="J693" i="1"/>
  <c r="J644" i="1"/>
  <c r="J671" i="1"/>
  <c r="H715" i="10"/>
  <c r="I629" i="10"/>
  <c r="K644" i="1" l="1"/>
  <c r="K704" i="1" s="1"/>
  <c r="L647" i="1"/>
  <c r="L686" i="1" s="1"/>
  <c r="J715" i="1"/>
  <c r="I707" i="10"/>
  <c r="I699" i="10"/>
  <c r="I691" i="10"/>
  <c r="I683" i="10"/>
  <c r="I675" i="10"/>
  <c r="I644" i="10"/>
  <c r="I643" i="10"/>
  <c r="I706" i="10"/>
  <c r="I698" i="10"/>
  <c r="I690" i="10"/>
  <c r="I682" i="10"/>
  <c r="I713" i="10"/>
  <c r="I712" i="10"/>
  <c r="I711" i="10"/>
  <c r="I703" i="10"/>
  <c r="I695" i="10"/>
  <c r="I687" i="10"/>
  <c r="I679" i="10"/>
  <c r="I671" i="10"/>
  <c r="I704" i="10"/>
  <c r="I697" i="10"/>
  <c r="I645" i="10"/>
  <c r="I692" i="10"/>
  <c r="I677" i="10"/>
  <c r="I676" i="10"/>
  <c r="I646" i="10"/>
  <c r="I700" i="10"/>
  <c r="I685" i="10"/>
  <c r="I678" i="10"/>
  <c r="I674" i="10"/>
  <c r="I673" i="10"/>
  <c r="I672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9" i="10"/>
  <c r="I696" i="10"/>
  <c r="I694" i="10"/>
  <c r="I681" i="10"/>
  <c r="I701" i="10"/>
  <c r="I688" i="10"/>
  <c r="I686" i="10"/>
  <c r="I669" i="10"/>
  <c r="I708" i="10"/>
  <c r="I684" i="10"/>
  <c r="I693" i="10"/>
  <c r="I716" i="10"/>
  <c r="I705" i="10"/>
  <c r="I702" i="10"/>
  <c r="I668" i="10"/>
  <c r="I670" i="10"/>
  <c r="I710" i="10"/>
  <c r="I680" i="10"/>
  <c r="I647" i="10"/>
  <c r="I689" i="10"/>
  <c r="K688" i="1" l="1"/>
  <c r="L688" i="1"/>
  <c r="L679" i="1"/>
  <c r="K684" i="1"/>
  <c r="L694" i="1"/>
  <c r="L713" i="1"/>
  <c r="L673" i="1"/>
  <c r="L711" i="1"/>
  <c r="K697" i="1"/>
  <c r="L675" i="1"/>
  <c r="L685" i="1"/>
  <c r="L707" i="1"/>
  <c r="L671" i="1"/>
  <c r="L683" i="1"/>
  <c r="L692" i="1"/>
  <c r="L690" i="1"/>
  <c r="L705" i="1"/>
  <c r="L706" i="1"/>
  <c r="L704" i="1"/>
  <c r="M704" i="1" s="1"/>
  <c r="D183" i="9" s="1"/>
  <c r="L697" i="1"/>
  <c r="K700" i="1"/>
  <c r="L677" i="1"/>
  <c r="L699" i="1"/>
  <c r="L696" i="1"/>
  <c r="L712" i="1"/>
  <c r="L680" i="1"/>
  <c r="L702" i="1"/>
  <c r="K705" i="1"/>
  <c r="K693" i="1"/>
  <c r="K692" i="1"/>
  <c r="K698" i="1"/>
  <c r="K691" i="1"/>
  <c r="K685" i="1"/>
  <c r="K681" i="1"/>
  <c r="K680" i="1"/>
  <c r="K708" i="1"/>
  <c r="K673" i="1"/>
  <c r="K707" i="1"/>
  <c r="K702" i="1"/>
  <c r="M702" i="1" s="1"/>
  <c r="K689" i="1"/>
  <c r="K716" i="1"/>
  <c r="K682" i="1"/>
  <c r="K679" i="1"/>
  <c r="K676" i="1"/>
  <c r="K683" i="1"/>
  <c r="K711" i="1"/>
  <c r="L684" i="1"/>
  <c r="L698" i="1"/>
  <c r="L695" i="1"/>
  <c r="L709" i="1"/>
  <c r="L716" i="1"/>
  <c r="L668" i="1"/>
  <c r="L703" i="1"/>
  <c r="L691" i="1"/>
  <c r="L710" i="1"/>
  <c r="L672" i="1"/>
  <c r="L701" i="1"/>
  <c r="L700" i="1"/>
  <c r="K678" i="1"/>
  <c r="L678" i="1"/>
  <c r="L682" i="1"/>
  <c r="L687" i="1"/>
  <c r="L681" i="1"/>
  <c r="L669" i="1"/>
  <c r="L693" i="1"/>
  <c r="L670" i="1"/>
  <c r="L674" i="1"/>
  <c r="L708" i="1"/>
  <c r="L676" i="1"/>
  <c r="L689" i="1"/>
  <c r="K703" i="1"/>
  <c r="K686" i="1"/>
  <c r="M686" i="1" s="1"/>
  <c r="K670" i="1"/>
  <c r="K671" i="1"/>
  <c r="K712" i="1"/>
  <c r="K690" i="1"/>
  <c r="M690" i="1" s="1"/>
  <c r="K672" i="1"/>
  <c r="K668" i="1"/>
  <c r="K675" i="1"/>
  <c r="K677" i="1"/>
  <c r="K710" i="1"/>
  <c r="K674" i="1"/>
  <c r="K706" i="1"/>
  <c r="K709" i="1"/>
  <c r="K701" i="1"/>
  <c r="K713" i="1"/>
  <c r="K695" i="1"/>
  <c r="K696" i="1"/>
  <c r="K694" i="1"/>
  <c r="K669" i="1"/>
  <c r="K687" i="1"/>
  <c r="K699" i="1"/>
  <c r="I715" i="10"/>
  <c r="J630" i="10"/>
  <c r="M668" i="1" l="1"/>
  <c r="M679" i="1"/>
  <c r="G55" i="9" s="1"/>
  <c r="L715" i="1"/>
  <c r="M710" i="1"/>
  <c r="M688" i="1"/>
  <c r="I87" i="9" s="1"/>
  <c r="M712" i="1"/>
  <c r="E215" i="9" s="1"/>
  <c r="M694" i="1"/>
  <c r="M671" i="1"/>
  <c r="F23" i="9" s="1"/>
  <c r="M700" i="1"/>
  <c r="G151" i="9" s="1"/>
  <c r="M698" i="1"/>
  <c r="E151" i="9" s="1"/>
  <c r="M684" i="1"/>
  <c r="E87" i="9" s="1"/>
  <c r="M713" i="1"/>
  <c r="F215" i="9" s="1"/>
  <c r="M675" i="1"/>
  <c r="M705" i="1"/>
  <c r="M697" i="1"/>
  <c r="M699" i="1"/>
  <c r="M673" i="1"/>
  <c r="M685" i="1"/>
  <c r="F87" i="9" s="1"/>
  <c r="M711" i="1"/>
  <c r="M707" i="1"/>
  <c r="M692" i="1"/>
  <c r="M680" i="1"/>
  <c r="M682" i="1"/>
  <c r="C87" i="9" s="1"/>
  <c r="M683" i="1"/>
  <c r="M706" i="1"/>
  <c r="F183" i="9" s="1"/>
  <c r="M677" i="1"/>
  <c r="M676" i="1"/>
  <c r="M696" i="1"/>
  <c r="C151" i="9" s="1"/>
  <c r="M691" i="1"/>
  <c r="M681" i="1"/>
  <c r="M669" i="1"/>
  <c r="D23" i="9" s="1"/>
  <c r="M708" i="1"/>
  <c r="H183" i="9" s="1"/>
  <c r="M672" i="1"/>
  <c r="G23" i="9" s="1"/>
  <c r="M693" i="1"/>
  <c r="G119" i="9" s="1"/>
  <c r="I151" i="9"/>
  <c r="M687" i="1"/>
  <c r="M689" i="1"/>
  <c r="C119" i="9" s="1"/>
  <c r="M701" i="1"/>
  <c r="H151" i="9" s="1"/>
  <c r="M709" i="1"/>
  <c r="I183" i="9" s="1"/>
  <c r="M670" i="1"/>
  <c r="E23" i="9" s="1"/>
  <c r="M703" i="1"/>
  <c r="C183" i="9" s="1"/>
  <c r="M674" i="1"/>
  <c r="M678" i="1"/>
  <c r="M695" i="1"/>
  <c r="I119" i="9" s="1"/>
  <c r="D119" i="9"/>
  <c r="G87" i="9"/>
  <c r="K715" i="1"/>
  <c r="J713" i="10"/>
  <c r="J704" i="10"/>
  <c r="J696" i="10"/>
  <c r="J688" i="10"/>
  <c r="J680" i="10"/>
  <c r="J672" i="10"/>
  <c r="J712" i="10"/>
  <c r="J711" i="10"/>
  <c r="J703" i="10"/>
  <c r="J695" i="10"/>
  <c r="J687" i="10"/>
  <c r="J679" i="10"/>
  <c r="J708" i="10"/>
  <c r="J700" i="10"/>
  <c r="J692" i="10"/>
  <c r="J684" i="10"/>
  <c r="J676" i="10"/>
  <c r="J668" i="10"/>
  <c r="J705" i="10"/>
  <c r="J690" i="10"/>
  <c r="J683" i="10"/>
  <c r="J706" i="10"/>
  <c r="J699" i="10"/>
  <c r="J685" i="10"/>
  <c r="J678" i="10"/>
  <c r="J675" i="10"/>
  <c r="J674" i="10"/>
  <c r="J67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707" i="10"/>
  <c r="J693" i="10"/>
  <c r="J686" i="10"/>
  <c r="J671" i="10"/>
  <c r="J670" i="10"/>
  <c r="J669" i="10"/>
  <c r="J647" i="10"/>
  <c r="J646" i="10"/>
  <c r="J644" i="10"/>
  <c r="J716" i="10"/>
  <c r="J710" i="10"/>
  <c r="J697" i="10"/>
  <c r="J643" i="10"/>
  <c r="J709" i="10"/>
  <c r="J694" i="10"/>
  <c r="J691" i="10"/>
  <c r="J682" i="10"/>
  <c r="J702" i="10"/>
  <c r="J645" i="10"/>
  <c r="J681" i="10"/>
  <c r="J701" i="10"/>
  <c r="J689" i="10"/>
  <c r="J677" i="10"/>
  <c r="J698" i="10"/>
  <c r="D215" i="9" l="1"/>
  <c r="M715" i="1"/>
  <c r="C215" i="9"/>
  <c r="H119" i="9"/>
  <c r="H55" i="9"/>
  <c r="D151" i="9"/>
  <c r="E55" i="9"/>
  <c r="D55" i="9"/>
  <c r="F151" i="9"/>
  <c r="I55" i="9"/>
  <c r="C55" i="9"/>
  <c r="G183" i="9"/>
  <c r="F119" i="9"/>
  <c r="E183" i="9"/>
  <c r="H23" i="9"/>
  <c r="D87" i="9"/>
  <c r="H87" i="9"/>
  <c r="E119" i="9"/>
  <c r="C23" i="9"/>
  <c r="I23" i="9"/>
  <c r="F55" i="9"/>
  <c r="L647" i="10"/>
  <c r="K644" i="10"/>
  <c r="K711" i="10" l="1"/>
  <c r="K713" i="10"/>
  <c r="K709" i="10"/>
  <c r="K701" i="10"/>
  <c r="K693" i="10"/>
  <c r="K685" i="10"/>
  <c r="K677" i="10"/>
  <c r="K669" i="10"/>
  <c r="K708" i="10"/>
  <c r="K700" i="10"/>
  <c r="K692" i="10"/>
  <c r="K684" i="10"/>
  <c r="K705" i="10"/>
  <c r="K697" i="10"/>
  <c r="K689" i="10"/>
  <c r="K681" i="10"/>
  <c r="K673" i="10"/>
  <c r="K698" i="10"/>
  <c r="K691" i="10"/>
  <c r="K712" i="10"/>
  <c r="K707" i="10"/>
  <c r="K686" i="10"/>
  <c r="K672" i="10"/>
  <c r="K671" i="10"/>
  <c r="K670" i="10"/>
  <c r="K694" i="10"/>
  <c r="K679" i="10"/>
  <c r="K668" i="10"/>
  <c r="K674" i="10"/>
  <c r="K716" i="10"/>
  <c r="K710" i="10"/>
  <c r="K699" i="10"/>
  <c r="K695" i="10"/>
  <c r="K682" i="10"/>
  <c r="K680" i="10"/>
  <c r="K675" i="10"/>
  <c r="K706" i="10"/>
  <c r="K703" i="10"/>
  <c r="K688" i="10"/>
  <c r="K702" i="10"/>
  <c r="K676" i="10"/>
  <c r="K687" i="10"/>
  <c r="K678" i="10"/>
  <c r="K696" i="10"/>
  <c r="K690" i="10"/>
  <c r="K704" i="10"/>
  <c r="K683" i="10"/>
  <c r="L716" i="10"/>
  <c r="L706" i="10"/>
  <c r="L698" i="10"/>
  <c r="M698" i="10" s="1"/>
  <c r="Y764" i="10" s="1"/>
  <c r="L690" i="10"/>
  <c r="L682" i="10"/>
  <c r="M682" i="10" s="1"/>
  <c r="Y748" i="10" s="1"/>
  <c r="L674" i="10"/>
  <c r="M674" i="10" s="1"/>
  <c r="Y740" i="10" s="1"/>
  <c r="L713" i="10"/>
  <c r="M713" i="10" s="1"/>
  <c r="Y779" i="10" s="1"/>
  <c r="L705" i="10"/>
  <c r="L697" i="10"/>
  <c r="L689" i="10"/>
  <c r="L681" i="10"/>
  <c r="L710" i="10"/>
  <c r="M710" i="10" s="1"/>
  <c r="Y776" i="10" s="1"/>
  <c r="L702" i="10"/>
  <c r="L694" i="10"/>
  <c r="M694" i="10" s="1"/>
  <c r="Y760" i="10" s="1"/>
  <c r="L686" i="10"/>
  <c r="M686" i="10" s="1"/>
  <c r="Y752" i="10" s="1"/>
  <c r="L678" i="10"/>
  <c r="M678" i="10" s="1"/>
  <c r="Y744" i="10" s="1"/>
  <c r="L670" i="10"/>
  <c r="M670" i="10" s="1"/>
  <c r="Y736" i="10" s="1"/>
  <c r="L699" i="10"/>
  <c r="L684" i="10"/>
  <c r="M684" i="10" s="1"/>
  <c r="Y750" i="10" s="1"/>
  <c r="L677" i="10"/>
  <c r="M677" i="10" s="1"/>
  <c r="Y743" i="10" s="1"/>
  <c r="L676" i="10"/>
  <c r="M676" i="10" s="1"/>
  <c r="Y742" i="10" s="1"/>
  <c r="L675" i="10"/>
  <c r="M675" i="10" s="1"/>
  <c r="Y741" i="10" s="1"/>
  <c r="L700" i="10"/>
  <c r="M700" i="10" s="1"/>
  <c r="Y766" i="10" s="1"/>
  <c r="L693" i="10"/>
  <c r="L679" i="10"/>
  <c r="M679" i="10" s="1"/>
  <c r="Y745" i="10" s="1"/>
  <c r="L669" i="10"/>
  <c r="L668" i="10"/>
  <c r="L708" i="10"/>
  <c r="M708" i="10" s="1"/>
  <c r="Y774" i="10" s="1"/>
  <c r="L701" i="10"/>
  <c r="M701" i="10" s="1"/>
  <c r="Y767" i="10" s="1"/>
  <c r="L687" i="10"/>
  <c r="M687" i="10" s="1"/>
  <c r="Y753" i="10" s="1"/>
  <c r="L680" i="10"/>
  <c r="M680" i="10" s="1"/>
  <c r="Y746" i="10" s="1"/>
  <c r="L703" i="10"/>
  <c r="L692" i="10"/>
  <c r="M692" i="10" s="1"/>
  <c r="Y758" i="10" s="1"/>
  <c r="L688" i="10"/>
  <c r="M688" i="10" s="1"/>
  <c r="Y754" i="10" s="1"/>
  <c r="L695" i="10"/>
  <c r="M695" i="10" s="1"/>
  <c r="Y761" i="10" s="1"/>
  <c r="L672" i="10"/>
  <c r="M672" i="10" s="1"/>
  <c r="Y738" i="10" s="1"/>
  <c r="L712" i="10"/>
  <c r="M712" i="10" s="1"/>
  <c r="Y778" i="10" s="1"/>
  <c r="L709" i="10"/>
  <c r="M709" i="10" s="1"/>
  <c r="Y775" i="10" s="1"/>
  <c r="L691" i="10"/>
  <c r="M691" i="10" s="1"/>
  <c r="Y757" i="10" s="1"/>
  <c r="L685" i="10"/>
  <c r="L671" i="10"/>
  <c r="M671" i="10" s="1"/>
  <c r="Y737" i="10" s="1"/>
  <c r="L696" i="10"/>
  <c r="M696" i="10" s="1"/>
  <c r="Y762" i="10" s="1"/>
  <c r="L673" i="10"/>
  <c r="M673" i="10" s="1"/>
  <c r="Y739" i="10" s="1"/>
  <c r="L711" i="10"/>
  <c r="M711" i="10" s="1"/>
  <c r="Y777" i="10" s="1"/>
  <c r="L704" i="10"/>
  <c r="L707" i="10"/>
  <c r="M707" i="10" s="1"/>
  <c r="Y773" i="10" s="1"/>
  <c r="L683" i="10"/>
  <c r="M683" i="10" s="1"/>
  <c r="Y749" i="10" s="1"/>
  <c r="M697" i="10" l="1"/>
  <c r="Y763" i="10" s="1"/>
  <c r="M685" i="10"/>
  <c r="Y751" i="10" s="1"/>
  <c r="M703" i="10"/>
  <c r="Y769" i="10" s="1"/>
  <c r="M693" i="10"/>
  <c r="Y759" i="10" s="1"/>
  <c r="M705" i="10"/>
  <c r="Y771" i="10" s="1"/>
  <c r="M702" i="10"/>
  <c r="Y768" i="10" s="1"/>
  <c r="K715" i="10"/>
  <c r="M704" i="10"/>
  <c r="Y770" i="10" s="1"/>
  <c r="M690" i="10"/>
  <c r="Y756" i="10" s="1"/>
  <c r="L715" i="10"/>
  <c r="M668" i="10"/>
  <c r="M681" i="10"/>
  <c r="Y747" i="10" s="1"/>
  <c r="M669" i="10"/>
  <c r="Y735" i="10" s="1"/>
  <c r="M699" i="10"/>
  <c r="Y765" i="10" s="1"/>
  <c r="M689" i="10"/>
  <c r="Y755" i="10" s="1"/>
  <c r="M706" i="10"/>
  <c r="Y772" i="10" s="1"/>
  <c r="Y734" i="10" l="1"/>
  <c r="Y815" i="10" s="1"/>
  <c r="M715" i="10"/>
</calcChain>
</file>

<file path=xl/sharedStrings.xml><?xml version="1.0" encoding="utf-8"?>
<sst xmlns="http://schemas.openxmlformats.org/spreadsheetml/2006/main" count="4680" uniqueCount="1280">
  <si>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</si>
  <si>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</si>
  <si>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</si>
  <si>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</si>
  <si>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</si>
  <si>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</si>
  <si>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</si>
  <si>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</si>
  <si>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</si>
  <si>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</si>
  <si>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</si>
  <si>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</si>
  <si>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</si>
  <si>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</si>
  <si>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</si>
  <si>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</si>
  <si>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</si>
  <si>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</si>
  <si>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</si>
  <si>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</si>
  <si>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</si>
  <si>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</si>
  <si>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</si>
  <si>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</si>
  <si>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</si>
  <si>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</si>
  <si>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</si>
  <si>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</si>
  <si>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</si>
  <si>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</si>
  <si>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</si>
  <si>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</si>
  <si>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</si>
  <si>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</si>
  <si>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</si>
  <si>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</si>
  <si>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</si>
  <si>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</si>
  <si>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</si>
  <si>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</si>
  <si>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</si>
  <si>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</si>
  <si>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</si>
  <si>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</si>
  <si>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</si>
  <si>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</si>
  <si>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</si>
  <si>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</si>
  <si>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</si>
  <si>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</si>
  <si>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</si>
  <si>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</si>
  <si>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</si>
  <si>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</si>
  <si>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</si>
  <si>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</si>
  <si>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</si>
  <si>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</si>
  <si>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</si>
  <si>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</si>
  <si>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</si>
  <si>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</si>
  <si>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</si>
  <si>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</si>
  <si>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</si>
  <si>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</si>
  <si>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</si>
  <si>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</si>
  <si>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</si>
  <si>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</si>
  <si>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</si>
  <si>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</si>
  <si>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</si>
  <si>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</si>
  <si>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</si>
  <si>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</si>
  <si>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</si>
  <si>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</si>
  <si>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</si>
  <si>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</si>
  <si>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</si>
  <si>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</si>
  <si>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</si>
  <si>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</si>
  <si>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</si>
  <si>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</si>
  <si>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</si>
  <si>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</si>
  <si>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</si>
  <si>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</si>
  <si>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</si>
  <si>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</si>
  <si>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</si>
  <si>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</si>
  <si>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</si>
  <si>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</si>
  <si>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</si>
  <si>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</si>
  <si>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</si>
  <si>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</si>
  <si>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</si>
  <si>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</si>
  <si>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</si>
  <si>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</si>
  <si>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</si>
  <si>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</si>
  <si>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</si>
  <si>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</si>
  <si>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</si>
  <si>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</si>
  <si>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</si>
  <si>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</si>
  <si>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</si>
  <si>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</si>
  <si>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</si>
  <si>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</si>
  <si>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</si>
  <si>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</si>
  <si>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</si>
  <si>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</si>
  <si>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</si>
  <si>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</si>
  <si>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</si>
  <si>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</si>
  <si>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</si>
  <si>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</si>
  <si>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</si>
  <si>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</si>
  <si>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</si>
  <si>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</si>
  <si>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</si>
  <si>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</si>
  <si>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</si>
  <si>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</si>
  <si>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</si>
  <si>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</si>
  <si>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</si>
  <si>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</si>
  <si>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</si>
  <si>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</si>
  <si>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</si>
  <si>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</si>
  <si>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</si>
  <si>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</si>
  <si>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</si>
  <si>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</si>
  <si>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</si>
  <si>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</si>
  <si>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</si>
  <si>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</si>
  <si>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</si>
  <si>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</si>
  <si>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</si>
  <si>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</si>
  <si>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</si>
  <si>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</si>
  <si>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</si>
  <si>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</si>
  <si>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</si>
  <si>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</si>
  <si>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</si>
  <si>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</si>
  <si>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</si>
  <si>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</si>
  <si>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</si>
  <si>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</si>
  <si>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</si>
  <si>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</si>
  <si>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</si>
  <si>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</si>
  <si>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</si>
  <si>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</si>
  <si>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</si>
  <si>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</si>
  <si>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</si>
  <si>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</si>
  <si>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</si>
  <si>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</si>
  <si>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</si>
  <si>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</si>
  <si>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</si>
  <si>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</si>
  <si>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</si>
  <si>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</si>
  <si>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</si>
  <si>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</si>
  <si>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</si>
  <si>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</si>
  <si>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</si>
  <si>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</si>
  <si>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</si>
  <si>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</si>
  <si>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</si>
  <si>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</si>
  <si>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</si>
  <si>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</si>
  <si>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</si>
  <si>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</si>
  <si>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</si>
  <si>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</si>
  <si>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</si>
  <si>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</si>
  <si>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</si>
  <si>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</si>
  <si>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</si>
  <si>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</si>
  <si>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</si>
  <si>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</si>
  <si>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</si>
  <si>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</si>
  <si>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</si>
  <si>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</si>
  <si>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</si>
  <si>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</si>
  <si>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</si>
  <si>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</si>
  <si>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</si>
  <si>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</si>
  <si>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</si>
  <si>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</si>
  <si>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</si>
  <si>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</si>
  <si>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</si>
  <si>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</si>
  <si>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</si>
  <si>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</si>
  <si>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</si>
  <si>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</si>
  <si>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</si>
  <si>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</si>
  <si>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</si>
  <si>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</si>
  <si>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</si>
  <si>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</si>
  <si>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</si>
  <si>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</si>
  <si>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</si>
  <si>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</si>
  <si>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</si>
  <si>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</si>
  <si>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</si>
  <si>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</si>
  <si>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</si>
  <si>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</si>
  <si>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</si>
  <si>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</si>
  <si>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</si>
  <si>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</si>
  <si>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</si>
  <si>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</si>
  <si>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</si>
  <si>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</si>
  <si>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</si>
  <si>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</si>
  <si>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</si>
  <si>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</si>
  <si>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</si>
  <si>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</si>
  <si>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</si>
  <si>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</si>
  <si>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</si>
  <si>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</si>
  <si>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</si>
  <si>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</si>
  <si>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</si>
  <si>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</si>
  <si>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</si>
  <si>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</si>
  <si>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</si>
  <si>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</si>
  <si>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</si>
  <si>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</si>
  <si>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</si>
  <si>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</si>
  <si>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</si>
  <si>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</si>
  <si>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</si>
  <si>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</si>
  <si>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</si>
  <si>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</si>
  <si>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</si>
  <si>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</si>
  <si>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</si>
  <si>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</si>
  <si>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</si>
  <si>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</si>
  <si>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</si>
  <si>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</si>
  <si>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</si>
  <si>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</si>
  <si>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</si>
  <si>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</si>
  <si>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</si>
  <si>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</si>
  <si>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</si>
  <si>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</si>
  <si>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</si>
  <si>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</si>
  <si>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</si>
  <si>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</si>
  <si>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</si>
  <si>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</si>
  <si>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</si>
  <si>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</si>
  <si>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</si>
  <si>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</si>
  <si>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</si>
  <si>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</si>
  <si>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</si>
  <si>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</si>
  <si>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</si>
  <si>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</si>
  <si>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</si>
  <si>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</si>
  <si>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</si>
  <si>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</si>
  <si>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</si>
  <si>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</si>
  <si>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</si>
  <si>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</si>
  <si>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</si>
  <si>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</si>
  <si>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</si>
  <si>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</si>
  <si>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</si>
  <si>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</si>
  <si>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</si>
  <si>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</si>
  <si>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</si>
  <si>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</si>
  <si>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</si>
  <si>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</si>
  <si>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</si>
  <si>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</si>
  <si>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</si>
  <si>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</si>
  <si>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</si>
  <si>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</si>
  <si>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</si>
  <si>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</si>
  <si>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</si>
  <si>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</si>
  <si>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</si>
  <si>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</si>
  <si>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</si>
  <si>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</si>
  <si>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</si>
  <si>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</si>
  <si>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</si>
  <si>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</si>
  <si>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</si>
  <si>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</si>
  <si>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</si>
  <si>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</si>
  <si>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</si>
  <si>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</si>
  <si>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</si>
  <si>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</si>
  <si>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</si>
  <si>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</si>
  <si>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</si>
  <si>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</si>
  <si>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</si>
  <si>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</si>
  <si>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</si>
  <si>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</si>
  <si>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</si>
  <si>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</si>
  <si>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</si>
  <si>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</si>
  <si>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</si>
  <si>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</si>
  <si>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</si>
  <si>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</si>
  <si>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</si>
  <si>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</si>
  <si>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</si>
  <si>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</si>
  <si>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</si>
  <si>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</si>
  <si>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</si>
  <si>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</si>
  <si>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</si>
  <si>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</si>
  <si>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</si>
  <si>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</si>
  <si>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</si>
  <si>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</si>
  <si>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</si>
  <si>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</si>
  <si>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</si>
  <si>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</si>
  <si>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</si>
  <si>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</si>
  <si>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</si>
  <si>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</si>
  <si>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</si>
  <si>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</si>
  <si>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</si>
  <si>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</si>
  <si>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</si>
  <si>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</si>
  <si>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</si>
  <si>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</si>
  <si>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</si>
  <si>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</si>
  <si>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</si>
  <si>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</si>
  <si>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</si>
  <si>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</si>
  <si>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</si>
  <si>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</si>
  <si>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</si>
  <si>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</si>
  <si>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</si>
  <si>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</si>
  <si>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</si>
  <si>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</si>
  <si>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</si>
  <si>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</si>
  <si>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</si>
  <si>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</si>
  <si>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</si>
  <si>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</si>
  <si>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</si>
  <si>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</si>
  <si>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</si>
  <si>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</si>
  <si>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</si>
  <si>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</si>
  <si>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</si>
  <si>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</si>
  <si>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</si>
  <si>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</si>
  <si>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</si>
  <si>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</si>
  <si>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</si>
  <si>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</si>
  <si>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</si>
  <si>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</si>
  <si>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</si>
  <si>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</si>
  <si>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</si>
  <si>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</si>
  <si>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</si>
  <si>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</si>
  <si>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</si>
  <si>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</si>
  <si>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</si>
  <si>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</si>
  <si>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</si>
  <si>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</si>
  <si>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</si>
  <si>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</si>
  <si>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</si>
  <si>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</si>
  <si>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</si>
  <si>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</si>
  <si>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</si>
  <si>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</si>
  <si>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</si>
  <si>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</si>
  <si>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</si>
  <si>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</si>
  <si>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</si>
  <si>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</si>
  <si>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</si>
  <si>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</si>
  <si>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</si>
  <si>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</si>
  <si>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</si>
  <si>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</si>
  <si>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</si>
  <si>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</si>
  <si>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</si>
  <si>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</si>
  <si>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</si>
  <si>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</si>
  <si>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</si>
  <si>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</si>
  <si>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</si>
  <si>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</si>
  <si>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</si>
  <si>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</si>
  <si>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</si>
  <si>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</si>
  <si>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</si>
  <si>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</si>
  <si>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</si>
  <si>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</si>
  <si>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</si>
  <si>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</si>
  <si>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</si>
  <si>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</si>
  <si>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</si>
  <si>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</si>
  <si>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</si>
  <si>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</si>
  <si>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</si>
  <si>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</si>
  <si>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</si>
  <si>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</si>
  <si>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</si>
  <si>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</si>
  <si>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</si>
  <si>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</si>
  <si>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</si>
  <si>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</si>
  <si>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</si>
  <si>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</si>
  <si>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</si>
  <si>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</si>
  <si>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</si>
  <si>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</si>
  <si>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</si>
  <si>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</si>
  <si>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</si>
  <si>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</si>
  <si>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</si>
  <si>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</si>
  <si>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</si>
  <si>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</si>
  <si>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</si>
  <si>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</si>
  <si>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</si>
  <si>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</si>
  <si>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</si>
  <si>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</si>
  <si>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</si>
  <si>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</si>
  <si>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</si>
  <si>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</si>
  <si>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</si>
  <si>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</si>
  <si>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</si>
  <si>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</si>
  <si>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</si>
  <si>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</si>
  <si>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</si>
  <si>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</si>
  <si>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</si>
  <si>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</si>
  <si>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</si>
  <si>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</si>
  <si>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</si>
  <si>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</si>
  <si>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</si>
  <si>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</si>
  <si>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</si>
  <si>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</si>
  <si>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</si>
  <si>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</si>
  <si>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</si>
  <si>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</si>
  <si>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</si>
  <si>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</si>
  <si>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</si>
  <si>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</si>
  <si>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</si>
  <si>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</si>
  <si>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</si>
  <si>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</si>
  <si>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</si>
  <si>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</si>
  <si>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</si>
  <si>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</si>
  <si>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</si>
  <si>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</si>
  <si>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</si>
  <si>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</si>
  <si>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</si>
  <si>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</si>
  <si>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</si>
  <si>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</si>
  <si>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</si>
  <si>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</si>
  <si>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</si>
  <si>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</si>
  <si>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</si>
  <si>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</si>
  <si>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</si>
  <si>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</si>
  <si>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</si>
  <si>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</si>
  <si>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</si>
  <si>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</si>
  <si>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</si>
  <si>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</si>
  <si>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</si>
  <si>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</si>
  <si>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</si>
  <si>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</si>
  <si>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</si>
  <si>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</si>
  <si>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</si>
  <si>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</si>
  <si>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</si>
  <si>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</si>
  <si>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</si>
  <si>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</si>
  <si>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</si>
  <si>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</si>
  <si>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</si>
  <si>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</si>
  <si>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</si>
  <si>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</si>
  <si>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</si>
  <si>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</si>
  <si>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</si>
  <si>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</si>
  <si>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</si>
  <si>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</si>
  <si>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</si>
  <si>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</si>
  <si>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</si>
  <si>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</si>
  <si>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</si>
  <si>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</si>
  <si>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</si>
  <si>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</si>
  <si>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</si>
  <si>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</si>
  <si>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</si>
  <si>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</si>
  <si>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</si>
  <si>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</si>
  <si>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</si>
  <si>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</si>
  <si>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</si>
  <si>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</si>
  <si>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</si>
  <si>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</si>
  <si>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</si>
  <si>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</si>
  <si>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</si>
  <si>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</si>
  <si>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</si>
  <si>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</si>
  <si>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</si>
  <si>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</si>
  <si>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</si>
  <si>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</si>
  <si>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</si>
  <si>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</si>
  <si>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</si>
  <si>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</si>
  <si>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</si>
  <si>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</si>
  <si>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</si>
  <si>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</si>
  <si>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</si>
  <si>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</si>
  <si>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</si>
  <si>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</si>
  <si>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</si>
  <si>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</si>
  <si>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</si>
  <si>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</si>
  <si>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</si>
  <si>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</si>
  <si>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</si>
  <si>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</si>
  <si>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</si>
  <si>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</si>
  <si>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</si>
  <si>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</si>
  <si>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</si>
  <si>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</si>
  <si>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</si>
  <si>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</si>
  <si>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</si>
  <si>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</si>
  <si>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</si>
  <si>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</si>
  <si>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</si>
  <si>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</si>
  <si>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</si>
  <si>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</si>
  <si>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</si>
  <si>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</si>
  <si>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</si>
  <si>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</si>
  <si>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</si>
  <si>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</si>
  <si>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</si>
  <si>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</si>
  <si>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</si>
  <si>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</si>
  <si>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</si>
  <si>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</si>
  <si>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</si>
  <si>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</si>
  <si>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</si>
  <si>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</si>
  <si>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</si>
  <si>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</si>
  <si>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</si>
  <si>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</si>
  <si>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</si>
  <si>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</si>
  <si>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</si>
  <si>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</si>
  <si>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</si>
  <si>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</si>
  <si>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</si>
  <si>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</si>
  <si>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</si>
  <si>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</si>
  <si>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</si>
  <si>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</si>
  <si>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</si>
  <si>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</si>
  <si>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</si>
  <si>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</si>
  <si>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</si>
  <si>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</si>
  <si>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</si>
  <si>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</si>
  <si>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</si>
  <si>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</si>
  <si>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</si>
  <si>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</si>
  <si>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</si>
  <si>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</si>
  <si>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</si>
  <si>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</si>
  <si>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</si>
  <si>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</si>
  <si>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</si>
  <si>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</si>
  <si>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</si>
  <si>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</si>
  <si>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</si>
  <si>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</si>
  <si>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</si>
  <si>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</si>
  <si>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</si>
  <si>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</si>
  <si>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</si>
  <si>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</si>
  <si>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</si>
  <si>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</si>
  <si>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</si>
  <si>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</si>
  <si>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</si>
  <si>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</si>
  <si>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</si>
  <si>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</si>
  <si>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</si>
  <si>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</si>
  <si>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</si>
  <si>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</si>
  <si>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</si>
  <si>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</si>
  <si>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</si>
  <si>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</si>
  <si>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</si>
  <si>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</si>
  <si>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</si>
  <si>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</si>
  <si>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</si>
  <si>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</si>
  <si>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</si>
  <si>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</si>
  <si>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</si>
  <si>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</si>
  <si>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</si>
  <si>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</si>
  <si>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</si>
  <si>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</si>
  <si>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</si>
  <si>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</si>
  <si>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</si>
  <si>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</si>
  <si>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</si>
  <si>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</si>
  <si>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</si>
  <si>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</si>
  <si>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</si>
  <si>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</si>
  <si>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</si>
  <si>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</si>
  <si>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</si>
  <si>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</si>
  <si>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</si>
  <si>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</si>
  <si>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</si>
  <si>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</si>
  <si>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</si>
  <si>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</si>
  <si>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</si>
  <si>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</si>
  <si>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</si>
  <si>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</si>
  <si>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</si>
  <si>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</si>
  <si>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</si>
  <si>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</si>
  <si>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</si>
  <si>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</si>
  <si>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</si>
  <si>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</si>
  <si>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</si>
  <si>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</si>
  <si>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</si>
  <si>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</si>
  <si>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</si>
  <si>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</si>
  <si>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</si>
  <si>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</si>
  <si>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</si>
  <si>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</si>
  <si>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</si>
  <si>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</si>
  <si>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</si>
  <si>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</si>
  <si>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</si>
  <si>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</si>
  <si>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</si>
  <si>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</si>
  <si>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</si>
  <si>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</si>
  <si>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</si>
  <si>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</si>
  <si>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</si>
  <si>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</si>
  <si>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</si>
  <si>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</si>
  <si>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</si>
  <si>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</si>
  <si>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</si>
  <si>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</si>
  <si>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</si>
  <si>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</si>
  <si>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</si>
  <si>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</si>
  <si>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</si>
  <si>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</si>
  <si>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</si>
  <si>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</si>
  <si>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</si>
  <si>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</si>
  <si>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</si>
  <si>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</si>
  <si>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</si>
  <si>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</si>
  <si>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</si>
  <si>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</si>
  <si>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</si>
  <si>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</si>
  <si>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</si>
  <si>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</si>
  <si>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</si>
  <si>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</si>
  <si>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</si>
  <si>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</si>
  <si>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</si>
  <si>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</si>
  <si>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</si>
  <si>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</si>
  <si>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</si>
  <si>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</si>
  <si>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</si>
  <si>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</si>
  <si>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</si>
  <si>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</si>
  <si>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</si>
  <si>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</si>
  <si>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</si>
  <si>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</si>
  <si>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</si>
  <si>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</si>
  <si>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</si>
  <si>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</si>
  <si>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</si>
  <si>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</si>
  <si>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</si>
  <si>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</si>
  <si>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</si>
  <si>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</si>
  <si>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</si>
  <si>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</si>
  <si>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</si>
  <si>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</si>
  <si>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</si>
  <si>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</si>
  <si>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</si>
  <si>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</si>
  <si>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</si>
  <si>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</si>
  <si>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</si>
  <si>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</si>
  <si>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</si>
  <si>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</si>
  <si>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</si>
  <si>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</si>
  <si>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</si>
  <si>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</si>
  <si>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</si>
  <si>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</si>
  <si>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</si>
  <si>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</si>
  <si>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</si>
  <si>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</si>
  <si>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</si>
  <si>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</si>
  <si>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</si>
  <si>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</si>
  <si>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</si>
  <si>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</si>
  <si>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</si>
  <si>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</si>
  <si>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</si>
  <si>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</si>
  <si>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</si>
  <si>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</si>
  <si>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</si>
  <si>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</si>
  <si>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</si>
  <si>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</si>
  <si>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</si>
  <si>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</si>
  <si>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</si>
  <si>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</si>
  <si>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</si>
  <si>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</si>
  <si>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</si>
  <si>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</si>
  <si>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</si>
  <si>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</si>
  <si>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</si>
  <si>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</si>
  <si>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</si>
  <si>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</si>
  <si>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</si>
  <si>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</si>
  <si>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</si>
  <si>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</si>
  <si>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</si>
  <si>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</si>
  <si>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</si>
  <si>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</si>
  <si>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</si>
  <si>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</si>
  <si>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</si>
  <si>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</si>
  <si>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</si>
  <si>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</si>
  <si>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</si>
  <si>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</si>
  <si>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</si>
  <si>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</si>
  <si>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</si>
  <si>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</si>
  <si>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</si>
  <si>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</si>
  <si>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</si>
  <si>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</si>
  <si>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</si>
  <si>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</si>
  <si>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</si>
  <si>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</si>
  <si>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</si>
  <si>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</si>
  <si>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</si>
  <si>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</si>
  <si>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</si>
  <si>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</si>
  <si>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</si>
  <si>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</si>
  <si>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</si>
  <si>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</si>
  <si>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</si>
  <si>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</si>
  <si>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</si>
  <si>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</si>
  <si>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</si>
  <si>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</si>
  <si>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</si>
  <si>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</si>
  <si>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</si>
  <si>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</si>
  <si>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</si>
  <si>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</si>
  <si>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</si>
  <si>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</si>
  <si>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</si>
  <si>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</si>
  <si>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</si>
  <si>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</si>
  <si>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</si>
  <si>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</si>
  <si>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</si>
  <si>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</si>
  <si>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</si>
  <si>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</si>
  <si>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</si>
  <si>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</si>
  <si>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</si>
  <si>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</si>
  <si>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</si>
  <si>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</si>
  <si>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</si>
  <si>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</si>
  <si>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</si>
  <si>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</si>
  <si>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</si>
  <si>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</si>
  <si>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</si>
  <si>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</si>
  <si>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</si>
  <si>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</si>
  <si>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</si>
  <si>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</si>
  <si>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</si>
  <si>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</si>
  <si>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</si>
  <si>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</si>
  <si>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</si>
  <si>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</si>
  <si>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</si>
  <si>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</si>
  <si>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</si>
  <si>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</si>
  <si>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</si>
  <si>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</si>
  <si>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</si>
  <si>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</si>
  <si>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</si>
  <si>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</si>
  <si>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</si>
  <si>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</si>
  <si>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</si>
  <si>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</si>
  <si>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</si>
  <si>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</si>
  <si>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</si>
  <si>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</si>
  <si>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</si>
  <si>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</si>
  <si>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</si>
  <si>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</si>
  <si>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</si>
  <si>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</si>
  <si>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</si>
  <si>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</si>
  <si>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</si>
  <si>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</si>
  <si>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</si>
  <si>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</si>
  <si>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</si>
  <si>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</si>
  <si>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</si>
  <si>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</si>
  <si>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</si>
  <si>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</si>
  <si>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</si>
  <si>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</si>
  <si>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</si>
  <si>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</si>
  <si>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</si>
  <si>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</si>
  <si>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</si>
  <si>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</si>
  <si>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</si>
  <si>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</si>
  <si>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</si>
  <si>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</si>
  <si>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</si>
  <si>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</si>
  <si>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</si>
  <si>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</si>
  <si>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</si>
  <si>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</si>
  <si>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</si>
  <si>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</si>
  <si>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</si>
  <si>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</si>
  <si>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</si>
  <si>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</si>
  <si>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</si>
  <si>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</si>
  <si>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</si>
  <si>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</si>
  <si>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</si>
  <si>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</si>
  <si>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</si>
  <si>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</si>
  <si>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</si>
  <si>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</si>
  <si>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</si>
  <si>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</si>
  <si>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</si>
  <si>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</si>
  <si>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</si>
  <si>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</si>
  <si>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</si>
  <si>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</si>
  <si>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</si>
  <si>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</si>
  <si>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</si>
  <si>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</si>
  <si>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</si>
  <si>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</si>
  <si>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</si>
  <si>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</si>
  <si>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</si>
  <si>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</si>
  <si>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</si>
  <si>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</si>
  <si>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</si>
  <si>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</si>
  <si>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</si>
  <si>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</si>
  <si>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</si>
  <si>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</si>
  <si>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</si>
  <si>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</si>
  <si>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</si>
  <si>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</si>
  <si>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</si>
  <si>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</si>
  <si>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</si>
  <si>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</si>
  <si>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</si>
  <si>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</si>
  <si>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</si>
  <si>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</si>
  <si>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</si>
  <si>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</si>
  <si>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</si>
  <si>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</si>
  <si>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</si>
  <si>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</si>
  <si>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</si>
  <si>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</si>
  <si>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</si>
  <si>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</si>
  <si>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</si>
  <si>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</si>
  <si>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</si>
  <si>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</si>
  <si>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</si>
  <si>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</si>
  <si>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</si>
  <si>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</si>
  <si>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</si>
  <si>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</si>
  <si>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</si>
  <si>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</si>
  <si>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</si>
  <si>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</si>
  <si>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</si>
  <si>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</si>
  <si>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</si>
  <si>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</si>
  <si>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</si>
  <si>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</si>
  <si>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</si>
  <si>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</si>
  <si>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</si>
  <si>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</si>
  <si>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</si>
  <si>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</si>
  <si>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</si>
  <si>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</si>
  <si>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</si>
  <si>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</si>
  <si>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</si>
  <si>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</si>
  <si>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</si>
  <si>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</si>
  <si>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</si>
  <si>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</si>
  <si>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</si>
  <si>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</si>
  <si>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</si>
  <si>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</si>
  <si>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</si>
  <si>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</si>
  <si>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</si>
  <si>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</si>
  <si>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</si>
  <si>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</si>
  <si>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</si>
  <si>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</si>
  <si>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</si>
  <si>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</si>
  <si>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</si>
  <si>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</si>
  <si>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</si>
  <si>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</si>
  <si>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</si>
  <si>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</si>
  <si>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</si>
  <si>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</si>
  <si>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</si>
  <si>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</si>
  <si>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</si>
  <si>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</si>
  <si>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</si>
  <si>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</si>
  <si>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</si>
  <si>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</si>
  <si>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</si>
  <si>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</si>
  <si>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</si>
  <si>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</si>
  <si>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</si>
  <si>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</si>
  <si>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</si>
  <si>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</si>
  <si>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</si>
  <si>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</si>
  <si>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</si>
  <si>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</si>
  <si>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</si>
  <si>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</si>
  <si>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</si>
  <si>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</si>
  <si>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</si>
  <si>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</si>
  <si>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</si>
  <si>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</si>
  <si>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</si>
  <si>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</si>
  <si>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</si>
  <si>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</si>
  <si>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</si>
  <si>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</si>
  <si>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</si>
  <si>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</si>
  <si>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</si>
  <si>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</si>
  <si>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</si>
  <si>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</si>
  <si>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</si>
  <si>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</si>
  <si>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</si>
  <si>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</si>
  <si>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</si>
  <si>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</si>
  <si>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</si>
  <si>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</si>
  <si>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</si>
  <si>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</si>
  <si>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</si>
  <si>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</si>
  <si>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</si>
  <si>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</si>
  <si>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</si>
  <si>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</si>
  <si>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</si>
  <si>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</si>
  <si>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</si>
  <si>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</si>
  <si>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</si>
  <si>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</si>
  <si>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</si>
  <si>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</si>
  <si>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</si>
  <si>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</si>
  <si>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</si>
  <si>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</si>
  <si>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</si>
  <si>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</si>
  <si>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</si>
  <si>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039</t>
  </si>
  <si>
    <t>RCCH Trios Health LLC</t>
  </si>
  <si>
    <t>3730 Plaza Way</t>
  </si>
  <si>
    <t>Kennewick , WA 99338</t>
  </si>
  <si>
    <t>Benton</t>
  </si>
  <si>
    <t>John Solheim</t>
  </si>
  <si>
    <t>Charlie Pearce</t>
  </si>
  <si>
    <t>509-221-7000</t>
  </si>
  <si>
    <t>509-221-5892</t>
  </si>
  <si>
    <t>2017</t>
  </si>
  <si>
    <t xml:space="preserve">In 2019 we had no employed neurologists and procedures dropped signifcantly.  We also reassessed how we were capturing billable charges for this department, which resulted in a period of time </t>
  </si>
  <si>
    <t>Reduction in fte of 1.0 resulted in a drop in patient visits (unit of measure). The reduction in expenses was not as great, resulting in a larger exp/unit of measure than previous year.</t>
  </si>
  <si>
    <t>where no procedures stat was being reported. The drop in the units resulted in a skewed op expense/unit of measure.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</si>
</sst>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9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Protection="1">
      <protection locked="0"/>
    </xf>
    <xf numFmtId="49" fontId="10" fillId="0" borderId="1" xfId="0" quotePrefix="1" applyNumberFormat="1" applyFont="1" applyFill="1" applyBorder="1" applyAlignment="1" applyProtection="1">
      <protection locked="0"/>
    </xf>
    <xf numFmtId="38" fontId="10" fillId="0" borderId="1" xfId="0" quotePrefix="1" applyNumberFormat="1" applyFont="1" applyFill="1" applyBorder="1" applyAlignment="1" applyProtection="1">
      <protection locked="0"/>
    </xf>
    <xf numFmtId="38" fontId="10" fillId="0" borderId="14" xfId="0" applyNumberFormat="1" applyFont="1" applyFill="1" applyBorder="1" applyProtection="1">
      <protection locked="0"/>
    </xf>
    <xf numFmtId="38" fontId="10" fillId="0" borderId="14" xfId="0" quotePrefix="1" applyNumberFormat="1" applyFont="1" applyFill="1" applyBorder="1" applyProtection="1">
      <protection locked="0"/>
    </xf>
    <xf numFmtId="38" fontId="10" fillId="0" borderId="1" xfId="0" quotePrefix="1" applyNumberFormat="1" applyFont="1" applyFill="1" applyBorder="1" applyAlignment="1" applyProtection="1">
      <alignment horizontal="left"/>
      <protection locked="0"/>
    </xf>
    <xf numFmtId="49" fontId="10" fillId="0" borderId="1" xfId="0" quotePrefix="1" applyNumberFormat="1" applyFont="1" applyFill="1" applyBorder="1" applyAlignment="1" applyProtection="1">
      <alignment horizontal="left"/>
      <protection locked="0"/>
    </xf>
    <xf numFmtId="37" fontId="10" fillId="0" borderId="1" xfId="0" quotePrefix="1" applyNumberFormat="1" applyFont="1" applyFill="1" applyBorder="1" applyProtection="1">
      <protection locked="0"/>
    </xf>
    <xf numFmtId="165" fontId="10" fillId="0" borderId="1" xfId="1" quotePrefix="1" applyNumberFormat="1" applyFont="1" applyFill="1" applyBorder="1" applyProtection="1">
      <protection locked="0"/>
    </xf>
    <xf numFmtId="39" fontId="10" fillId="0" borderId="1" xfId="3" quotePrefix="1" applyNumberFormat="1" applyFont="1" applyFill="1" applyBorder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37" fontId="10" fillId="0" borderId="1" xfId="1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15489969.939999999</v>
      </c>
      <c r="C48" s="244">
        <f>ROUND(((B48/CE61)*C61),0)</f>
        <v>572226</v>
      </c>
      <c r="D48" s="244">
        <f>ROUND(((B48/CE61)*D61),0)</f>
        <v>0</v>
      </c>
      <c r="E48" s="195">
        <f>ROUND(((B48/CE61)*E61),0)</f>
        <v>1064922</v>
      </c>
      <c r="F48" s="195">
        <f>ROUND(((B48/CE61)*F61),0)</f>
        <v>962036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253939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410267</v>
      </c>
      <c r="Q48" s="195">
        <f>ROUND(((B48/CE61)*Q61),0)</f>
        <v>130393</v>
      </c>
      <c r="R48" s="195">
        <f>ROUND(((B48/CE61)*R61),0)</f>
        <v>24385</v>
      </c>
      <c r="S48" s="195">
        <f>ROUND(((B48/CE61)*S61),0)</f>
        <v>86798</v>
      </c>
      <c r="T48" s="195">
        <f>ROUND(((B48/CE61)*T61),0)</f>
        <v>0</v>
      </c>
      <c r="U48" s="195">
        <f>ROUND(((B48/CE61)*U61),0)</f>
        <v>297238</v>
      </c>
      <c r="V48" s="195">
        <f>ROUND(((B48/CE61)*V61),0)</f>
        <v>10193</v>
      </c>
      <c r="W48" s="195">
        <f>ROUND(((B48/CE61)*W61),0)</f>
        <v>65553</v>
      </c>
      <c r="X48" s="195">
        <f>ROUND(((B48/CE61)*X61),0)</f>
        <v>101443</v>
      </c>
      <c r="Y48" s="195">
        <f>ROUND(((B48/CE61)*Y61),0)</f>
        <v>652477</v>
      </c>
      <c r="Z48" s="195">
        <f>ROUND(((B48/CE61)*Z61),0)</f>
        <v>0</v>
      </c>
      <c r="AA48" s="195">
        <f>ROUND(((B48/CE61)*AA61),0)</f>
        <v>69106</v>
      </c>
      <c r="AB48" s="195">
        <f>ROUND(((B48/CE61)*AB61),0)</f>
        <v>327162</v>
      </c>
      <c r="AC48" s="195">
        <f>ROUND(((B48/CE61)*AC61),0)</f>
        <v>260215</v>
      </c>
      <c r="AD48" s="195">
        <f>ROUND(((B48/CE61)*AD61),0)</f>
        <v>0</v>
      </c>
      <c r="AE48" s="195">
        <f>ROUND(((B48/CE61)*AE61),0)</f>
        <v>100401</v>
      </c>
      <c r="AF48" s="195">
        <f>ROUND(((B48/CE61)*AF61),0)</f>
        <v>0</v>
      </c>
      <c r="AG48" s="195">
        <f>ROUND(((B48/CE61)*AG61),0)</f>
        <v>1527669</v>
      </c>
      <c r="AH48" s="195">
        <f>ROUND(((B48/CE61)*AH61),0)</f>
        <v>0</v>
      </c>
      <c r="AI48" s="195">
        <f>ROUND(((B48/CE61)*AI61),0)</f>
        <v>383655</v>
      </c>
      <c r="AJ48" s="195">
        <f>ROUND(((B48/CE61)*AJ61),0)</f>
        <v>138401</v>
      </c>
      <c r="AK48" s="195">
        <f>ROUND(((B48/CE61)*AK61),0)</f>
        <v>0</v>
      </c>
      <c r="AL48" s="195">
        <f>ROUND(((B48/CE61)*AL61),0)</f>
        <v>21121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5131073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440792</v>
      </c>
      <c r="AX48" s="195">
        <f>ROUND(((B48/CE61)*AX61),0)</f>
        <v>0</v>
      </c>
      <c r="AY48" s="195">
        <f>ROUND(((B48/CE61)*AY61),0)</f>
        <v>189723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88121</v>
      </c>
      <c r="BE48" s="195">
        <f>ROUND(((B48/CE61)*BE61),0)</f>
        <v>128774</v>
      </c>
      <c r="BF48" s="195">
        <f>ROUND(((B48/CE61)*BF61),0)</f>
        <v>330303</v>
      </c>
      <c r="BG48" s="195">
        <f>ROUND(((B48/CE61)*BG61),0)</f>
        <v>7020</v>
      </c>
      <c r="BH48" s="195">
        <f>ROUND(((B48/CE61)*BH61),0)</f>
        <v>303900</v>
      </c>
      <c r="BI48" s="195">
        <f>ROUND(((B48/CE61)*BI61),0)</f>
        <v>0</v>
      </c>
      <c r="BJ48" s="195">
        <f>ROUND(((B48/CE61)*BJ61),0)</f>
        <v>98815</v>
      </c>
      <c r="BK48" s="195">
        <f>ROUND(((B48/CE61)*BK61),0)</f>
        <v>93534</v>
      </c>
      <c r="BL48" s="195">
        <f>ROUND(((B48/CE61)*BL61),0)</f>
        <v>162825</v>
      </c>
      <c r="BM48" s="195">
        <f>ROUND(((B48/CE61)*BM61),0)</f>
        <v>0</v>
      </c>
      <c r="BN48" s="195">
        <f>ROUND(((B48/CE61)*BN61),0)</f>
        <v>397456</v>
      </c>
      <c r="BO48" s="195">
        <f>ROUND(((B48/CE61)*BO61),0)</f>
        <v>14977</v>
      </c>
      <c r="BP48" s="195">
        <f>ROUND(((B48/CE61)*BP61),0)</f>
        <v>17904</v>
      </c>
      <c r="BQ48" s="195">
        <f>ROUND(((B48/CE61)*BQ61),0)</f>
        <v>0</v>
      </c>
      <c r="BR48" s="195">
        <f>ROUND(((B48/CE61)*BR61),0)</f>
        <v>94411</v>
      </c>
      <c r="BS48" s="195">
        <f>ROUND(((B48/CE61)*BS61),0)</f>
        <v>4750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73006</v>
      </c>
      <c r="BW48" s="195">
        <f>ROUND(((B48/CE61)*BW61),0)</f>
        <v>31408</v>
      </c>
      <c r="BX48" s="195">
        <f>ROUND(((B48/CE61)*BX61),0)</f>
        <v>187251</v>
      </c>
      <c r="BY48" s="195">
        <f>ROUND(((B48/CE61)*BY61),0)</f>
        <v>187440</v>
      </c>
      <c r="BZ48" s="195">
        <f>ROUND(((B48/CE61)*BZ61),0)</f>
        <v>0</v>
      </c>
      <c r="CA48" s="195">
        <f>ROUND(((B48/CE61)*CA61),0)</f>
        <v>41060</v>
      </c>
      <c r="CB48" s="195">
        <f>ROUND(((B48/CE61)*CB61),0)</f>
        <v>2578</v>
      </c>
      <c r="CC48" s="195">
        <f>ROUND(((B48/CE61)*CC61),0)</f>
        <v>3246</v>
      </c>
      <c r="CD48" s="195"/>
      <c r="CE48" s="195">
        <f>SUM(C48:CD48)</f>
        <v>15489967</v>
      </c>
    </row>
    <row r="49" spans="1:84" ht="12.6" customHeight="1" x14ac:dyDescent="0.25">
      <c r="A49" s="175" t="s">
        <v>206</v>
      </c>
      <c r="B49" s="195">
        <f>B47+B48</f>
        <v>15489969.939999999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8928310</v>
      </c>
      <c r="C52" s="195">
        <f>ROUND((B52/(CE76+CF76)*C76),0)</f>
        <v>140651</v>
      </c>
      <c r="D52" s="195">
        <f>ROUND((B52/(CE76+CF76)*D76),0)</f>
        <v>0</v>
      </c>
      <c r="E52" s="195">
        <f>ROUND((B52/(CE76+CF76)*E76),0)</f>
        <v>475533</v>
      </c>
      <c r="F52" s="195">
        <f>ROUND((B52/(CE76+CF76)*F76),0)</f>
        <v>225567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57853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371993</v>
      </c>
      <c r="Q52" s="195">
        <f>ROUND((B52/(CE76+CF76)*Q76),0)</f>
        <v>57408</v>
      </c>
      <c r="R52" s="195">
        <f>ROUND((B52/(CE76+CF76)*R76),0)</f>
        <v>9431</v>
      </c>
      <c r="S52" s="195">
        <f>ROUND((B52/(CE76+CF76)*S76),0)</f>
        <v>83123</v>
      </c>
      <c r="T52" s="195">
        <f>ROUND((B52/(CE76+CF76)*T76),0)</f>
        <v>0</v>
      </c>
      <c r="U52" s="195">
        <f>ROUND((B52/(CE76+CF76)*U76),0)</f>
        <v>225003</v>
      </c>
      <c r="V52" s="195">
        <f>ROUND((B52/(CE76+CF76)*V76),0)</f>
        <v>2563</v>
      </c>
      <c r="W52" s="195">
        <f>ROUND((B52/(CE76+CF76)*W76),0)</f>
        <v>94997</v>
      </c>
      <c r="X52" s="195">
        <f>ROUND((B52/(CE76+CF76)*X76),0)</f>
        <v>54162</v>
      </c>
      <c r="Y52" s="195">
        <f>ROUND((B52/(CE76+CF76)*Y76),0)</f>
        <v>324631</v>
      </c>
      <c r="Z52" s="195">
        <f>ROUND((B52/(CE76+CF76)*Z76),0)</f>
        <v>0</v>
      </c>
      <c r="AA52" s="195">
        <f>ROUND((B52/(CE76+CF76)*AA76),0)</f>
        <v>72564</v>
      </c>
      <c r="AB52" s="195">
        <f>ROUND((B52/(CE76+CF76)*AB76),0)</f>
        <v>95561</v>
      </c>
      <c r="AC52" s="195">
        <f>ROUND((B52/(CE76+CF76)*AC76),0)</f>
        <v>69317</v>
      </c>
      <c r="AD52" s="195">
        <f>ROUND((B52/(CE76+CF76)*AD76),0)</f>
        <v>0</v>
      </c>
      <c r="AE52" s="195">
        <f>ROUND((B52/(CE76+CF76)*AE76),0)</f>
        <v>139301</v>
      </c>
      <c r="AF52" s="195">
        <f>ROUND((B52/(CE76+CF76)*AF76),0)</f>
        <v>0</v>
      </c>
      <c r="AG52" s="195">
        <f>ROUND((B52/(CE76+CF76)*AG76),0)</f>
        <v>213778</v>
      </c>
      <c r="AH52" s="195">
        <f>ROUND((B52/(CE76+CF76)*AH76),0)</f>
        <v>0</v>
      </c>
      <c r="AI52" s="195">
        <f>ROUND((B52/(CE76+CF76)*AI76),0)</f>
        <v>432409</v>
      </c>
      <c r="AJ52" s="195">
        <f>ROUND((B52/(CE76+CF76)*AJ76),0)</f>
        <v>139933</v>
      </c>
      <c r="AK52" s="195">
        <f>ROUND((B52/(CE76+CF76)*AK76),0)</f>
        <v>0</v>
      </c>
      <c r="AL52" s="195">
        <f>ROUND((B52/(CE76+CF76)*AL76),0)</f>
        <v>3417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1836335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23835</v>
      </c>
      <c r="AX52" s="195">
        <f>ROUND((B52/(CE76+CF76)*AX76),0)</f>
        <v>0</v>
      </c>
      <c r="AY52" s="195">
        <f>ROUND((B52/(CE76+CF76)*AY76),0)</f>
        <v>177676</v>
      </c>
      <c r="AZ52" s="195">
        <f>ROUND((B52/(CE76+CF76)*AZ76),0)</f>
        <v>0</v>
      </c>
      <c r="BA52" s="195">
        <f>ROUND((B52/(CE76+CF76)*BA76),0)</f>
        <v>29217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248240</v>
      </c>
      <c r="BE52" s="195">
        <f>ROUND((B52/(CE76+CF76)*BE76),0)</f>
        <v>749522</v>
      </c>
      <c r="BF52" s="195">
        <f>ROUND((B52/(CE76+CF76)*BF76),0)</f>
        <v>51685</v>
      </c>
      <c r="BG52" s="195">
        <f>ROUND((B52/(CE76+CF76)*BG76),0)</f>
        <v>24501</v>
      </c>
      <c r="BH52" s="195">
        <f>ROUND((B52/(CE76+CF76)*BH76),0)</f>
        <v>154439</v>
      </c>
      <c r="BI52" s="195">
        <f>ROUND((B52/(CE76+CF76)*BI76),0)</f>
        <v>0</v>
      </c>
      <c r="BJ52" s="195">
        <f>ROUND((B52/(CE76+CF76)*BJ76),0)</f>
        <v>10969</v>
      </c>
      <c r="BK52" s="195">
        <f>ROUND((B52/(CE76+CF76)*BK76),0)</f>
        <v>70257</v>
      </c>
      <c r="BL52" s="195">
        <f>ROUND((B52/(CE76+CF76)*BL76),0)</f>
        <v>100055</v>
      </c>
      <c r="BM52" s="195">
        <f>ROUND((B52/(CE76+CF76)*BM76),0)</f>
        <v>0</v>
      </c>
      <c r="BN52" s="195">
        <f>ROUND((B52/(CE76+CF76)*BN76),0)</f>
        <v>29234</v>
      </c>
      <c r="BO52" s="195">
        <f>ROUND((B52/(CE76+CF76)*BO76),0)</f>
        <v>4220</v>
      </c>
      <c r="BP52" s="195">
        <f>ROUND((B52/(CE76+CF76)*BP76),0)</f>
        <v>4442</v>
      </c>
      <c r="BQ52" s="195">
        <f>ROUND((B52/(CE76+CF76)*BQ76),0)</f>
        <v>0</v>
      </c>
      <c r="BR52" s="195">
        <f>ROUND((B52/(CE76+CF76)*BR76),0)</f>
        <v>32121</v>
      </c>
      <c r="BS52" s="195">
        <f>ROUND((B52/(CE76+CF76)*BS76),0)</f>
        <v>37469</v>
      </c>
      <c r="BT52" s="195">
        <f>ROUND((B52/(CE76+CF76)*BT76),0)</f>
        <v>14745</v>
      </c>
      <c r="BU52" s="195">
        <f>ROUND((B52/(CE76+CF76)*BU76),0)</f>
        <v>0</v>
      </c>
      <c r="BV52" s="195">
        <f>ROUND((B52/(CE76+CF76)*BV76),0)</f>
        <v>12097</v>
      </c>
      <c r="BW52" s="195">
        <f>ROUND((B52/(CE76+CF76)*BW76),0)</f>
        <v>140394</v>
      </c>
      <c r="BX52" s="195">
        <f>ROUND((B52/(CE76+CF76)*BX76),0)</f>
        <v>9090</v>
      </c>
      <c r="BY52" s="195">
        <f>ROUND((B52/(CE76+CF76)*BY76),0)</f>
        <v>15087</v>
      </c>
      <c r="BZ52" s="195">
        <f>ROUND((B52/(CE76+CF76)*BZ76),0)</f>
        <v>0</v>
      </c>
      <c r="CA52" s="195">
        <f>ROUND((B52/(CE76+CF76)*CA76),0)</f>
        <v>4306</v>
      </c>
      <c r="CB52" s="195">
        <f>ROUND((B52/(CE76+CF76)*CB76),0)</f>
        <v>5280</v>
      </c>
      <c r="CC52" s="195">
        <f>ROUND((B52/(CE76+CF76)*CC76),0)</f>
        <v>1853899</v>
      </c>
      <c r="CD52" s="195"/>
      <c r="CE52" s="195">
        <f>SUM(C52:CD52)</f>
        <v>8928310</v>
      </c>
    </row>
    <row r="53" spans="1:84" ht="12.6" customHeight="1" x14ac:dyDescent="0.25">
      <c r="A53" s="175" t="s">
        <v>206</v>
      </c>
      <c r="B53" s="195">
        <f>B51+B52</f>
        <v>8928310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293">
        <v>3657</v>
      </c>
      <c r="D59" s="184"/>
      <c r="E59" s="184">
        <f>6907+4356</f>
        <v>11263</v>
      </c>
      <c r="F59" s="184">
        <v>3033</v>
      </c>
      <c r="G59" s="184"/>
      <c r="H59" s="184"/>
      <c r="I59" s="184"/>
      <c r="J59" s="184">
        <v>3325</v>
      </c>
      <c r="K59" s="184"/>
      <c r="L59" s="184"/>
      <c r="M59" s="184"/>
      <c r="N59" s="184"/>
      <c r="O59" s="184"/>
      <c r="P59" s="185">
        <v>276955</v>
      </c>
      <c r="Q59" s="185">
        <v>125819</v>
      </c>
      <c r="R59" s="185"/>
      <c r="S59" s="247"/>
      <c r="T59" s="247"/>
      <c r="U59" s="224">
        <f>291323+36406+8527</f>
        <v>336256</v>
      </c>
      <c r="V59" s="185">
        <v>29</v>
      </c>
      <c r="W59" s="185">
        <f>1112+1318</f>
        <v>2430</v>
      </c>
      <c r="X59" s="185">
        <f>8722+2708</f>
        <v>11430</v>
      </c>
      <c r="Y59" s="185">
        <f>18773+10974+776+7807+4461+7432</f>
        <v>50223</v>
      </c>
      <c r="Z59" s="185">
        <v>631681</v>
      </c>
      <c r="AA59" s="185">
        <f>1303+152</f>
        <v>1455</v>
      </c>
      <c r="AB59" s="247"/>
      <c r="AC59" s="185">
        <v>77896</v>
      </c>
      <c r="AD59" s="185"/>
      <c r="AE59" s="185">
        <f>2974+11731</f>
        <v>14705</v>
      </c>
      <c r="AF59" s="185"/>
      <c r="AG59" s="185">
        <v>26844</v>
      </c>
      <c r="AH59" s="185"/>
      <c r="AI59" s="185">
        <f>15822+14955</f>
        <v>30777</v>
      </c>
      <c r="AJ59" s="185">
        <f>140+2513+3901</f>
        <v>6554</v>
      </c>
      <c r="AK59" s="185"/>
      <c r="AL59" s="185">
        <v>2206</v>
      </c>
      <c r="AM59" s="185"/>
      <c r="AN59" s="185"/>
      <c r="AO59" s="185"/>
      <c r="AP59" s="185">
        <f>1211+7867+1737+204295</f>
        <v>215110</v>
      </c>
      <c r="AQ59" s="185"/>
      <c r="AR59" s="185"/>
      <c r="AS59" s="185"/>
      <c r="AT59" s="185"/>
      <c r="AU59" s="185"/>
      <c r="AV59" s="247"/>
      <c r="AW59" s="247"/>
      <c r="AX59" s="247"/>
      <c r="AY59" s="185">
        <v>343945</v>
      </c>
      <c r="AZ59" s="185"/>
      <c r="BA59" s="247"/>
      <c r="BB59" s="247"/>
      <c r="BC59" s="247"/>
      <c r="BD59" s="247"/>
      <c r="BE59" s="185">
        <v>522556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295">
        <f>38.6+4.2</f>
        <v>42.800000000000004</v>
      </c>
      <c r="D60" s="187"/>
      <c r="E60" s="187">
        <f>56.25+33.6</f>
        <v>89.85</v>
      </c>
      <c r="F60" s="223">
        <v>48.38</v>
      </c>
      <c r="G60" s="187"/>
      <c r="H60" s="187"/>
      <c r="I60" s="187"/>
      <c r="J60" s="223">
        <v>16.3</v>
      </c>
      <c r="K60" s="187"/>
      <c r="L60" s="187"/>
      <c r="M60" s="187"/>
      <c r="N60" s="187"/>
      <c r="O60" s="187"/>
      <c r="P60" s="221">
        <v>30.1</v>
      </c>
      <c r="Q60" s="221">
        <v>5</v>
      </c>
      <c r="R60" s="221">
        <v>3</v>
      </c>
      <c r="S60" s="221">
        <v>7</v>
      </c>
      <c r="T60" s="221"/>
      <c r="U60" s="221">
        <f>29.95+2.8+3</f>
        <v>35.75</v>
      </c>
      <c r="V60" s="221">
        <v>1</v>
      </c>
      <c r="W60" s="221">
        <v>3</v>
      </c>
      <c r="X60" s="221">
        <v>5</v>
      </c>
      <c r="Y60" s="221">
        <f>16.15+1+9+2+7</f>
        <v>35.15</v>
      </c>
      <c r="Z60" s="221"/>
      <c r="AA60" s="221">
        <v>3</v>
      </c>
      <c r="AB60" s="221">
        <v>15.55</v>
      </c>
      <c r="AC60" s="221">
        <v>21.5</v>
      </c>
      <c r="AD60" s="221"/>
      <c r="AE60" s="221">
        <f>1.8+5.7</f>
        <v>7.5</v>
      </c>
      <c r="AF60" s="221"/>
      <c r="AG60" s="221">
        <f>39.58+9.5+1+2.5+1</f>
        <v>53.58</v>
      </c>
      <c r="AH60" s="221"/>
      <c r="AI60" s="221">
        <f>17.33+8.1</f>
        <v>25.43</v>
      </c>
      <c r="AJ60" s="221">
        <f>1+7</f>
        <v>8</v>
      </c>
      <c r="AK60" s="221"/>
      <c r="AL60" s="221">
        <v>0.5</v>
      </c>
      <c r="AM60" s="221"/>
      <c r="AN60" s="221"/>
      <c r="AO60" s="221"/>
      <c r="AP60" s="221">
        <f>4+7+28.13+19.7+28.9+34.1+48.74+11.85+12.5+35.9+1+8.8+3</f>
        <v>243.62</v>
      </c>
      <c r="AQ60" s="221"/>
      <c r="AR60" s="221"/>
      <c r="AS60" s="221"/>
      <c r="AT60" s="221"/>
      <c r="AU60" s="221"/>
      <c r="AV60" s="221"/>
      <c r="AW60" s="221">
        <v>37.5</v>
      </c>
      <c r="AX60" s="221"/>
      <c r="AY60" s="221">
        <v>25.15</v>
      </c>
      <c r="AZ60" s="221"/>
      <c r="BA60" s="221"/>
      <c r="BB60" s="221"/>
      <c r="BC60" s="221"/>
      <c r="BD60" s="221">
        <v>8.4</v>
      </c>
      <c r="BE60" s="221">
        <f>9.45+7</f>
        <v>16.45</v>
      </c>
      <c r="BF60" s="221">
        <v>41.2</v>
      </c>
      <c r="BG60" s="221">
        <v>2</v>
      </c>
      <c r="BH60" s="221">
        <v>17.600000000000001</v>
      </c>
      <c r="BI60" s="221"/>
      <c r="BJ60" s="221">
        <v>6</v>
      </c>
      <c r="BK60" s="221">
        <f>19+2</f>
        <v>21</v>
      </c>
      <c r="BL60" s="221">
        <v>30</v>
      </c>
      <c r="BM60" s="221"/>
      <c r="BN60" s="221">
        <v>5</v>
      </c>
      <c r="BO60" s="221">
        <v>0.5</v>
      </c>
      <c r="BP60" s="221">
        <v>1</v>
      </c>
      <c r="BQ60" s="221"/>
      <c r="BR60" s="221">
        <v>6.6</v>
      </c>
      <c r="BS60" s="221">
        <v>1</v>
      </c>
      <c r="BT60" s="221">
        <v>2</v>
      </c>
      <c r="BU60" s="221"/>
      <c r="BV60" s="221">
        <v>7</v>
      </c>
      <c r="BW60" s="221">
        <v>2</v>
      </c>
      <c r="BX60" s="221">
        <f>6+11</f>
        <v>17</v>
      </c>
      <c r="BY60" s="221">
        <v>19.100000000000001</v>
      </c>
      <c r="BZ60" s="221"/>
      <c r="CA60" s="221">
        <v>1</v>
      </c>
      <c r="CB60" s="221">
        <f>1+3.8</f>
        <v>4.8</v>
      </c>
      <c r="CC60" s="221"/>
      <c r="CD60" s="248" t="s">
        <v>221</v>
      </c>
      <c r="CE60" s="250">
        <f t="shared" ref="CE60:CE70" si="0">SUM(C60:CD60)</f>
        <v>973.31000000000006</v>
      </c>
    </row>
    <row r="61" spans="1:84" ht="12.6" customHeight="1" x14ac:dyDescent="0.25">
      <c r="A61" s="171" t="s">
        <v>235</v>
      </c>
      <c r="B61" s="175"/>
      <c r="C61" s="293">
        <v>2600020</v>
      </c>
      <c r="D61" s="184"/>
      <c r="E61" s="184">
        <v>4838678</v>
      </c>
      <c r="F61" s="185">
        <v>4371196</v>
      </c>
      <c r="G61" s="184"/>
      <c r="H61" s="184"/>
      <c r="I61" s="185"/>
      <c r="J61" s="185">
        <v>1153822</v>
      </c>
      <c r="K61" s="185"/>
      <c r="L61" s="185"/>
      <c r="M61" s="184"/>
      <c r="N61" s="184"/>
      <c r="O61" s="184"/>
      <c r="P61" s="185">
        <v>1864129</v>
      </c>
      <c r="Q61" s="185">
        <v>592468</v>
      </c>
      <c r="R61" s="185">
        <v>110800</v>
      </c>
      <c r="S61" s="185">
        <v>394384</v>
      </c>
      <c r="T61" s="185"/>
      <c r="U61" s="185">
        <v>1350560</v>
      </c>
      <c r="V61" s="185">
        <v>46312</v>
      </c>
      <c r="W61" s="185">
        <v>297852</v>
      </c>
      <c r="X61" s="185">
        <v>460927</v>
      </c>
      <c r="Y61" s="185">
        <v>2964656</v>
      </c>
      <c r="Z61" s="185"/>
      <c r="AA61" s="185">
        <v>313996</v>
      </c>
      <c r="AB61" s="185">
        <v>1486524</v>
      </c>
      <c r="AC61" s="185">
        <v>1182338</v>
      </c>
      <c r="AD61" s="185"/>
      <c r="AE61" s="185">
        <v>456193</v>
      </c>
      <c r="AF61" s="185"/>
      <c r="AG61" s="185">
        <v>6941261</v>
      </c>
      <c r="AH61" s="185"/>
      <c r="AI61" s="185">
        <v>1743212</v>
      </c>
      <c r="AJ61" s="185">
        <v>628851</v>
      </c>
      <c r="AK61" s="185"/>
      <c r="AL61" s="185">
        <v>95969</v>
      </c>
      <c r="AM61" s="185"/>
      <c r="AN61" s="185"/>
      <c r="AO61" s="185"/>
      <c r="AP61" s="185">
        <v>23314023</v>
      </c>
      <c r="AQ61" s="185"/>
      <c r="AR61" s="185"/>
      <c r="AS61" s="185"/>
      <c r="AT61" s="185"/>
      <c r="AU61" s="185"/>
      <c r="AV61" s="185"/>
      <c r="AW61" s="185">
        <v>2002824</v>
      </c>
      <c r="AX61" s="185"/>
      <c r="AY61" s="185">
        <v>862041</v>
      </c>
      <c r="AZ61" s="185"/>
      <c r="BA61" s="185"/>
      <c r="BB61" s="185"/>
      <c r="BC61" s="185"/>
      <c r="BD61" s="185">
        <v>400397</v>
      </c>
      <c r="BE61" s="185">
        <v>585111</v>
      </c>
      <c r="BF61" s="185">
        <v>1500794</v>
      </c>
      <c r="BG61" s="185">
        <v>31895</v>
      </c>
      <c r="BH61" s="185">
        <v>1380828</v>
      </c>
      <c r="BI61" s="185"/>
      <c r="BJ61" s="185">
        <v>448983</v>
      </c>
      <c r="BK61" s="185">
        <v>424989</v>
      </c>
      <c r="BL61" s="185">
        <v>739828</v>
      </c>
      <c r="BM61" s="185"/>
      <c r="BN61" s="185">
        <v>1805916</v>
      </c>
      <c r="BO61" s="185">
        <v>68050</v>
      </c>
      <c r="BP61" s="185">
        <v>81350</v>
      </c>
      <c r="BQ61" s="185"/>
      <c r="BR61" s="185">
        <v>428974</v>
      </c>
      <c r="BS61" s="185">
        <v>21583</v>
      </c>
      <c r="BT61" s="185"/>
      <c r="BU61" s="185"/>
      <c r="BV61" s="185">
        <v>331719</v>
      </c>
      <c r="BW61" s="185">
        <v>142710</v>
      </c>
      <c r="BX61" s="185">
        <v>850813</v>
      </c>
      <c r="BY61" s="185">
        <v>851668</v>
      </c>
      <c r="BZ61" s="185"/>
      <c r="CA61" s="185">
        <v>186566</v>
      </c>
      <c r="CB61" s="185">
        <v>11714</v>
      </c>
      <c r="CC61" s="185">
        <v>14750</v>
      </c>
      <c r="CD61" s="248" t="s">
        <v>221</v>
      </c>
      <c r="CE61" s="195">
        <f t="shared" si="0"/>
        <v>70381674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572226</v>
      </c>
      <c r="D62" s="195">
        <f t="shared" si="1"/>
        <v>0</v>
      </c>
      <c r="E62" s="195">
        <f t="shared" si="1"/>
        <v>1064922</v>
      </c>
      <c r="F62" s="195">
        <f t="shared" si="1"/>
        <v>962036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253939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410267</v>
      </c>
      <c r="Q62" s="195">
        <f t="shared" si="1"/>
        <v>130393</v>
      </c>
      <c r="R62" s="195">
        <f t="shared" si="1"/>
        <v>24385</v>
      </c>
      <c r="S62" s="195">
        <f t="shared" si="1"/>
        <v>86798</v>
      </c>
      <c r="T62" s="195">
        <f t="shared" si="1"/>
        <v>0</v>
      </c>
      <c r="U62" s="195">
        <f t="shared" si="1"/>
        <v>297238</v>
      </c>
      <c r="V62" s="195">
        <f t="shared" si="1"/>
        <v>10193</v>
      </c>
      <c r="W62" s="195">
        <f t="shared" si="1"/>
        <v>65553</v>
      </c>
      <c r="X62" s="195">
        <f t="shared" si="1"/>
        <v>101443</v>
      </c>
      <c r="Y62" s="195">
        <f t="shared" si="1"/>
        <v>652477</v>
      </c>
      <c r="Z62" s="195">
        <f t="shared" si="1"/>
        <v>0</v>
      </c>
      <c r="AA62" s="195">
        <f t="shared" si="1"/>
        <v>69106</v>
      </c>
      <c r="AB62" s="195">
        <f t="shared" si="1"/>
        <v>327162</v>
      </c>
      <c r="AC62" s="195">
        <f t="shared" si="1"/>
        <v>260215</v>
      </c>
      <c r="AD62" s="195">
        <f t="shared" si="1"/>
        <v>0</v>
      </c>
      <c r="AE62" s="195">
        <f t="shared" si="1"/>
        <v>100401</v>
      </c>
      <c r="AF62" s="195">
        <f t="shared" si="1"/>
        <v>0</v>
      </c>
      <c r="AG62" s="195">
        <f t="shared" si="1"/>
        <v>1527669</v>
      </c>
      <c r="AH62" s="195">
        <f t="shared" si="1"/>
        <v>0</v>
      </c>
      <c r="AI62" s="195">
        <f t="shared" si="1"/>
        <v>383655</v>
      </c>
      <c r="AJ62" s="195">
        <f t="shared" si="1"/>
        <v>138401</v>
      </c>
      <c r="AK62" s="195">
        <f t="shared" si="1"/>
        <v>0</v>
      </c>
      <c r="AL62" s="195">
        <f t="shared" si="1"/>
        <v>21121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5131073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440792</v>
      </c>
      <c r="AX62" s="195">
        <f t="shared" si="1"/>
        <v>0</v>
      </c>
      <c r="AY62" s="195">
        <f>ROUND(AY47+AY48,0)</f>
        <v>189723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88121</v>
      </c>
      <c r="BE62" s="195">
        <f t="shared" si="1"/>
        <v>128774</v>
      </c>
      <c r="BF62" s="195">
        <f t="shared" si="1"/>
        <v>330303</v>
      </c>
      <c r="BG62" s="195">
        <f t="shared" si="1"/>
        <v>7020</v>
      </c>
      <c r="BH62" s="195">
        <f t="shared" si="1"/>
        <v>303900</v>
      </c>
      <c r="BI62" s="195">
        <f t="shared" si="1"/>
        <v>0</v>
      </c>
      <c r="BJ62" s="195">
        <f t="shared" si="1"/>
        <v>98815</v>
      </c>
      <c r="BK62" s="195">
        <f t="shared" si="1"/>
        <v>93534</v>
      </c>
      <c r="BL62" s="195">
        <f t="shared" si="1"/>
        <v>162825</v>
      </c>
      <c r="BM62" s="195">
        <f t="shared" si="1"/>
        <v>0</v>
      </c>
      <c r="BN62" s="195">
        <f t="shared" si="1"/>
        <v>397456</v>
      </c>
      <c r="BO62" s="195">
        <f t="shared" ref="BO62:CC62" si="2">ROUND(BO47+BO48,0)</f>
        <v>14977</v>
      </c>
      <c r="BP62" s="195">
        <f t="shared" si="2"/>
        <v>17904</v>
      </c>
      <c r="BQ62" s="195">
        <f t="shared" si="2"/>
        <v>0</v>
      </c>
      <c r="BR62" s="195">
        <f t="shared" si="2"/>
        <v>94411</v>
      </c>
      <c r="BS62" s="195">
        <f t="shared" si="2"/>
        <v>4750</v>
      </c>
      <c r="BT62" s="195">
        <f t="shared" si="2"/>
        <v>0</v>
      </c>
      <c r="BU62" s="195">
        <f t="shared" si="2"/>
        <v>0</v>
      </c>
      <c r="BV62" s="195">
        <f t="shared" si="2"/>
        <v>73006</v>
      </c>
      <c r="BW62" s="195">
        <f t="shared" si="2"/>
        <v>31408</v>
      </c>
      <c r="BX62" s="195">
        <f t="shared" si="2"/>
        <v>187251</v>
      </c>
      <c r="BY62" s="195">
        <f t="shared" si="2"/>
        <v>187440</v>
      </c>
      <c r="BZ62" s="195">
        <f t="shared" si="2"/>
        <v>0</v>
      </c>
      <c r="CA62" s="195">
        <f t="shared" si="2"/>
        <v>41060</v>
      </c>
      <c r="CB62" s="195">
        <f t="shared" si="2"/>
        <v>2578</v>
      </c>
      <c r="CC62" s="195">
        <f t="shared" si="2"/>
        <v>3246</v>
      </c>
      <c r="CD62" s="248" t="s">
        <v>221</v>
      </c>
      <c r="CE62" s="195">
        <f t="shared" si="0"/>
        <v>15489967</v>
      </c>
      <c r="CF62" s="251"/>
    </row>
    <row r="63" spans="1:84" ht="12.6" customHeight="1" x14ac:dyDescent="0.25">
      <c r="A63" s="171" t="s">
        <v>236</v>
      </c>
      <c r="B63" s="175"/>
      <c r="C63" s="293">
        <v>742595.97</v>
      </c>
      <c r="D63" s="293"/>
      <c r="E63" s="293">
        <f>5779.9+1576.96</f>
        <v>7356.86</v>
      </c>
      <c r="F63" s="296">
        <v>277799.58</v>
      </c>
      <c r="G63" s="293"/>
      <c r="H63" s="293"/>
      <c r="I63" s="296"/>
      <c r="J63" s="296">
        <v>230170.21</v>
      </c>
      <c r="K63" s="296"/>
      <c r="L63" s="296"/>
      <c r="M63" s="293"/>
      <c r="N63" s="293"/>
      <c r="O63" s="293"/>
      <c r="P63" s="296">
        <f>163128.5+18125</f>
        <v>181253.5</v>
      </c>
      <c r="Q63" s="296"/>
      <c r="R63" s="296"/>
      <c r="S63" s="296">
        <v>-1087.57</v>
      </c>
      <c r="T63" s="296"/>
      <c r="U63" s="296">
        <f>72676.32+453606.38</f>
        <v>526282.69999999995</v>
      </c>
      <c r="V63" s="296">
        <v>27221</v>
      </c>
      <c r="W63" s="296"/>
      <c r="X63" s="296"/>
      <c r="Y63" s="296">
        <f>221323.2+1781395.4</f>
        <v>2002718.5999999999</v>
      </c>
      <c r="Z63" s="296"/>
      <c r="AA63" s="296">
        <v>6543.5</v>
      </c>
      <c r="AB63" s="296"/>
      <c r="AC63" s="296">
        <f>64919+65579.5</f>
        <v>130498.5</v>
      </c>
      <c r="AD63" s="296"/>
      <c r="AE63" s="296"/>
      <c r="AF63" s="296"/>
      <c r="AG63" s="296">
        <f>71176.85+304706.7+29800</f>
        <v>405683.55000000005</v>
      </c>
      <c r="AH63" s="185"/>
      <c r="AI63" s="185"/>
      <c r="AJ63" s="185">
        <v>7254.38</v>
      </c>
      <c r="AK63" s="185"/>
      <c r="AL63" s="185">
        <v>12109.5</v>
      </c>
      <c r="AM63" s="185"/>
      <c r="AN63" s="185"/>
      <c r="AO63" s="185"/>
      <c r="AP63" s="296">
        <f>176401.77+28500</f>
        <v>204901.77</v>
      </c>
      <c r="AQ63" s="185"/>
      <c r="AR63" s="185"/>
      <c r="AS63" s="185"/>
      <c r="AT63" s="185"/>
      <c r="AU63" s="185"/>
      <c r="AV63" s="185"/>
      <c r="AW63" s="185">
        <v>41500</v>
      </c>
      <c r="AX63" s="185"/>
      <c r="AY63" s="185"/>
      <c r="AZ63" s="185"/>
      <c r="BA63" s="185"/>
      <c r="BB63" s="185"/>
      <c r="BC63" s="185"/>
      <c r="BD63" s="185">
        <v>106800</v>
      </c>
      <c r="BE63" s="185"/>
      <c r="BF63" s="185"/>
      <c r="BG63" s="185"/>
      <c r="BH63" s="185">
        <v>216.25</v>
      </c>
      <c r="BI63" s="185"/>
      <c r="BJ63" s="185">
        <v>25978</v>
      </c>
      <c r="BK63" s="185"/>
      <c r="BL63" s="185">
        <v>85026.44</v>
      </c>
      <c r="BM63" s="185"/>
      <c r="BN63" s="185">
        <f>2730772.36-4764-1283522.15-249967.23-791239.16-243774.35</f>
        <v>157505.46999999994</v>
      </c>
      <c r="BO63" s="185"/>
      <c r="BP63" s="185"/>
      <c r="BQ63" s="185"/>
      <c r="BR63" s="185"/>
      <c r="BS63" s="185"/>
      <c r="BT63" s="185"/>
      <c r="BU63" s="185"/>
      <c r="BV63" s="185"/>
      <c r="BW63" s="185">
        <v>10375</v>
      </c>
      <c r="BX63" s="185">
        <v>115590</v>
      </c>
      <c r="BY63" s="185"/>
      <c r="BZ63" s="185"/>
      <c r="CA63" s="185"/>
      <c r="CB63" s="185"/>
      <c r="CC63" s="185">
        <v>90055.679999999993</v>
      </c>
      <c r="CD63" s="248" t="s">
        <v>221</v>
      </c>
      <c r="CE63" s="195">
        <f t="shared" si="0"/>
        <v>5394348.8899999987</v>
      </c>
      <c r="CF63" s="251"/>
    </row>
    <row r="64" spans="1:84" ht="12.6" customHeight="1" x14ac:dyDescent="0.25">
      <c r="A64" s="171" t="s">
        <v>237</v>
      </c>
      <c r="B64" s="175"/>
      <c r="C64" s="293">
        <v>340563.56</v>
      </c>
      <c r="D64" s="293">
        <v>25</v>
      </c>
      <c r="E64" s="296">
        <v>474956.85</v>
      </c>
      <c r="F64" s="296">
        <v>492842.21</v>
      </c>
      <c r="G64" s="293"/>
      <c r="H64" s="293"/>
      <c r="I64" s="296"/>
      <c r="J64" s="296">
        <v>109568.7</v>
      </c>
      <c r="K64" s="296"/>
      <c r="L64" s="296"/>
      <c r="M64" s="293"/>
      <c r="N64" s="293"/>
      <c r="O64" s="293"/>
      <c r="P64" s="296">
        <f>7010490.01+1307.5</f>
        <v>7011797.5099999998</v>
      </c>
      <c r="Q64" s="296">
        <v>14166.56</v>
      </c>
      <c r="R64" s="296">
        <v>213235.99</v>
      </c>
      <c r="S64" s="296">
        <v>898461.73</v>
      </c>
      <c r="T64" s="296">
        <v>773906.12</v>
      </c>
      <c r="U64" s="296">
        <f>19.25+14731.28+172630.12+1618700.81+4</f>
        <v>1806085.46</v>
      </c>
      <c r="V64" s="296">
        <v>795.8</v>
      </c>
      <c r="W64" s="296">
        <f>5687.45+1621.07</f>
        <v>7308.5199999999995</v>
      </c>
      <c r="X64" s="296">
        <f>15649.73+151041.04</f>
        <v>166690.77000000002</v>
      </c>
      <c r="Y64" s="296">
        <f>8168.87+7241.16+678973.07+74125.49-6409.63</f>
        <v>762098.96</v>
      </c>
      <c r="Z64" s="296">
        <f>8427869.51+19067.93+6334.96+3710.18</f>
        <v>8456982.5800000001</v>
      </c>
      <c r="AA64" s="296">
        <f>162337.55+11988.76-5980.77</f>
        <v>168345.54</v>
      </c>
      <c r="AB64" s="296">
        <v>4385742.8099999996</v>
      </c>
      <c r="AC64" s="296">
        <v>194900.62</v>
      </c>
      <c r="AD64" s="296"/>
      <c r="AE64" s="296">
        <v>847.09</v>
      </c>
      <c r="AF64" s="296"/>
      <c r="AG64" s="296">
        <f>228.5+523396.43+54.88+2277.84</f>
        <v>525957.65</v>
      </c>
      <c r="AH64" s="185"/>
      <c r="AI64" s="185">
        <f>3085.08+199508.74+146557.33+3344.35+170630.68</f>
        <v>523126.17999999993</v>
      </c>
      <c r="AJ64" s="185">
        <f>128.44+14206.83</f>
        <v>14335.27</v>
      </c>
      <c r="AK64" s="185"/>
      <c r="AL64" s="185">
        <v>1186.3900000000001</v>
      </c>
      <c r="AM64" s="185"/>
      <c r="AN64" s="185"/>
      <c r="AO64" s="185"/>
      <c r="AP64" s="185">
        <f>77035.81+249878.32-135901.07+13977.38+127220.36+83255.65+151690.11+4385.44+90+313808.31+51521.5+2645.17+4569.74</f>
        <v>944176.71999999986</v>
      </c>
      <c r="AQ64" s="185"/>
      <c r="AR64" s="185"/>
      <c r="AS64" s="185"/>
      <c r="AT64" s="185"/>
      <c r="AU64" s="185"/>
      <c r="AV64" s="185"/>
      <c r="AW64" s="185">
        <v>47202.51</v>
      </c>
      <c r="AX64" s="185"/>
      <c r="AY64" s="185">
        <v>459538.73</v>
      </c>
      <c r="AZ64" s="185"/>
      <c r="BA64" s="185">
        <v>42932.29</v>
      </c>
      <c r="BB64" s="185"/>
      <c r="BC64" s="185"/>
      <c r="BD64" s="296">
        <f>-672702.67+510460.4</f>
        <v>-162242.27000000002</v>
      </c>
      <c r="BE64" s="185">
        <f>49737.18+6.13</f>
        <v>49743.31</v>
      </c>
      <c r="BF64" s="185">
        <v>136124.14000000001</v>
      </c>
      <c r="BG64" s="185">
        <v>3004</v>
      </c>
      <c r="BH64" s="296">
        <v>-8963.58</v>
      </c>
      <c r="BI64" s="185"/>
      <c r="BJ64" s="185">
        <v>5242.16</v>
      </c>
      <c r="BK64" s="185">
        <v>5323.78</v>
      </c>
      <c r="BL64" s="185">
        <v>14730.97</v>
      </c>
      <c r="BM64" s="185"/>
      <c r="BN64" s="185">
        <v>30839.07</v>
      </c>
      <c r="BO64" s="185">
        <v>27336.39</v>
      </c>
      <c r="BP64" s="185">
        <v>3174.83</v>
      </c>
      <c r="BQ64" s="185"/>
      <c r="BR64" s="185">
        <v>6213.43</v>
      </c>
      <c r="BS64" s="185">
        <v>11414.92</v>
      </c>
      <c r="BT64" s="185"/>
      <c r="BU64" s="185"/>
      <c r="BV64" s="185">
        <v>4189.78</v>
      </c>
      <c r="BW64" s="185">
        <v>66126.52</v>
      </c>
      <c r="BX64" s="185">
        <f>19.5+3419.97+4387.12+799.3+5135.7</f>
        <v>13761.59</v>
      </c>
      <c r="BY64" s="185">
        <v>740.09</v>
      </c>
      <c r="BZ64" s="185"/>
      <c r="CA64" s="185">
        <v>7421.7</v>
      </c>
      <c r="CB64" s="185">
        <v>2461.7399999999998</v>
      </c>
      <c r="CC64" s="185">
        <v>2642.42</v>
      </c>
      <c r="CD64" s="248" t="s">
        <v>221</v>
      </c>
      <c r="CE64" s="195">
        <f t="shared" si="0"/>
        <v>29057063.109999999</v>
      </c>
      <c r="CF64" s="251"/>
    </row>
    <row r="65" spans="1:84" ht="12.6" customHeight="1" x14ac:dyDescent="0.25">
      <c r="A65" s="171" t="s">
        <v>238</v>
      </c>
      <c r="B65" s="175"/>
      <c r="C65" s="293">
        <v>828</v>
      </c>
      <c r="D65" s="293"/>
      <c r="E65" s="293">
        <v>828</v>
      </c>
      <c r="F65" s="293">
        <v>759</v>
      </c>
      <c r="G65" s="293"/>
      <c r="H65" s="293"/>
      <c r="I65" s="296"/>
      <c r="J65" s="293"/>
      <c r="K65" s="296"/>
      <c r="L65" s="296"/>
      <c r="M65" s="293"/>
      <c r="N65" s="293"/>
      <c r="O65" s="293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>
        <v>-138</v>
      </c>
      <c r="AD65" s="296"/>
      <c r="AE65" s="296">
        <v>828</v>
      </c>
      <c r="AF65" s="296"/>
      <c r="AG65" s="296">
        <f>4200+720+420</f>
        <v>5340</v>
      </c>
      <c r="AH65" s="185"/>
      <c r="AI65" s="185"/>
      <c r="AJ65" s="185">
        <v>828</v>
      </c>
      <c r="AK65" s="185"/>
      <c r="AL65" s="185"/>
      <c r="AM65" s="185"/>
      <c r="AN65" s="185"/>
      <c r="AO65" s="185"/>
      <c r="AP65" s="185">
        <f>111538.37+32840.36+82442.12+146071.51+7959.84</f>
        <v>380852.2</v>
      </c>
      <c r="AQ65" s="185"/>
      <c r="AR65" s="185">
        <v>7186.69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>
        <f>194.16+26459.78+3805.73</f>
        <v>30459.67</v>
      </c>
      <c r="BE65" s="185">
        <f>1367165.38+3081.9+8963.98</f>
        <v>1379211.2599999998</v>
      </c>
      <c r="BF65" s="185">
        <v>119168.74</v>
      </c>
      <c r="BG65" s="185">
        <v>1035</v>
      </c>
      <c r="BH65" s="185">
        <f>247976.24+1995.03</f>
        <v>249971.27</v>
      </c>
      <c r="BI65" s="185"/>
      <c r="BJ65" s="185">
        <f>1656+6812.39</f>
        <v>8468.39</v>
      </c>
      <c r="BK65" s="185"/>
      <c r="BL65" s="296">
        <v>-395</v>
      </c>
      <c r="BM65" s="185"/>
      <c r="BN65" s="185">
        <v>550</v>
      </c>
      <c r="BO65" s="185"/>
      <c r="BP65" s="185"/>
      <c r="BQ65" s="185"/>
      <c r="BR65" s="185">
        <f>100+22300.99</f>
        <v>22400.99</v>
      </c>
      <c r="BS65" s="185"/>
      <c r="BT65" s="185"/>
      <c r="BU65" s="185"/>
      <c r="BV65" s="185"/>
      <c r="BW65" s="185"/>
      <c r="BX65" s="185"/>
      <c r="BY65" s="185">
        <v>828</v>
      </c>
      <c r="BZ65" s="185"/>
      <c r="CA65" s="185"/>
      <c r="CB65" s="185"/>
      <c r="CC65" s="185">
        <v>828</v>
      </c>
      <c r="CD65" s="248" t="s">
        <v>221</v>
      </c>
      <c r="CE65" s="195">
        <f t="shared" si="0"/>
        <v>2209838.21</v>
      </c>
      <c r="CF65" s="251"/>
    </row>
    <row r="66" spans="1:84" ht="12.6" customHeight="1" x14ac:dyDescent="0.25">
      <c r="A66" s="171" t="s">
        <v>239</v>
      </c>
      <c r="B66" s="175"/>
      <c r="C66" s="293">
        <f>17185.91-2459.57</f>
        <v>14726.34</v>
      </c>
      <c r="D66" s="293"/>
      <c r="E66" s="293">
        <f>352702.55+2487.68</f>
        <v>355190.23</v>
      </c>
      <c r="F66" s="293">
        <v>65961.119999999995</v>
      </c>
      <c r="G66" s="293"/>
      <c r="H66" s="293"/>
      <c r="I66" s="293"/>
      <c r="J66" s="293">
        <v>1937</v>
      </c>
      <c r="K66" s="296"/>
      <c r="L66" s="296"/>
      <c r="M66" s="293"/>
      <c r="N66" s="293"/>
      <c r="O66" s="296"/>
      <c r="P66" s="296">
        <v>312699.13</v>
      </c>
      <c r="Q66" s="296">
        <v>419.55</v>
      </c>
      <c r="R66" s="296">
        <v>576.99</v>
      </c>
      <c r="S66" s="293">
        <v>14299.23</v>
      </c>
      <c r="T66" s="293">
        <v>13130</v>
      </c>
      <c r="U66" s="296">
        <f>888193.95+153519.27+446349.33</f>
        <v>1488062.55</v>
      </c>
      <c r="V66" s="296"/>
      <c r="W66" s="296">
        <v>286926.90000000002</v>
      </c>
      <c r="X66" s="296">
        <v>319948.05</v>
      </c>
      <c r="Y66" s="296">
        <f>525025.05+107792.39+167924.86+248506.54-15</f>
        <v>1049233.8400000001</v>
      </c>
      <c r="Z66" s="296">
        <v>597.19000000000005</v>
      </c>
      <c r="AA66" s="296">
        <v>56863.62</v>
      </c>
      <c r="AB66" s="296">
        <f>340427.19+156.88</f>
        <v>340584.07</v>
      </c>
      <c r="AC66" s="296">
        <v>1724.85</v>
      </c>
      <c r="AD66" s="296"/>
      <c r="AE66" s="296">
        <f>2002.92+2527.72</f>
        <v>4530.6399999999994</v>
      </c>
      <c r="AF66" s="296"/>
      <c r="AG66" s="296">
        <f>157795.35+183677.1+59414.04+46771.31+10950+11250</f>
        <v>469857.8</v>
      </c>
      <c r="AH66" s="185"/>
      <c r="AI66" s="185">
        <f>214.5+549.69+29267.96</f>
        <v>30032.149999999998</v>
      </c>
      <c r="AJ66" s="185">
        <f>1804.59+33390.43+2488.69</f>
        <v>37683.71</v>
      </c>
      <c r="AK66" s="185"/>
      <c r="AL66" s="185">
        <v>434.69</v>
      </c>
      <c r="AM66" s="185"/>
      <c r="AN66" s="185"/>
      <c r="AO66" s="185"/>
      <c r="AP66" s="185">
        <f>79897.76+405379.3+503926.4+208726.85+373720.04+427252.13+585177.24+146204.17+147494.06+471892.48+73552.01+16240.07+1517.47+3854.21+57422.47+5128.97</f>
        <v>3507385.63</v>
      </c>
      <c r="AQ66" s="185"/>
      <c r="AR66" s="185">
        <v>324</v>
      </c>
      <c r="AS66" s="185"/>
      <c r="AT66" s="185"/>
      <c r="AU66" s="185"/>
      <c r="AV66" s="185"/>
      <c r="AW66" s="185">
        <f>1969.85+5709.89</f>
        <v>7679.74</v>
      </c>
      <c r="AX66" s="185"/>
      <c r="AY66" s="185">
        <v>29281.8</v>
      </c>
      <c r="AZ66" s="185"/>
      <c r="BA66" s="185">
        <v>307258.25</v>
      </c>
      <c r="BB66" s="185"/>
      <c r="BC66" s="185"/>
      <c r="BD66" s="185">
        <f>6969.62+25207.78</f>
        <v>32177.399999999998</v>
      </c>
      <c r="BE66" s="185">
        <f>663650.43+382632.06+468.7+578.5+8812.49</f>
        <v>1056142.18</v>
      </c>
      <c r="BF66" s="185">
        <v>70875.48</v>
      </c>
      <c r="BG66" s="185">
        <v>416209.57</v>
      </c>
      <c r="BH66" s="185">
        <v>1198741.1200000001</v>
      </c>
      <c r="BI66" s="185"/>
      <c r="BJ66" s="185">
        <f>68606.97+4629.5</f>
        <v>73236.47</v>
      </c>
      <c r="BK66" s="185">
        <v>685946.95</v>
      </c>
      <c r="BL66" s="185">
        <v>8400.6</v>
      </c>
      <c r="BM66" s="185"/>
      <c r="BN66" s="185">
        <v>381445.31</v>
      </c>
      <c r="BO66" s="185">
        <v>215452.65</v>
      </c>
      <c r="BP66" s="296">
        <v>-40046.86</v>
      </c>
      <c r="BQ66" s="185"/>
      <c r="BR66" s="185">
        <f>273529.31+958.63</f>
        <v>274487.94</v>
      </c>
      <c r="BS66" s="185">
        <f>219.38+3.78</f>
        <v>223.16</v>
      </c>
      <c r="BT66" s="185">
        <v>69617.34</v>
      </c>
      <c r="BU66" s="185"/>
      <c r="BV66" s="185">
        <v>613378.79</v>
      </c>
      <c r="BW66" s="185">
        <v>112334.76</v>
      </c>
      <c r="BX66" s="185">
        <f>10843.82+202680.49+1053.02+20719.1</f>
        <v>235296.43</v>
      </c>
      <c r="BY66" s="185">
        <f>2571.03+2975+37130.99</f>
        <v>42677.02</v>
      </c>
      <c r="BZ66" s="185"/>
      <c r="CA66" s="185">
        <v>125178.82</v>
      </c>
      <c r="CB66" s="185">
        <v>186721.8</v>
      </c>
      <c r="CC66" s="185">
        <f>190</f>
        <v>190</v>
      </c>
      <c r="CD66" s="248" t="s">
        <v>221</v>
      </c>
      <c r="CE66" s="195">
        <f t="shared" si="0"/>
        <v>14476036.000000002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140651</v>
      </c>
      <c r="D67" s="195">
        <f>ROUND(D51+D52,0)</f>
        <v>0</v>
      </c>
      <c r="E67" s="195">
        <f t="shared" ref="E67:BP67" si="3">ROUND(E51+E52,0)</f>
        <v>475533</v>
      </c>
      <c r="F67" s="195">
        <f t="shared" si="3"/>
        <v>225567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57853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371993</v>
      </c>
      <c r="Q67" s="195">
        <f t="shared" si="3"/>
        <v>57408</v>
      </c>
      <c r="R67" s="195">
        <f t="shared" si="3"/>
        <v>9431</v>
      </c>
      <c r="S67" s="195">
        <f t="shared" si="3"/>
        <v>83123</v>
      </c>
      <c r="T67" s="195">
        <f t="shared" si="3"/>
        <v>0</v>
      </c>
      <c r="U67" s="195">
        <f t="shared" si="3"/>
        <v>225003</v>
      </c>
      <c r="V67" s="195">
        <f t="shared" si="3"/>
        <v>2563</v>
      </c>
      <c r="W67" s="195">
        <f t="shared" si="3"/>
        <v>94997</v>
      </c>
      <c r="X67" s="195">
        <f t="shared" si="3"/>
        <v>54162</v>
      </c>
      <c r="Y67" s="195">
        <f t="shared" si="3"/>
        <v>324631</v>
      </c>
      <c r="Z67" s="195">
        <f t="shared" si="3"/>
        <v>0</v>
      </c>
      <c r="AA67" s="195">
        <f t="shared" si="3"/>
        <v>72564</v>
      </c>
      <c r="AB67" s="195">
        <f t="shared" si="3"/>
        <v>95561</v>
      </c>
      <c r="AC67" s="195">
        <f t="shared" si="3"/>
        <v>69317</v>
      </c>
      <c r="AD67" s="195">
        <f t="shared" si="3"/>
        <v>0</v>
      </c>
      <c r="AE67" s="195">
        <f t="shared" si="3"/>
        <v>139301</v>
      </c>
      <c r="AF67" s="195">
        <f t="shared" si="3"/>
        <v>0</v>
      </c>
      <c r="AG67" s="195">
        <f t="shared" si="3"/>
        <v>213778</v>
      </c>
      <c r="AH67" s="195">
        <f t="shared" si="3"/>
        <v>0</v>
      </c>
      <c r="AI67" s="195">
        <f t="shared" si="3"/>
        <v>432409</v>
      </c>
      <c r="AJ67" s="195">
        <f t="shared" si="3"/>
        <v>139933</v>
      </c>
      <c r="AK67" s="195">
        <f t="shared" si="3"/>
        <v>0</v>
      </c>
      <c r="AL67" s="195">
        <f t="shared" si="3"/>
        <v>3417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1836335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23835</v>
      </c>
      <c r="AX67" s="195">
        <f t="shared" si="3"/>
        <v>0</v>
      </c>
      <c r="AY67" s="195">
        <f t="shared" si="3"/>
        <v>177676</v>
      </c>
      <c r="AZ67" s="195">
        <f>ROUND(AZ51+AZ52,0)</f>
        <v>0</v>
      </c>
      <c r="BA67" s="195">
        <f>ROUND(BA51+BA52,0)</f>
        <v>29217</v>
      </c>
      <c r="BB67" s="195">
        <f t="shared" si="3"/>
        <v>0</v>
      </c>
      <c r="BC67" s="195">
        <f t="shared" si="3"/>
        <v>0</v>
      </c>
      <c r="BD67" s="195">
        <f t="shared" si="3"/>
        <v>248240</v>
      </c>
      <c r="BE67" s="195">
        <f t="shared" si="3"/>
        <v>749522</v>
      </c>
      <c r="BF67" s="195">
        <f t="shared" si="3"/>
        <v>51685</v>
      </c>
      <c r="BG67" s="195">
        <f t="shared" si="3"/>
        <v>24501</v>
      </c>
      <c r="BH67" s="195">
        <f t="shared" si="3"/>
        <v>154439</v>
      </c>
      <c r="BI67" s="195">
        <f t="shared" si="3"/>
        <v>0</v>
      </c>
      <c r="BJ67" s="195">
        <f t="shared" si="3"/>
        <v>10969</v>
      </c>
      <c r="BK67" s="195">
        <f t="shared" si="3"/>
        <v>70257</v>
      </c>
      <c r="BL67" s="195">
        <f t="shared" si="3"/>
        <v>100055</v>
      </c>
      <c r="BM67" s="195">
        <f t="shared" si="3"/>
        <v>0</v>
      </c>
      <c r="BN67" s="195">
        <f t="shared" si="3"/>
        <v>29234</v>
      </c>
      <c r="BO67" s="195">
        <f t="shared" si="3"/>
        <v>4220</v>
      </c>
      <c r="BP67" s="195">
        <f t="shared" si="3"/>
        <v>4442</v>
      </c>
      <c r="BQ67" s="195">
        <f t="shared" ref="BQ67:CC67" si="4">ROUND(BQ51+BQ52,0)</f>
        <v>0</v>
      </c>
      <c r="BR67" s="195">
        <f t="shared" si="4"/>
        <v>32121</v>
      </c>
      <c r="BS67" s="195">
        <f t="shared" si="4"/>
        <v>37469</v>
      </c>
      <c r="BT67" s="195">
        <f t="shared" si="4"/>
        <v>14745</v>
      </c>
      <c r="BU67" s="195">
        <f t="shared" si="4"/>
        <v>0</v>
      </c>
      <c r="BV67" s="195">
        <f t="shared" si="4"/>
        <v>12097</v>
      </c>
      <c r="BW67" s="195">
        <f t="shared" si="4"/>
        <v>140394</v>
      </c>
      <c r="BX67" s="195">
        <f t="shared" si="4"/>
        <v>9090</v>
      </c>
      <c r="BY67" s="195">
        <f t="shared" si="4"/>
        <v>15087</v>
      </c>
      <c r="BZ67" s="195">
        <f t="shared" si="4"/>
        <v>0</v>
      </c>
      <c r="CA67" s="195">
        <f t="shared" si="4"/>
        <v>4306</v>
      </c>
      <c r="CB67" s="195">
        <f t="shared" si="4"/>
        <v>5280</v>
      </c>
      <c r="CC67" s="195">
        <f t="shared" si="4"/>
        <v>1853899</v>
      </c>
      <c r="CD67" s="248" t="s">
        <v>221</v>
      </c>
      <c r="CE67" s="195">
        <f t="shared" si="0"/>
        <v>8928310</v>
      </c>
      <c r="CF67" s="251"/>
    </row>
    <row r="68" spans="1:84" ht="12.6" customHeight="1" x14ac:dyDescent="0.25">
      <c r="A68" s="171" t="s">
        <v>240</v>
      </c>
      <c r="B68" s="175"/>
      <c r="C68" s="184">
        <v>7650.18</v>
      </c>
      <c r="D68" s="184"/>
      <c r="E68" s="184">
        <v>18238.13</v>
      </c>
      <c r="F68" s="184">
        <v>13510.49</v>
      </c>
      <c r="G68" s="184"/>
      <c r="H68" s="184"/>
      <c r="I68" s="184"/>
      <c r="J68" s="184">
        <v>187.44</v>
      </c>
      <c r="K68" s="185"/>
      <c r="L68" s="185"/>
      <c r="M68" s="184"/>
      <c r="N68" s="184"/>
      <c r="O68" s="184"/>
      <c r="P68" s="185">
        <v>61412.71</v>
      </c>
      <c r="Q68" s="296">
        <v>-3.66</v>
      </c>
      <c r="R68" s="296"/>
      <c r="S68" s="296">
        <v>2840.85</v>
      </c>
      <c r="T68" s="296"/>
      <c r="U68" s="185">
        <v>179710.92</v>
      </c>
      <c r="V68" s="185"/>
      <c r="W68" s="185">
        <v>272.77</v>
      </c>
      <c r="X68" s="185">
        <v>781.75</v>
      </c>
      <c r="Y68" s="185">
        <v>15991.72</v>
      </c>
      <c r="Z68" s="185"/>
      <c r="AA68" s="185">
        <v>750.98</v>
      </c>
      <c r="AB68" s="185">
        <v>6750.84</v>
      </c>
      <c r="AC68" s="185">
        <v>12140.18</v>
      </c>
      <c r="AD68" s="185"/>
      <c r="AE68" s="185">
        <v>680.13</v>
      </c>
      <c r="AF68" s="185"/>
      <c r="AG68" s="185">
        <v>30517.83</v>
      </c>
      <c r="AH68" s="185"/>
      <c r="AI68" s="185">
        <v>7610.28</v>
      </c>
      <c r="AJ68" s="185">
        <f>32051.47+2805.67</f>
        <v>34857.14</v>
      </c>
      <c r="AK68" s="185"/>
      <c r="AL68" s="185"/>
      <c r="AM68" s="185"/>
      <c r="AN68" s="185"/>
      <c r="AO68" s="185"/>
      <c r="AP68" s="185">
        <f>322238.72+25398.21+27821.73+679.74+602.77+264896.98</f>
        <v>641638.14999999991</v>
      </c>
      <c r="AQ68" s="185"/>
      <c r="AR68" s="185">
        <v>-115.17</v>
      </c>
      <c r="AS68" s="185"/>
      <c r="AT68" s="185"/>
      <c r="AU68" s="185"/>
      <c r="AV68" s="185"/>
      <c r="AW68" s="185">
        <v>3284.54</v>
      </c>
      <c r="AX68" s="185"/>
      <c r="AY68" s="185">
        <v>1892.89</v>
      </c>
      <c r="AZ68" s="185"/>
      <c r="BA68" s="185"/>
      <c r="BB68" s="185"/>
      <c r="BC68" s="185"/>
      <c r="BD68" s="185">
        <v>13209.3</v>
      </c>
      <c r="BE68" s="185">
        <v>4658.05</v>
      </c>
      <c r="BF68" s="185"/>
      <c r="BG68" s="185"/>
      <c r="BH68" s="185">
        <v>4106.1400000000003</v>
      </c>
      <c r="BI68" s="185"/>
      <c r="BJ68" s="185">
        <v>4415.2299999999996</v>
      </c>
      <c r="BK68" s="185">
        <v>35454.910000000003</v>
      </c>
      <c r="BL68" s="185">
        <v>11373.91</v>
      </c>
      <c r="BM68" s="185"/>
      <c r="BN68" s="185">
        <v>18113.560000000001</v>
      </c>
      <c r="BO68" s="185">
        <v>707.6</v>
      </c>
      <c r="BP68" s="185">
        <v>4333.0600000000004</v>
      </c>
      <c r="BQ68" s="185"/>
      <c r="BR68" s="185">
        <v>7259.92</v>
      </c>
      <c r="BS68" s="185">
        <v>178.38</v>
      </c>
      <c r="BT68" s="185">
        <v>687.89</v>
      </c>
      <c r="BU68" s="185"/>
      <c r="BV68" s="185">
        <v>7156.27</v>
      </c>
      <c r="BW68" s="185">
        <v>860.77</v>
      </c>
      <c r="BX68" s="185">
        <v>48512.45</v>
      </c>
      <c r="BY68" s="185">
        <v>3173.29</v>
      </c>
      <c r="BZ68" s="185"/>
      <c r="CA68" s="185">
        <v>6670.9</v>
      </c>
      <c r="CB68" s="185"/>
      <c r="CC68" s="185"/>
      <c r="CD68" s="248" t="s">
        <v>221</v>
      </c>
      <c r="CE68" s="195">
        <f t="shared" si="0"/>
        <v>1211472.7199999997</v>
      </c>
      <c r="CF68" s="251"/>
    </row>
    <row r="69" spans="1:84" ht="12.6" customHeight="1" x14ac:dyDescent="0.25">
      <c r="A69" s="171" t="s">
        <v>241</v>
      </c>
      <c r="B69" s="175"/>
      <c r="C69" s="184">
        <v>617.63</v>
      </c>
      <c r="D69" s="184"/>
      <c r="E69" s="185">
        <f>724.75+363.28</f>
        <v>1088.03</v>
      </c>
      <c r="F69" s="185">
        <v>9409.51</v>
      </c>
      <c r="G69" s="184"/>
      <c r="H69" s="184"/>
      <c r="I69" s="185"/>
      <c r="J69" s="185">
        <v>1020</v>
      </c>
      <c r="K69" s="185"/>
      <c r="L69" s="185"/>
      <c r="M69" s="184"/>
      <c r="N69" s="184"/>
      <c r="O69" s="184"/>
      <c r="P69" s="185">
        <v>8273.2800000000007</v>
      </c>
      <c r="Q69" s="296">
        <v>267</v>
      </c>
      <c r="R69" s="297"/>
      <c r="S69" s="296">
        <v>-1750</v>
      </c>
      <c r="T69" s="293"/>
      <c r="U69" s="185">
        <f>821.76+5499+45.24</f>
        <v>6366</v>
      </c>
      <c r="V69" s="185"/>
      <c r="W69" s="184"/>
      <c r="X69" s="185"/>
      <c r="Y69" s="185">
        <f>28.71+1486.97+2342.99</f>
        <v>3858.67</v>
      </c>
      <c r="Z69" s="185"/>
      <c r="AA69" s="185"/>
      <c r="AB69" s="185">
        <v>4547.28</v>
      </c>
      <c r="AC69" s="185"/>
      <c r="AD69" s="185"/>
      <c r="AE69" s="185">
        <f>1314.75+558.66</f>
        <v>1873.4099999999999</v>
      </c>
      <c r="AF69" s="185"/>
      <c r="AG69" s="185">
        <f>30687.02+455+50964.19+4348.88+1262.54-7642.08</f>
        <v>80075.55</v>
      </c>
      <c r="AH69" s="185"/>
      <c r="AI69" s="185"/>
      <c r="AJ69" s="185">
        <v>1938.2</v>
      </c>
      <c r="AK69" s="185"/>
      <c r="AL69" s="185">
        <v>239.43</v>
      </c>
      <c r="AM69" s="185"/>
      <c r="AN69" s="185"/>
      <c r="AO69" s="184"/>
      <c r="AP69" s="185">
        <f>45030.17+15142.49+31349.22+55695.76+78877.91+9297.13+30203.3+45655.75+1100-1020-24989.89</f>
        <v>286341.84000000003</v>
      </c>
      <c r="AQ69" s="184"/>
      <c r="AR69" s="184"/>
      <c r="AS69" s="184"/>
      <c r="AT69" s="184"/>
      <c r="AU69" s="185"/>
      <c r="AV69" s="185"/>
      <c r="AW69" s="185">
        <v>33475.21</v>
      </c>
      <c r="AX69" s="185"/>
      <c r="AY69" s="185">
        <v>1055.81</v>
      </c>
      <c r="AZ69" s="185"/>
      <c r="BA69" s="185"/>
      <c r="BB69" s="185"/>
      <c r="BC69" s="185"/>
      <c r="BD69" s="185">
        <v>253389.11</v>
      </c>
      <c r="BE69" s="185">
        <v>11385.44</v>
      </c>
      <c r="BF69" s="185">
        <v>607.01</v>
      </c>
      <c r="BG69" s="185">
        <v>233.19</v>
      </c>
      <c r="BH69" s="224">
        <v>9436.81</v>
      </c>
      <c r="BI69" s="185"/>
      <c r="BJ69" s="185">
        <v>1038.31</v>
      </c>
      <c r="BK69" s="185">
        <v>57679.43</v>
      </c>
      <c r="BL69" s="185"/>
      <c r="BM69" s="185"/>
      <c r="BN69" s="185">
        <f>564818.32+102164.94-5925.44</f>
        <v>661057.82000000007</v>
      </c>
      <c r="BO69" s="185"/>
      <c r="BP69" s="185"/>
      <c r="BQ69" s="185"/>
      <c r="BR69" s="185">
        <v>66211.850000000006</v>
      </c>
      <c r="BS69" s="185"/>
      <c r="BT69" s="185"/>
      <c r="BU69" s="185"/>
      <c r="BV69" s="185">
        <v>3461.1</v>
      </c>
      <c r="BW69" s="185">
        <v>980</v>
      </c>
      <c r="BX69" s="185">
        <f>16645+10451.31</f>
        <v>27096.309999999998</v>
      </c>
      <c r="BY69" s="185"/>
      <c r="BZ69" s="185"/>
      <c r="CA69" s="185">
        <v>10457.5</v>
      </c>
      <c r="CB69" s="185"/>
      <c r="CC69" s="185">
        <f>48567.43-9.42-3250-6107.88</f>
        <v>39200.130000000005</v>
      </c>
      <c r="CD69" s="188">
        <f>17934866.88</f>
        <v>17934866.879999999</v>
      </c>
      <c r="CE69" s="195">
        <f t="shared" si="0"/>
        <v>19515797.739999998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>
        <v>800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8000</v>
      </c>
      <c r="Q70" s="293"/>
      <c r="R70" s="293"/>
      <c r="S70" s="293"/>
      <c r="T70" s="293"/>
      <c r="U70" s="185">
        <v>26873.02</v>
      </c>
      <c r="V70" s="184"/>
      <c r="W70" s="184"/>
      <c r="X70" s="185"/>
      <c r="Y70" s="185"/>
      <c r="Z70" s="185"/>
      <c r="AA70" s="185"/>
      <c r="AB70" s="185">
        <v>30677.02</v>
      </c>
      <c r="AC70" s="185"/>
      <c r="AD70" s="185"/>
      <c r="AE70" s="185"/>
      <c r="AF70" s="185"/>
      <c r="AG70" s="185">
        <f>28585+685232.94</f>
        <v>713817.94</v>
      </c>
      <c r="AH70" s="185"/>
      <c r="AI70" s="185"/>
      <c r="AJ70" s="185"/>
      <c r="AK70" s="185"/>
      <c r="AL70" s="185"/>
      <c r="AM70" s="185"/>
      <c r="AN70" s="185"/>
      <c r="AO70" s="185"/>
      <c r="AP70" s="185">
        <v>358858</v>
      </c>
      <c r="AQ70" s="185"/>
      <c r="AR70" s="185"/>
      <c r="AS70" s="185"/>
      <c r="AT70" s="185"/>
      <c r="AU70" s="185"/>
      <c r="AV70" s="185"/>
      <c r="AW70" s="185">
        <v>51625</v>
      </c>
      <c r="AX70" s="185"/>
      <c r="AY70" s="185">
        <v>444566.83</v>
      </c>
      <c r="AZ70" s="185"/>
      <c r="BA70" s="185">
        <v>31800</v>
      </c>
      <c r="BB70" s="185"/>
      <c r="BC70" s="185"/>
      <c r="BD70" s="185">
        <v>510460.4</v>
      </c>
      <c r="BE70" s="185">
        <v>3262.99</v>
      </c>
      <c r="BF70" s="185"/>
      <c r="BG70" s="185"/>
      <c r="BH70" s="185">
        <v>2670</v>
      </c>
      <c r="BI70" s="185"/>
      <c r="BJ70" s="185"/>
      <c r="BK70" s="296">
        <v>-182.61</v>
      </c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698.07</v>
      </c>
      <c r="BW70" s="185">
        <v>27900</v>
      </c>
      <c r="BX70" s="185"/>
      <c r="BY70" s="185"/>
      <c r="BZ70" s="185"/>
      <c r="CA70" s="185">
        <v>5719.46</v>
      </c>
      <c r="CB70" s="185">
        <v>6987.5</v>
      </c>
      <c r="CC70" s="185"/>
      <c r="CD70" s="185">
        <f>1106092.56+32910.12+256606.08+11936.28</f>
        <v>1407545.0400000003</v>
      </c>
      <c r="CE70" s="195">
        <f t="shared" si="0"/>
        <v>3632078.66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4419878.6799999988</v>
      </c>
      <c r="D71" s="195">
        <f t="shared" ref="D71:AI71" si="5">SUM(D61:D69)-D70</f>
        <v>25</v>
      </c>
      <c r="E71" s="195">
        <f t="shared" si="5"/>
        <v>7236791.0999999996</v>
      </c>
      <c r="F71" s="195">
        <f t="shared" si="5"/>
        <v>6418280.9100000001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1808497.3499999999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10213825.130000001</v>
      </c>
      <c r="Q71" s="195">
        <f t="shared" si="5"/>
        <v>795118.45000000007</v>
      </c>
      <c r="R71" s="195">
        <f t="shared" si="5"/>
        <v>358428.98</v>
      </c>
      <c r="S71" s="195">
        <f t="shared" si="5"/>
        <v>1477069.24</v>
      </c>
      <c r="T71" s="195">
        <f t="shared" si="5"/>
        <v>787036.12</v>
      </c>
      <c r="U71" s="195">
        <f t="shared" si="5"/>
        <v>5852435.6100000003</v>
      </c>
      <c r="V71" s="195">
        <f t="shared" si="5"/>
        <v>87084.800000000003</v>
      </c>
      <c r="W71" s="195">
        <f t="shared" si="5"/>
        <v>752910.19000000006</v>
      </c>
      <c r="X71" s="195">
        <f t="shared" si="5"/>
        <v>1103952.57</v>
      </c>
      <c r="Y71" s="195">
        <f t="shared" si="5"/>
        <v>7775665.7899999991</v>
      </c>
      <c r="Z71" s="195">
        <f t="shared" si="5"/>
        <v>8457579.7699999996</v>
      </c>
      <c r="AA71" s="195">
        <f t="shared" si="5"/>
        <v>688169.64</v>
      </c>
      <c r="AB71" s="195">
        <f t="shared" si="5"/>
        <v>6616194.9800000004</v>
      </c>
      <c r="AC71" s="195">
        <f t="shared" si="5"/>
        <v>1850996.1500000001</v>
      </c>
      <c r="AD71" s="195">
        <f t="shared" si="5"/>
        <v>0</v>
      </c>
      <c r="AE71" s="195">
        <f t="shared" si="5"/>
        <v>704654.27</v>
      </c>
      <c r="AF71" s="195">
        <f t="shared" si="5"/>
        <v>0</v>
      </c>
      <c r="AG71" s="195">
        <f t="shared" si="5"/>
        <v>9486322.4400000032</v>
      </c>
      <c r="AH71" s="195">
        <f t="shared" si="5"/>
        <v>0</v>
      </c>
      <c r="AI71" s="195">
        <f t="shared" si="5"/>
        <v>3120044.6099999994</v>
      </c>
      <c r="AJ71" s="195">
        <f t="shared" ref="AJ71:BO71" si="6">SUM(AJ61:AJ69)-AJ70</f>
        <v>1004081.7</v>
      </c>
      <c r="AK71" s="195">
        <f t="shared" si="6"/>
        <v>0</v>
      </c>
      <c r="AL71" s="195">
        <f t="shared" si="6"/>
        <v>134477.01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35887869.309999995</v>
      </c>
      <c r="AQ71" s="195">
        <f t="shared" si="6"/>
        <v>0</v>
      </c>
      <c r="AR71" s="195">
        <f t="shared" si="6"/>
        <v>7395.5199999999995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2548968</v>
      </c>
      <c r="AX71" s="195">
        <f t="shared" si="6"/>
        <v>0</v>
      </c>
      <c r="AY71" s="195">
        <f t="shared" si="6"/>
        <v>1276642.3999999999</v>
      </c>
      <c r="AZ71" s="195">
        <f t="shared" si="6"/>
        <v>0</v>
      </c>
      <c r="BA71" s="195">
        <f t="shared" si="6"/>
        <v>347607.54</v>
      </c>
      <c r="BB71" s="195">
        <f t="shared" si="6"/>
        <v>0</v>
      </c>
      <c r="BC71" s="195">
        <f t="shared" si="6"/>
        <v>0</v>
      </c>
      <c r="BD71" s="195">
        <f t="shared" si="6"/>
        <v>500090.81000000006</v>
      </c>
      <c r="BE71" s="195">
        <f t="shared" si="6"/>
        <v>3961284.2499999995</v>
      </c>
      <c r="BF71" s="195">
        <f t="shared" si="6"/>
        <v>2209557.37</v>
      </c>
      <c r="BG71" s="195">
        <f t="shared" si="6"/>
        <v>483897.76</v>
      </c>
      <c r="BH71" s="195">
        <f t="shared" si="6"/>
        <v>3290005.0100000002</v>
      </c>
      <c r="BI71" s="195">
        <f t="shared" si="6"/>
        <v>0</v>
      </c>
      <c r="BJ71" s="195">
        <f t="shared" si="6"/>
        <v>677145.56</v>
      </c>
      <c r="BK71" s="195">
        <f t="shared" si="6"/>
        <v>1373367.68</v>
      </c>
      <c r="BL71" s="195">
        <f t="shared" si="6"/>
        <v>1121844.9199999997</v>
      </c>
      <c r="BM71" s="195">
        <f t="shared" si="6"/>
        <v>0</v>
      </c>
      <c r="BN71" s="195">
        <f t="shared" si="6"/>
        <v>3482117.2299999995</v>
      </c>
      <c r="BO71" s="195">
        <f t="shared" si="6"/>
        <v>330743.63999999996</v>
      </c>
      <c r="BP71" s="195">
        <f t="shared" ref="BP71:CC71" si="7">SUM(BP61:BP69)-BP70</f>
        <v>71157.03</v>
      </c>
      <c r="BQ71" s="195">
        <f t="shared" si="7"/>
        <v>0</v>
      </c>
      <c r="BR71" s="195">
        <f t="shared" si="7"/>
        <v>932080.13000000012</v>
      </c>
      <c r="BS71" s="195">
        <f t="shared" si="7"/>
        <v>75618.460000000006</v>
      </c>
      <c r="BT71" s="195">
        <f t="shared" si="7"/>
        <v>85050.23</v>
      </c>
      <c r="BU71" s="195">
        <f t="shared" si="7"/>
        <v>0</v>
      </c>
      <c r="BV71" s="195">
        <f t="shared" si="7"/>
        <v>1044309.8700000001</v>
      </c>
      <c r="BW71" s="195">
        <f t="shared" si="7"/>
        <v>477289.05000000005</v>
      </c>
      <c r="BX71" s="195">
        <f t="shared" si="7"/>
        <v>1487410.78</v>
      </c>
      <c r="BY71" s="195">
        <f t="shared" si="7"/>
        <v>1101613.3999999999</v>
      </c>
      <c r="BZ71" s="195">
        <f t="shared" si="7"/>
        <v>0</v>
      </c>
      <c r="CA71" s="195">
        <f t="shared" si="7"/>
        <v>375941.46</v>
      </c>
      <c r="CB71" s="195">
        <f t="shared" si="7"/>
        <v>201768.03999999998</v>
      </c>
      <c r="CC71" s="195">
        <f t="shared" si="7"/>
        <v>2004811.23</v>
      </c>
      <c r="CD71" s="244">
        <f>CD69-CD70</f>
        <v>16527321.839999998</v>
      </c>
      <c r="CE71" s="195">
        <f>SUM(CE61:CE69)-CE70</f>
        <v>163032429.01000002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f>10614614.84+666028</f>
        <v>11280642.84</v>
      </c>
      <c r="D73" s="184"/>
      <c r="E73" s="185">
        <f>11728678.79+6812592.97+1284.98</f>
        <v>18542556.739999998</v>
      </c>
      <c r="F73" s="185">
        <v>16978233.609999999</v>
      </c>
      <c r="G73" s="184"/>
      <c r="H73" s="184"/>
      <c r="I73" s="185"/>
      <c r="J73" s="185">
        <v>4062610.58</v>
      </c>
      <c r="K73" s="185"/>
      <c r="L73" s="185"/>
      <c r="M73" s="184"/>
      <c r="N73" s="184"/>
      <c r="O73" s="184"/>
      <c r="P73" s="185">
        <v>20476669.530000001</v>
      </c>
      <c r="Q73" s="185">
        <v>1020039.15</v>
      </c>
      <c r="R73" s="185">
        <v>2995569.79</v>
      </c>
      <c r="S73" s="185">
        <f>4217072.05+758.52</f>
        <v>4217830.5699999994</v>
      </c>
      <c r="T73" s="185">
        <v>4174791.99</v>
      </c>
      <c r="U73" s="185">
        <f>22051797.1+3173402.29+385133.4</f>
        <v>25610332.789999999</v>
      </c>
      <c r="V73" s="185">
        <v>169605.33</v>
      </c>
      <c r="W73" s="185">
        <v>1536804.33</v>
      </c>
      <c r="X73" s="185">
        <v>8749609.5999999996</v>
      </c>
      <c r="Y73" s="185">
        <f>2939224.37+4470991.41+5493063.72+1825.42+1618.85+13060.54</f>
        <v>12919784.309999999</v>
      </c>
      <c r="Z73" s="185">
        <v>817119.15</v>
      </c>
      <c r="AA73" s="185">
        <v>677554.28</v>
      </c>
      <c r="AB73" s="185">
        <v>18957604.600000001</v>
      </c>
      <c r="AC73" s="185">
        <v>15935550.5</v>
      </c>
      <c r="AD73" s="185"/>
      <c r="AE73" s="185">
        <v>1506567.37</v>
      </c>
      <c r="AF73" s="185"/>
      <c r="AG73" s="185">
        <f>9256217.77+3910135.16+1466803.15+1183212.34</f>
        <v>15816368.42</v>
      </c>
      <c r="AH73" s="185"/>
      <c r="AI73" s="185">
        <f>57931.5+489</f>
        <v>58420.5</v>
      </c>
      <c r="AJ73" s="185">
        <v>691039.46</v>
      </c>
      <c r="AK73" s="185"/>
      <c r="AL73" s="185">
        <v>427211.77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187622517.21000001</v>
      </c>
      <c r="CF73" s="251"/>
    </row>
    <row r="74" spans="1:84" ht="12.6" customHeight="1" x14ac:dyDescent="0.25">
      <c r="A74" s="171" t="s">
        <v>246</v>
      </c>
      <c r="B74" s="175"/>
      <c r="C74" s="185">
        <f>509223.12+134367.7</f>
        <v>643590.82000000007</v>
      </c>
      <c r="D74" s="184"/>
      <c r="E74" s="185">
        <f>1972622.41+2046693.88+10383.22</f>
        <v>4029699.5100000002</v>
      </c>
      <c r="F74" s="185">
        <v>1697638.09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30125801.050000001</v>
      </c>
      <c r="Q74" s="185">
        <v>2193755.9500000002</v>
      </c>
      <c r="R74" s="185">
        <v>5081325.57</v>
      </c>
      <c r="S74" s="185">
        <f>4172092.9+356.16</f>
        <v>4172449.06</v>
      </c>
      <c r="T74" s="185">
        <v>4972381.38</v>
      </c>
      <c r="U74" s="185">
        <f>19600955.24+291263.21+1622090.99</f>
        <v>21514309.439999998</v>
      </c>
      <c r="V74" s="185">
        <v>149010.68</v>
      </c>
      <c r="W74" s="185">
        <f>2584030.68+4536171.97</f>
        <v>7120202.6500000004</v>
      </c>
      <c r="X74" s="185">
        <f>20123272.1+8794926.11</f>
        <v>28918198.210000001</v>
      </c>
      <c r="Y74" s="185">
        <f>5435404.85+375+9213566.49+2010825.33+571440.85+2088519.52+3358515.7+3640683.32</f>
        <v>26319331.059999999</v>
      </c>
      <c r="Z74" s="185">
        <v>42141985.420000002</v>
      </c>
      <c r="AA74" s="185">
        <f>3294204.65+335848.61</f>
        <v>3630053.26</v>
      </c>
      <c r="AB74" s="185">
        <f>12407189.89+16881.99</f>
        <v>12424071.880000001</v>
      </c>
      <c r="AC74" s="185">
        <v>5407270.6500000004</v>
      </c>
      <c r="AD74" s="185"/>
      <c r="AE74" s="185">
        <v>260180.79</v>
      </c>
      <c r="AF74" s="185"/>
      <c r="AG74" s="185">
        <v>34583444.049999997</v>
      </c>
      <c r="AH74" s="185"/>
      <c r="AI74" s="185">
        <f>5442873.35+4987749.79</f>
        <v>10430623.140000001</v>
      </c>
      <c r="AJ74" s="185">
        <f>236217.33+4082152.95+362574.48</f>
        <v>4680944.76</v>
      </c>
      <c r="AK74" s="185"/>
      <c r="AL74" s="185">
        <v>144555.87</v>
      </c>
      <c r="AM74" s="185"/>
      <c r="AN74" s="185"/>
      <c r="AO74" s="185"/>
      <c r="AP74" s="185">
        <f>64546995.89+116613.68</f>
        <v>64663609.57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315304432.86000001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11924233.66</v>
      </c>
      <c r="D75" s="195">
        <f t="shared" si="9"/>
        <v>0</v>
      </c>
      <c r="E75" s="195">
        <f t="shared" si="9"/>
        <v>22572256.25</v>
      </c>
      <c r="F75" s="195">
        <f t="shared" si="9"/>
        <v>18675871.699999999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4062610.58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50602470.579999998</v>
      </c>
      <c r="Q75" s="195">
        <f t="shared" si="9"/>
        <v>3213795.1</v>
      </c>
      <c r="R75" s="195">
        <f t="shared" si="9"/>
        <v>8076895.3600000003</v>
      </c>
      <c r="S75" s="195">
        <f t="shared" si="9"/>
        <v>8390279.629999999</v>
      </c>
      <c r="T75" s="195">
        <f t="shared" si="9"/>
        <v>9147173.370000001</v>
      </c>
      <c r="U75" s="195">
        <f t="shared" si="9"/>
        <v>47124642.229999997</v>
      </c>
      <c r="V75" s="195">
        <f t="shared" si="9"/>
        <v>318616.01</v>
      </c>
      <c r="W75" s="195">
        <f t="shared" si="9"/>
        <v>8657006.9800000004</v>
      </c>
      <c r="X75" s="195">
        <f t="shared" si="9"/>
        <v>37667807.810000002</v>
      </c>
      <c r="Y75" s="195">
        <f t="shared" si="9"/>
        <v>39239115.369999997</v>
      </c>
      <c r="Z75" s="195">
        <f t="shared" si="9"/>
        <v>42959104.57</v>
      </c>
      <c r="AA75" s="195">
        <f t="shared" si="9"/>
        <v>4307607.54</v>
      </c>
      <c r="AB75" s="195">
        <f t="shared" si="9"/>
        <v>31381676.480000004</v>
      </c>
      <c r="AC75" s="195">
        <f t="shared" si="9"/>
        <v>21342821.149999999</v>
      </c>
      <c r="AD75" s="195">
        <f t="shared" si="9"/>
        <v>0</v>
      </c>
      <c r="AE75" s="195">
        <f t="shared" si="9"/>
        <v>1766748.1600000001</v>
      </c>
      <c r="AF75" s="195">
        <f t="shared" si="9"/>
        <v>0</v>
      </c>
      <c r="AG75" s="195">
        <f t="shared" si="9"/>
        <v>50399812.469999999</v>
      </c>
      <c r="AH75" s="195">
        <f t="shared" si="9"/>
        <v>0</v>
      </c>
      <c r="AI75" s="195">
        <f t="shared" si="9"/>
        <v>10489043.640000001</v>
      </c>
      <c r="AJ75" s="195">
        <f t="shared" si="9"/>
        <v>5371984.2199999997</v>
      </c>
      <c r="AK75" s="195">
        <f t="shared" si="9"/>
        <v>0</v>
      </c>
      <c r="AL75" s="195">
        <f t="shared" si="9"/>
        <v>571767.64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64663609.57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502926950.06999999</v>
      </c>
      <c r="CF75" s="251"/>
    </row>
    <row r="76" spans="1:84" ht="12.6" customHeight="1" x14ac:dyDescent="0.25">
      <c r="A76" s="171" t="s">
        <v>248</v>
      </c>
      <c r="B76" s="175"/>
      <c r="C76" s="293">
        <f>8232</f>
        <v>8232</v>
      </c>
      <c r="D76" s="184"/>
      <c r="E76" s="185">
        <f>13916+13916</f>
        <v>27832</v>
      </c>
      <c r="F76" s="185">
        <v>13202</v>
      </c>
      <c r="G76" s="184"/>
      <c r="H76" s="184"/>
      <c r="I76" s="185"/>
      <c r="J76" s="185">
        <v>3386</v>
      </c>
      <c r="K76" s="185"/>
      <c r="L76" s="185"/>
      <c r="M76" s="185"/>
      <c r="N76" s="185"/>
      <c r="O76" s="185"/>
      <c r="P76" s="185">
        <v>21772</v>
      </c>
      <c r="Q76" s="185">
        <v>3360</v>
      </c>
      <c r="R76" s="185">
        <v>552</v>
      </c>
      <c r="S76" s="185">
        <v>4865</v>
      </c>
      <c r="T76" s="185"/>
      <c r="U76" s="185">
        <f>10447+2722</f>
        <v>13169</v>
      </c>
      <c r="V76" s="185">
        <v>150</v>
      </c>
      <c r="W76" s="185">
        <v>5560</v>
      </c>
      <c r="X76" s="185">
        <v>3170</v>
      </c>
      <c r="Y76" s="185">
        <f>9156+1924+2980+739+4201</f>
        <v>19000</v>
      </c>
      <c r="Z76" s="185"/>
      <c r="AA76" s="185">
        <v>4247</v>
      </c>
      <c r="AB76" s="185">
        <v>5593</v>
      </c>
      <c r="AC76" s="185">
        <v>4057</v>
      </c>
      <c r="AD76" s="185"/>
      <c r="AE76" s="185">
        <v>8153</v>
      </c>
      <c r="AF76" s="185"/>
      <c r="AG76" s="185">
        <v>12512</v>
      </c>
      <c r="AH76" s="185"/>
      <c r="AI76" s="185">
        <f>3360+21948</f>
        <v>25308</v>
      </c>
      <c r="AJ76" s="185">
        <f>6578+1612</f>
        <v>8190</v>
      </c>
      <c r="AK76" s="185"/>
      <c r="AL76" s="185">
        <v>200</v>
      </c>
      <c r="AM76" s="185"/>
      <c r="AN76" s="185"/>
      <c r="AO76" s="185"/>
      <c r="AP76" s="185">
        <f>2601+2500+2672+3035+8887+19386+5024+19584+19584+13998+780+1680+984+5586+1176</f>
        <v>107477</v>
      </c>
      <c r="AQ76" s="185"/>
      <c r="AR76" s="185"/>
      <c r="AS76" s="185"/>
      <c r="AT76" s="185"/>
      <c r="AU76" s="185"/>
      <c r="AV76" s="185"/>
      <c r="AW76" s="185">
        <v>1395</v>
      </c>
      <c r="AX76" s="185"/>
      <c r="AY76" s="185">
        <v>10399</v>
      </c>
      <c r="AZ76" s="185"/>
      <c r="BA76" s="185">
        <v>1710</v>
      </c>
      <c r="BB76" s="185"/>
      <c r="BC76" s="185"/>
      <c r="BD76" s="185">
        <v>14529</v>
      </c>
      <c r="BE76" s="185">
        <f>43600+268</f>
        <v>43868</v>
      </c>
      <c r="BF76" s="185">
        <v>3025</v>
      </c>
      <c r="BG76" s="185">
        <v>1434</v>
      </c>
      <c r="BH76" s="185">
        <v>9039</v>
      </c>
      <c r="BI76" s="185"/>
      <c r="BJ76" s="185">
        <v>642</v>
      </c>
      <c r="BK76" s="185">
        <v>4112</v>
      </c>
      <c r="BL76" s="185">
        <v>5856</v>
      </c>
      <c r="BM76" s="185"/>
      <c r="BN76" s="185">
        <v>1711</v>
      </c>
      <c r="BO76" s="185">
        <v>247</v>
      </c>
      <c r="BP76" s="185">
        <v>260</v>
      </c>
      <c r="BQ76" s="185"/>
      <c r="BR76" s="185">
        <v>1880</v>
      </c>
      <c r="BS76" s="185">
        <v>2193</v>
      </c>
      <c r="BT76" s="185">
        <v>863</v>
      </c>
      <c r="BU76" s="185"/>
      <c r="BV76" s="185">
        <v>708</v>
      </c>
      <c r="BW76" s="185">
        <v>8217</v>
      </c>
      <c r="BX76" s="185">
        <v>532</v>
      </c>
      <c r="BY76" s="185">
        <v>883</v>
      </c>
      <c r="BZ76" s="185"/>
      <c r="CA76" s="185">
        <v>252</v>
      </c>
      <c r="CB76" s="185">
        <v>309</v>
      </c>
      <c r="CC76" s="185">
        <v>108505</v>
      </c>
      <c r="CD76" s="248" t="s">
        <v>221</v>
      </c>
      <c r="CE76" s="195">
        <f t="shared" si="8"/>
        <v>522556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93">
        <v>8785</v>
      </c>
      <c r="D77" s="184"/>
      <c r="E77" s="184">
        <f>23800+14834</f>
        <v>38634</v>
      </c>
      <c r="F77" s="184">
        <v>8719</v>
      </c>
      <c r="G77" s="184"/>
      <c r="H77" s="184"/>
      <c r="I77" s="184"/>
      <c r="J77" s="184">
        <v>694</v>
      </c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509</v>
      </c>
      <c r="AH77" s="184"/>
      <c r="AI77" s="184">
        <f>702+619</f>
        <v>1321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>
        <v>285283</v>
      </c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343945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293">
        <f>(C76/$CE$76)*72158</f>
        <v>1136.7291850060089</v>
      </c>
      <c r="D78" s="184">
        <f t="shared" ref="D78:AW78" si="10">(D76/$CE$76)*72158</f>
        <v>0</v>
      </c>
      <c r="E78" s="184">
        <f t="shared" si="10"/>
        <v>3843.2272445441254</v>
      </c>
      <c r="F78" s="184">
        <f t="shared" si="10"/>
        <v>1823.0197643888885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467.56134844877874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0</v>
      </c>
      <c r="P78" s="184">
        <f t="shared" si="10"/>
        <v>3006.422232258361</v>
      </c>
      <c r="Q78" s="184">
        <f t="shared" si="10"/>
        <v>463.97109592081995</v>
      </c>
      <c r="R78" s="184">
        <f t="shared" si="10"/>
        <v>76.223822901277572</v>
      </c>
      <c r="S78" s="184">
        <f t="shared" si="10"/>
        <v>671.79148263535399</v>
      </c>
      <c r="T78" s="184">
        <f t="shared" si="10"/>
        <v>0</v>
      </c>
      <c r="U78" s="184">
        <f t="shared" si="10"/>
        <v>1818.4629054110947</v>
      </c>
      <c r="V78" s="184">
        <f t="shared" si="10"/>
        <v>20.712995353608033</v>
      </c>
      <c r="W78" s="184">
        <f t="shared" si="10"/>
        <v>767.76169444040454</v>
      </c>
      <c r="X78" s="184">
        <f t="shared" si="10"/>
        <v>437.73463513958313</v>
      </c>
      <c r="Y78" s="184">
        <f t="shared" si="10"/>
        <v>2623.6460781236842</v>
      </c>
      <c r="Z78" s="184">
        <f t="shared" si="10"/>
        <v>0</v>
      </c>
      <c r="AA78" s="184">
        <f t="shared" si="10"/>
        <v>586.4539417784888</v>
      </c>
      <c r="AB78" s="184">
        <f t="shared" si="10"/>
        <v>772.31855341819823</v>
      </c>
      <c r="AC78" s="184">
        <f t="shared" si="10"/>
        <v>560.21748099725198</v>
      </c>
      <c r="AD78" s="184">
        <f t="shared" si="10"/>
        <v>0</v>
      </c>
      <c r="AE78" s="184">
        <f t="shared" si="10"/>
        <v>1125.8203407864421</v>
      </c>
      <c r="AF78" s="184">
        <f t="shared" si="10"/>
        <v>0</v>
      </c>
      <c r="AG78" s="184">
        <f t="shared" si="10"/>
        <v>1727.7399857622916</v>
      </c>
      <c r="AH78" s="184">
        <f t="shared" si="10"/>
        <v>0</v>
      </c>
      <c r="AI78" s="184">
        <f t="shared" si="10"/>
        <v>3494.6965760607477</v>
      </c>
      <c r="AJ78" s="184">
        <f t="shared" si="10"/>
        <v>1130.9295463069986</v>
      </c>
      <c r="AK78" s="184">
        <f t="shared" si="10"/>
        <v>0</v>
      </c>
      <c r="AL78" s="184">
        <f t="shared" si="10"/>
        <v>27.617327138144045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14841.137344131537</v>
      </c>
      <c r="AQ78" s="184">
        <f t="shared" si="10"/>
        <v>0</v>
      </c>
      <c r="AR78" s="184">
        <f t="shared" si="10"/>
        <v>0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0</v>
      </c>
      <c r="AW78" s="184">
        <f t="shared" si="10"/>
        <v>192.63085678855472</v>
      </c>
      <c r="AX78" s="248" t="s">
        <v>221</v>
      </c>
      <c r="AY78" s="248" t="s">
        <v>221</v>
      </c>
      <c r="AZ78" s="248" t="s">
        <v>221</v>
      </c>
      <c r="BA78" s="184">
        <f t="shared" ref="BA78:BC78" si="11">(BA76/$CE$76)*72158</f>
        <v>236.12814703113159</v>
      </c>
      <c r="BB78" s="184">
        <f t="shared" si="11"/>
        <v>0</v>
      </c>
      <c r="BC78" s="184">
        <f t="shared" si="11"/>
        <v>0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f>(BH76/$CE$76)*72158</f>
        <v>1248.16510000842</v>
      </c>
      <c r="BI78" s="184">
        <f>(BI76/$CE$76)*72158</f>
        <v>0</v>
      </c>
      <c r="BJ78" s="248" t="s">
        <v>221</v>
      </c>
      <c r="BK78" s="184">
        <f>(BK76/$CE$76)*72158</f>
        <v>567.81224596024163</v>
      </c>
      <c r="BL78" s="184">
        <f>(BL76/$CE$76)*72158</f>
        <v>808.63533860485757</v>
      </c>
      <c r="BM78" s="184">
        <f>(BM76/$CE$76)*72158</f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f>(BS76/$CE$76)*72158</f>
        <v>302.82399206974947</v>
      </c>
      <c r="BT78" s="184">
        <f>(BT76/$CE$76)*72158</f>
        <v>119.16876660109156</v>
      </c>
      <c r="BU78" s="184">
        <f t="shared" ref="BU78:BZ78" si="12">(BU76/$CE$76)*72158</f>
        <v>0</v>
      </c>
      <c r="BV78" s="184">
        <f t="shared" si="12"/>
        <v>97.765338069029923</v>
      </c>
      <c r="BW78" s="184">
        <f t="shared" si="12"/>
        <v>1134.6578854706481</v>
      </c>
      <c r="BX78" s="184">
        <f t="shared" si="12"/>
        <v>73.462090187463161</v>
      </c>
      <c r="BY78" s="184">
        <f t="shared" si="12"/>
        <v>121.93049931490597</v>
      </c>
      <c r="BZ78" s="184">
        <f t="shared" si="12"/>
        <v>0</v>
      </c>
      <c r="CA78" s="184">
        <f>(CA76/$CE$76)*72158</f>
        <v>34.797832194061499</v>
      </c>
      <c r="CB78" s="184">
        <f>(CB76/$CE$76)*72158</f>
        <v>42.668770428432552</v>
      </c>
      <c r="CC78" s="248" t="s">
        <v>221</v>
      </c>
      <c r="CD78" s="248" t="s">
        <v>221</v>
      </c>
      <c r="CE78" s="195">
        <f t="shared" si="8"/>
        <v>46404.842443680674</v>
      </c>
      <c r="CF78" s="195"/>
    </row>
    <row r="79" spans="1:84" ht="12.6" customHeight="1" x14ac:dyDescent="0.25">
      <c r="A79" s="171" t="s">
        <v>251</v>
      </c>
      <c r="B79" s="175"/>
      <c r="C79" s="294">
        <v>71144</v>
      </c>
      <c r="D79" s="225"/>
      <c r="E79" s="184">
        <f>72351+53968</f>
        <v>126319</v>
      </c>
      <c r="F79" s="184">
        <v>78299</v>
      </c>
      <c r="G79" s="184"/>
      <c r="H79" s="184"/>
      <c r="I79" s="184"/>
      <c r="J79" s="184">
        <v>41156</v>
      </c>
      <c r="K79" s="184"/>
      <c r="L79" s="184"/>
      <c r="M79" s="184"/>
      <c r="N79" s="184"/>
      <c r="O79" s="184"/>
      <c r="P79" s="184">
        <f>6827+29617+6705</f>
        <v>43149</v>
      </c>
      <c r="Q79" s="184"/>
      <c r="R79" s="184"/>
      <c r="S79" s="184"/>
      <c r="T79" s="184"/>
      <c r="U79" s="184"/>
      <c r="V79" s="184">
        <v>189</v>
      </c>
      <c r="W79" s="184">
        <v>2057</v>
      </c>
      <c r="X79" s="184">
        <v>6605</v>
      </c>
      <c r="Y79" s="184">
        <f>32940+43744</f>
        <v>76684</v>
      </c>
      <c r="Z79" s="184"/>
      <c r="AA79" s="184">
        <v>12952</v>
      </c>
      <c r="AB79" s="184"/>
      <c r="AC79" s="184"/>
      <c r="AD79" s="184"/>
      <c r="AE79" s="184">
        <v>4557</v>
      </c>
      <c r="AF79" s="184"/>
      <c r="AG79" s="184">
        <v>76158</v>
      </c>
      <c r="AH79" s="184"/>
      <c r="AI79" s="184">
        <f>55092+29524</f>
        <v>84616</v>
      </c>
      <c r="AJ79" s="184">
        <v>16024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639909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32.200000000000003</v>
      </c>
      <c r="D80" s="187"/>
      <c r="E80" s="187">
        <f>32.7+18+12.6</f>
        <v>63.300000000000004</v>
      </c>
      <c r="F80" s="187">
        <v>32.479999999999997</v>
      </c>
      <c r="G80" s="187"/>
      <c r="H80" s="187"/>
      <c r="I80" s="187"/>
      <c r="J80" s="187">
        <v>16.3</v>
      </c>
      <c r="K80" s="187"/>
      <c r="L80" s="187"/>
      <c r="M80" s="187"/>
      <c r="N80" s="187"/>
      <c r="O80" s="187"/>
      <c r="P80" s="187">
        <v>10.3</v>
      </c>
      <c r="Q80" s="187">
        <v>5</v>
      </c>
      <c r="R80" s="187">
        <v>2</v>
      </c>
      <c r="S80" s="187"/>
      <c r="T80" s="187"/>
      <c r="U80" s="187"/>
      <c r="V80" s="187"/>
      <c r="W80" s="187"/>
      <c r="X80" s="187"/>
      <c r="Y80" s="187">
        <f>1.9+2</f>
        <v>3.9</v>
      </c>
      <c r="Z80" s="187"/>
      <c r="AA80" s="187">
        <v>1</v>
      </c>
      <c r="AB80" s="187"/>
      <c r="AC80" s="187"/>
      <c r="AD80" s="187"/>
      <c r="AE80" s="187">
        <v>0.5</v>
      </c>
      <c r="AF80" s="187"/>
      <c r="AG80" s="187">
        <v>24.6</v>
      </c>
      <c r="AH80" s="187"/>
      <c r="AI80" s="187">
        <f>12.43+4.5</f>
        <v>16.93</v>
      </c>
      <c r="AJ80" s="187">
        <f>1+6</f>
        <v>7</v>
      </c>
      <c r="AK80" s="187"/>
      <c r="AL80" s="187"/>
      <c r="AM80" s="187"/>
      <c r="AN80" s="187"/>
      <c r="AO80" s="187"/>
      <c r="AP80" s="187">
        <v>0.9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216.41000000000003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7" t="s">
        <v>1266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88" t="s">
        <v>1267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89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90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90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9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9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9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9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9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91" t="s">
        <v>1274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92" t="s">
        <v>1275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286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86">
        <v>5215</v>
      </c>
      <c r="D111" s="174">
        <v>17953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286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286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286">
        <v>1397</v>
      </c>
      <c r="D114" s="174">
        <v>3325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86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86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286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86">
        <v>7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86">
        <v>20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86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86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86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286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286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286">
        <v>10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111</v>
      </c>
    </row>
    <row r="128" spans="1:5" ht="12.6" customHeight="1" x14ac:dyDescent="0.25">
      <c r="A128" s="173" t="s">
        <v>292</v>
      </c>
      <c r="B128" s="172" t="s">
        <v>256</v>
      </c>
      <c r="C128" s="189">
        <v>111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2431</v>
      </c>
      <c r="C138" s="189">
        <v>1397</v>
      </c>
      <c r="D138" s="174">
        <f>C111-B138-C138</f>
        <v>1387</v>
      </c>
      <c r="E138" s="175">
        <f>SUM(B138:D138)</f>
        <v>5215</v>
      </c>
    </row>
    <row r="139" spans="1:6" ht="12.6" customHeight="1" x14ac:dyDescent="0.25">
      <c r="A139" s="173" t="s">
        <v>215</v>
      </c>
      <c r="B139" s="174">
        <v>9956</v>
      </c>
      <c r="C139" s="189">
        <v>4379</v>
      </c>
      <c r="D139" s="174">
        <f>D111-B139-C139</f>
        <v>3618</v>
      </c>
      <c r="E139" s="175">
        <f>SUM(B139:D139)</f>
        <v>17953</v>
      </c>
    </row>
    <row r="140" spans="1:6" ht="12.6" customHeight="1" x14ac:dyDescent="0.25">
      <c r="A140" s="173" t="s">
        <v>298</v>
      </c>
      <c r="B140" s="174">
        <v>19467</v>
      </c>
      <c r="C140" s="174">
        <v>20557</v>
      </c>
      <c r="D140" s="174">
        <v>23264</v>
      </c>
      <c r="E140" s="175">
        <f>SUM(B140:D140)</f>
        <v>63288</v>
      </c>
    </row>
    <row r="141" spans="1:6" ht="12.6" customHeight="1" x14ac:dyDescent="0.25">
      <c r="A141" s="173" t="s">
        <v>245</v>
      </c>
      <c r="B141" s="174">
        <v>101421857.70999999</v>
      </c>
      <c r="C141" s="189">
        <v>41682466.240000002</v>
      </c>
      <c r="D141" s="174">
        <v>44518193.259999998</v>
      </c>
      <c r="E141" s="175">
        <f>SUM(B141:D141)</f>
        <v>187622517.20999998</v>
      </c>
      <c r="F141" s="199"/>
    </row>
    <row r="142" spans="1:6" ht="12.6" customHeight="1" x14ac:dyDescent="0.25">
      <c r="A142" s="173" t="s">
        <v>246</v>
      </c>
      <c r="B142" s="174">
        <v>115031896.8</v>
      </c>
      <c r="C142" s="189">
        <v>68720036.189999998</v>
      </c>
      <c r="D142" s="174">
        <v>131552499.87</v>
      </c>
      <c r="E142" s="175">
        <f>SUM(B142:D142)</f>
        <v>315304432.86000001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4367861.68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515230.85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955115.53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7240925.25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883487.84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1374370.61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573398.56-420420.38</f>
        <v>152978.18000000005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15489969.939999998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322238.71999999997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889234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1211472.72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1095058.44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163405.20000000001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1258463.6399999999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122377.02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5896542.4500000002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6018919.4699999997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10657483.77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10657483.77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225133.68999999994</v>
      </c>
      <c r="C195" s="189">
        <v>25114878.100000001</v>
      </c>
      <c r="D195" s="174"/>
      <c r="E195" s="175">
        <f t="shared" ref="E195:E203" si="13">SUM(B195:C195)-D195</f>
        <v>25340011.790000003</v>
      </c>
    </row>
    <row r="196" spans="1:8" ht="12.6" customHeight="1" x14ac:dyDescent="0.25">
      <c r="A196" s="173" t="s">
        <v>333</v>
      </c>
      <c r="B196" s="174">
        <v>0</v>
      </c>
      <c r="C196" s="189">
        <v>31012.36</v>
      </c>
      <c r="D196" s="174">
        <v>21963.26</v>
      </c>
      <c r="E196" s="175">
        <f t="shared" si="13"/>
        <v>9049.1000000000022</v>
      </c>
    </row>
    <row r="197" spans="1:8" ht="12.6" customHeight="1" x14ac:dyDescent="0.25">
      <c r="A197" s="173" t="s">
        <v>334</v>
      </c>
      <c r="B197" s="174">
        <v>1238350.1899999976</v>
      </c>
      <c r="C197" s="189">
        <v>69855514.150000006</v>
      </c>
      <c r="D197" s="174">
        <v>2400000</v>
      </c>
      <c r="E197" s="175">
        <f t="shared" si="13"/>
        <v>68693864.340000004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3"/>
        <v>0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3"/>
        <v>0</v>
      </c>
    </row>
    <row r="200" spans="1:8" ht="12.6" customHeight="1" x14ac:dyDescent="0.25">
      <c r="A200" s="173" t="s">
        <v>337</v>
      </c>
      <c r="B200" s="174">
        <v>16743938.640000001</v>
      </c>
      <c r="C200" s="189">
        <f>10739338.59+253983.15</f>
        <v>10993321.74</v>
      </c>
      <c r="D200" s="174">
        <v>16667344.41</v>
      </c>
      <c r="E200" s="175">
        <f t="shared" si="13"/>
        <v>11069915.970000003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3"/>
        <v>0</v>
      </c>
    </row>
    <row r="202" spans="1:8" ht="12.6" customHeight="1" x14ac:dyDescent="0.25">
      <c r="A202" s="173" t="s">
        <v>339</v>
      </c>
      <c r="B202" s="174">
        <v>92463.879999998957</v>
      </c>
      <c r="C202" s="189">
        <v>1112591.23</v>
      </c>
      <c r="D202" s="174">
        <v>681.61</v>
      </c>
      <c r="E202" s="175">
        <f t="shared" si="13"/>
        <v>1204373.4999999988</v>
      </c>
    </row>
    <row r="203" spans="1:8" ht="12.6" customHeight="1" x14ac:dyDescent="0.25">
      <c r="A203" s="173" t="s">
        <v>340</v>
      </c>
      <c r="B203" s="174">
        <v>423431</v>
      </c>
      <c r="C203" s="189">
        <v>2729235.2</v>
      </c>
      <c r="D203" s="174">
        <v>3038406.19</v>
      </c>
      <c r="E203" s="175">
        <f t="shared" si="13"/>
        <v>114260.01000000024</v>
      </c>
    </row>
    <row r="204" spans="1:8" ht="12.6" customHeight="1" x14ac:dyDescent="0.25">
      <c r="A204" s="173" t="s">
        <v>203</v>
      </c>
      <c r="B204" s="175">
        <f>SUM(B195:B203)</f>
        <v>18723317.399999999</v>
      </c>
      <c r="C204" s="191">
        <f>SUM(C195:C203)</f>
        <v>109836552.78000002</v>
      </c>
      <c r="D204" s="175">
        <f>SUM(D195:D203)</f>
        <v>22128395.470000003</v>
      </c>
      <c r="E204" s="175">
        <f>SUM(E195:E203)</f>
        <v>106431474.71000001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-0.29999999981373549</v>
      </c>
      <c r="C209" s="189">
        <v>1346.04</v>
      </c>
      <c r="D209" s="174"/>
      <c r="E209" s="175">
        <f t="shared" ref="E209:E216" si="14">SUM(B209:C209)-D209</f>
        <v>1345.7400000001862</v>
      </c>
      <c r="H209" s="258"/>
    </row>
    <row r="210" spans="1:8" ht="12.6" customHeight="1" x14ac:dyDescent="0.25">
      <c r="A210" s="173" t="s">
        <v>334</v>
      </c>
      <c r="B210" s="174">
        <v>1000000</v>
      </c>
      <c r="C210" s="189"/>
      <c r="D210" s="174">
        <v>1000000</v>
      </c>
      <c r="E210" s="175">
        <f t="shared" si="14"/>
        <v>0</v>
      </c>
      <c r="H210" s="258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4"/>
        <v>0</v>
      </c>
      <c r="H211" s="258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4"/>
        <v>0</v>
      </c>
      <c r="H212" s="258"/>
    </row>
    <row r="213" spans="1:8" ht="12.6" customHeight="1" x14ac:dyDescent="0.25">
      <c r="A213" s="173" t="s">
        <v>337</v>
      </c>
      <c r="B213" s="174">
        <f>1765425+612000</f>
        <v>2377425</v>
      </c>
      <c r="C213" s="189">
        <f>9484393-612000+53587</f>
        <v>8925980</v>
      </c>
      <c r="D213" s="174">
        <v>155383</v>
      </c>
      <c r="E213" s="175">
        <f t="shared" si="14"/>
        <v>11148022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4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984.37</v>
      </c>
      <c r="D215" s="174"/>
      <c r="E215" s="175">
        <f t="shared" si="14"/>
        <v>984.37</v>
      </c>
      <c r="H215" s="258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4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3377424.7</v>
      </c>
      <c r="C217" s="191">
        <f>SUM(C208:C216)</f>
        <v>8928310.4099999983</v>
      </c>
      <c r="D217" s="175">
        <f>SUM(D208:D216)</f>
        <v>1155383</v>
      </c>
      <c r="E217" s="175">
        <f>SUM(E208:E216)</f>
        <v>11150352.109999999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8" t="s">
        <v>1255</v>
      </c>
      <c r="C220" s="298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9620493.2599999998</v>
      </c>
      <c r="D221" s="172">
        <f>C221</f>
        <v>9620493.2599999998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162167564.56999999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97643968.739999995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6925126.2300000004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1816812.52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74090764.599999994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342644236.65999997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286">
        <v>1367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459659.18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1726847.26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2186506.44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1339259.51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1339259.51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355790495.86999995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286">
        <f>-1490798.49+1082576.67</f>
        <v>-408221.82000000007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286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86">
        <f>69556619.83+1295.17+2595.31+4987316.33+3967.78+425.41+2987.26+273651.76+1280929.22+467114.6+66842.6+1437892.64+8751247.73-441393.86</f>
        <v>86391491.780000001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286">
        <f>273651.76+910404.09+564661.17+431337.14+702669.44+1099273.9+18476548.57+2285503.9+9154987.73+14056522.89+557417.02+3587176.86+12664846.26</f>
        <v>64765000.730000004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286">
        <v>4068462.49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286">
        <v>629119.06000000006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286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286">
        <v>3195284.79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286">
        <v>1295976.82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286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30407112.390000004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25340012.100000001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9049.1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68693864.150000006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10815933.22+253983.15</f>
        <v>11069916.370000001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1204373.6200000001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40562.19+73697.34</f>
        <v>114259.53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106431474.87000002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1346.04+11094435.21+53586.8+984.37</f>
        <v>11150352.42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95281122.450000018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218227.82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218227.82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22280143.93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22280143.93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148186606.59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286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286">
        <f>4555210.49+154848.1+439287.71+116873.07+47759.78+3862.74</f>
        <v>5317841.8900000006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286">
        <f>2932903.68+2650155.48+2202900.17</f>
        <v>7785959.3300000001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286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286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286">
        <v>887750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286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286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286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286">
        <v>4593625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18585176.219999999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371921.67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371921.67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122393817+4593625</f>
        <v>126987442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34159607.850000001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161147049.84999999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4593625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156553424.84999999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189">
        <v>-8623160.0399999991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85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85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85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-18700756.100000001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148186606.60000002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148186606.59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187622517.21000001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315304432.86000001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502926950.07000005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9620493.2599999998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343983496.17-1339260</f>
        <v>342644236.17000002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2186506.44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1339259.51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355790495.38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147136454.69000006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f>2762760.26+510460.4+358858</f>
        <v>3632078.6599999997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3632078.6599999997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150768533.35000005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70381673.989999995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15489969.939999999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2815199.72+2579149.16</f>
        <v>5394348.8800000008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28546603.21+510460.4</f>
        <v>29057063.609999999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2209838.21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8407904.03+6068131.97</f>
        <v>14476036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8928310.3000000007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852614.45+358858.27</f>
        <v>1211472.72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1258463.6399999999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5896542.45+122377.02</f>
        <v>6018919.4699999997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10657483.77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1703307.88-122377.02</f>
        <v>1580930.8599999999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166664511.39000002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-15895978.039999962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154786.76-2959564.6</f>
        <v>-2804777.84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-18700755.879999962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-18700755.879999962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RCCH Trios Health LLC   H-0     FYE 12/31/2019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5215</v>
      </c>
      <c r="C414" s="194">
        <f>E138</f>
        <v>5215</v>
      </c>
      <c r="D414" s="179"/>
    </row>
    <row r="415" spans="1:5" ht="12.6" customHeight="1" x14ac:dyDescent="0.25">
      <c r="A415" s="179" t="s">
        <v>464</v>
      </c>
      <c r="B415" s="179">
        <f>D111</f>
        <v>17953</v>
      </c>
      <c r="C415" s="179">
        <f>E139</f>
        <v>17953</v>
      </c>
      <c r="D415" s="194">
        <f>SUM(C59:H59)+N59</f>
        <v>17953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1397</v>
      </c>
    </row>
    <row r="424" spans="1:7" ht="12.6" customHeight="1" x14ac:dyDescent="0.25">
      <c r="A424" s="179" t="s">
        <v>1244</v>
      </c>
      <c r="B424" s="179">
        <f>D114</f>
        <v>3325</v>
      </c>
      <c r="D424" s="179">
        <f>J59</f>
        <v>3325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5">C378</f>
        <v>70381673.989999995</v>
      </c>
      <c r="C427" s="179">
        <f t="shared" ref="C427:C434" si="16">CE61</f>
        <v>70381674</v>
      </c>
      <c r="D427" s="179"/>
    </row>
    <row r="428" spans="1:7" ht="12.6" customHeight="1" x14ac:dyDescent="0.25">
      <c r="A428" s="179" t="s">
        <v>3</v>
      </c>
      <c r="B428" s="179">
        <f t="shared" si="15"/>
        <v>15489969.939999999</v>
      </c>
      <c r="C428" s="179">
        <f t="shared" si="16"/>
        <v>15489967</v>
      </c>
      <c r="D428" s="179">
        <f>D173</f>
        <v>15489969.939999998</v>
      </c>
    </row>
    <row r="429" spans="1:7" ht="12.6" customHeight="1" x14ac:dyDescent="0.25">
      <c r="A429" s="179" t="s">
        <v>236</v>
      </c>
      <c r="B429" s="179">
        <f t="shared" si="15"/>
        <v>5394348.8800000008</v>
      </c>
      <c r="C429" s="179">
        <f t="shared" si="16"/>
        <v>5394348.8899999987</v>
      </c>
      <c r="D429" s="179"/>
    </row>
    <row r="430" spans="1:7" ht="12.6" customHeight="1" x14ac:dyDescent="0.25">
      <c r="A430" s="179" t="s">
        <v>237</v>
      </c>
      <c r="B430" s="179">
        <f t="shared" si="15"/>
        <v>29057063.609999999</v>
      </c>
      <c r="C430" s="179">
        <f t="shared" si="16"/>
        <v>29057063.109999999</v>
      </c>
      <c r="D430" s="179"/>
    </row>
    <row r="431" spans="1:7" ht="12.6" customHeight="1" x14ac:dyDescent="0.25">
      <c r="A431" s="179" t="s">
        <v>444</v>
      </c>
      <c r="B431" s="179">
        <f t="shared" si="15"/>
        <v>2209838.21</v>
      </c>
      <c r="C431" s="179">
        <f t="shared" si="16"/>
        <v>2209838.21</v>
      </c>
      <c r="D431" s="179"/>
    </row>
    <row r="432" spans="1:7" ht="12.6" customHeight="1" x14ac:dyDescent="0.25">
      <c r="A432" s="179" t="s">
        <v>445</v>
      </c>
      <c r="B432" s="179">
        <f t="shared" si="15"/>
        <v>14476036</v>
      </c>
      <c r="C432" s="179">
        <f t="shared" si="16"/>
        <v>14476036.000000002</v>
      </c>
      <c r="D432" s="179"/>
    </row>
    <row r="433" spans="1:7" ht="12.6" customHeight="1" x14ac:dyDescent="0.25">
      <c r="A433" s="179" t="s">
        <v>6</v>
      </c>
      <c r="B433" s="179">
        <f t="shared" si="15"/>
        <v>8928310.3000000007</v>
      </c>
      <c r="C433" s="179">
        <f t="shared" si="16"/>
        <v>8928310</v>
      </c>
      <c r="D433" s="179">
        <f>C217</f>
        <v>8928310.4099999983</v>
      </c>
    </row>
    <row r="434" spans="1:7" ht="12.6" customHeight="1" x14ac:dyDescent="0.25">
      <c r="A434" s="179" t="s">
        <v>474</v>
      </c>
      <c r="B434" s="179">
        <f t="shared" si="15"/>
        <v>1211472.72</v>
      </c>
      <c r="C434" s="179">
        <f t="shared" si="16"/>
        <v>1211472.7199999997</v>
      </c>
      <c r="D434" s="179">
        <f>D177</f>
        <v>1211472.72</v>
      </c>
    </row>
    <row r="435" spans="1:7" ht="12.6" customHeight="1" x14ac:dyDescent="0.25">
      <c r="A435" s="179" t="s">
        <v>447</v>
      </c>
      <c r="B435" s="179">
        <f t="shared" si="15"/>
        <v>1258463.6399999999</v>
      </c>
      <c r="C435" s="179"/>
      <c r="D435" s="179">
        <f>D181</f>
        <v>1258463.6399999999</v>
      </c>
    </row>
    <row r="436" spans="1:7" ht="12.6" customHeight="1" x14ac:dyDescent="0.25">
      <c r="A436" s="179" t="s">
        <v>475</v>
      </c>
      <c r="B436" s="179">
        <f t="shared" si="15"/>
        <v>6018919.4699999997</v>
      </c>
      <c r="C436" s="179"/>
      <c r="D436" s="179">
        <f>D186</f>
        <v>6018919.4699999997</v>
      </c>
    </row>
    <row r="437" spans="1:7" ht="12.6" customHeight="1" x14ac:dyDescent="0.25">
      <c r="A437" s="194" t="s">
        <v>449</v>
      </c>
      <c r="B437" s="194">
        <f t="shared" si="15"/>
        <v>10657483.77</v>
      </c>
      <c r="C437" s="194"/>
      <c r="D437" s="194">
        <f>D190</f>
        <v>10657483.77</v>
      </c>
    </row>
    <row r="438" spans="1:7" ht="12.6" customHeight="1" x14ac:dyDescent="0.25">
      <c r="A438" s="194" t="s">
        <v>476</v>
      </c>
      <c r="B438" s="194">
        <f>C386+C387+C388</f>
        <v>17934866.879999999</v>
      </c>
      <c r="C438" s="194">
        <f>CD69</f>
        <v>17934866.879999999</v>
      </c>
      <c r="D438" s="194">
        <f>D181+D186+D190</f>
        <v>17934866.879999999</v>
      </c>
    </row>
    <row r="439" spans="1:7" ht="12.6" customHeight="1" x14ac:dyDescent="0.25">
      <c r="A439" s="179" t="s">
        <v>451</v>
      </c>
      <c r="B439" s="194">
        <f>C389</f>
        <v>1580930.8599999999</v>
      </c>
      <c r="C439" s="194">
        <f>SUM(C69:CC69)</f>
        <v>1580930.8600000003</v>
      </c>
      <c r="D439" s="179"/>
    </row>
    <row r="440" spans="1:7" ht="12.6" customHeight="1" x14ac:dyDescent="0.25">
      <c r="A440" s="179" t="s">
        <v>477</v>
      </c>
      <c r="B440" s="194">
        <f>B438+B439</f>
        <v>19515797.739999998</v>
      </c>
      <c r="C440" s="194">
        <f>CE69</f>
        <v>19515797.739999998</v>
      </c>
      <c r="D440" s="179"/>
    </row>
    <row r="441" spans="1:7" ht="12.6" customHeight="1" x14ac:dyDescent="0.25">
      <c r="A441" s="179" t="s">
        <v>478</v>
      </c>
      <c r="B441" s="179">
        <f>D390</f>
        <v>166664511.39000002</v>
      </c>
      <c r="C441" s="179">
        <f>SUM(C427:C437)+C440</f>
        <v>166664507.67000002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9620493.2599999998</v>
      </c>
      <c r="C444" s="179">
        <f>C363</f>
        <v>9620493.2599999998</v>
      </c>
      <c r="D444" s="179"/>
    </row>
    <row r="445" spans="1:7" ht="12.6" customHeight="1" x14ac:dyDescent="0.25">
      <c r="A445" s="179" t="s">
        <v>343</v>
      </c>
      <c r="B445" s="179">
        <f>D229</f>
        <v>342644236.65999997</v>
      </c>
      <c r="C445" s="179">
        <f>C364</f>
        <v>342644236.17000002</v>
      </c>
      <c r="D445" s="179"/>
    </row>
    <row r="446" spans="1:7" ht="12.6" customHeight="1" x14ac:dyDescent="0.25">
      <c r="A446" s="179" t="s">
        <v>351</v>
      </c>
      <c r="B446" s="179">
        <f>D236</f>
        <v>2186506.44</v>
      </c>
      <c r="C446" s="179">
        <f>C365</f>
        <v>2186506.44</v>
      </c>
      <c r="D446" s="179"/>
    </row>
    <row r="447" spans="1:7" ht="12.6" customHeight="1" x14ac:dyDescent="0.25">
      <c r="A447" s="179" t="s">
        <v>356</v>
      </c>
      <c r="B447" s="179">
        <f>D240</f>
        <v>1339259.51</v>
      </c>
      <c r="C447" s="179">
        <f>C366</f>
        <v>1339259.51</v>
      </c>
      <c r="D447" s="179"/>
    </row>
    <row r="448" spans="1:7" ht="12.6" customHeight="1" x14ac:dyDescent="0.25">
      <c r="A448" s="179" t="s">
        <v>358</v>
      </c>
      <c r="B448" s="179">
        <f>D242</f>
        <v>355790495.86999995</v>
      </c>
      <c r="C448" s="179">
        <f>D367</f>
        <v>355790495.38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1367</v>
      </c>
    </row>
    <row r="454" spans="1:7" ht="12.6" customHeight="1" x14ac:dyDescent="0.25">
      <c r="A454" s="179" t="s">
        <v>168</v>
      </c>
      <c r="B454" s="179">
        <f>C233</f>
        <v>459659.18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1726847.26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3632078.6599999997</v>
      </c>
      <c r="C458" s="194">
        <f>CE70</f>
        <v>3632078.66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187622517.21000001</v>
      </c>
      <c r="C463" s="194">
        <f>CE73</f>
        <v>187622517.21000001</v>
      </c>
      <c r="D463" s="194">
        <f>E141+E147+E153</f>
        <v>187622517.20999998</v>
      </c>
    </row>
    <row r="464" spans="1:7" ht="12.6" customHeight="1" x14ac:dyDescent="0.25">
      <c r="A464" s="179" t="s">
        <v>246</v>
      </c>
      <c r="B464" s="194">
        <f>C360</f>
        <v>315304432.86000001</v>
      </c>
      <c r="C464" s="194">
        <f>CE74</f>
        <v>315304432.86000001</v>
      </c>
      <c r="D464" s="194">
        <f>E142+E148+E154</f>
        <v>315304432.86000001</v>
      </c>
    </row>
    <row r="465" spans="1:7" ht="12.6" customHeight="1" x14ac:dyDescent="0.25">
      <c r="A465" s="179" t="s">
        <v>247</v>
      </c>
      <c r="B465" s="194">
        <f>D361</f>
        <v>502926950.07000005</v>
      </c>
      <c r="C465" s="194">
        <f>CE75</f>
        <v>502926950.06999999</v>
      </c>
      <c r="D465" s="194">
        <f>D463+D464</f>
        <v>502926950.06999999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7">C267</f>
        <v>25340012.100000001</v>
      </c>
      <c r="C468" s="179">
        <f>E195</f>
        <v>25340011.790000003</v>
      </c>
      <c r="D468" s="179"/>
    </row>
    <row r="469" spans="1:7" ht="12.6" customHeight="1" x14ac:dyDescent="0.25">
      <c r="A469" s="179" t="s">
        <v>333</v>
      </c>
      <c r="B469" s="179">
        <f t="shared" si="17"/>
        <v>9049.1</v>
      </c>
      <c r="C469" s="179">
        <f>E196</f>
        <v>9049.1000000000022</v>
      </c>
      <c r="D469" s="179"/>
    </row>
    <row r="470" spans="1:7" ht="12.6" customHeight="1" x14ac:dyDescent="0.25">
      <c r="A470" s="179" t="s">
        <v>334</v>
      </c>
      <c r="B470" s="179">
        <f t="shared" si="17"/>
        <v>68693864.150000006</v>
      </c>
      <c r="C470" s="179">
        <f>E197</f>
        <v>68693864.340000004</v>
      </c>
      <c r="D470" s="179"/>
    </row>
    <row r="471" spans="1:7" ht="12.6" customHeight="1" x14ac:dyDescent="0.25">
      <c r="A471" s="179" t="s">
        <v>494</v>
      </c>
      <c r="B471" s="179">
        <f t="shared" si="17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7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7"/>
        <v>11069916.370000001</v>
      </c>
      <c r="C473" s="179">
        <f>SUM(E200:E201)</f>
        <v>11069915.970000003</v>
      </c>
      <c r="D473" s="179"/>
    </row>
    <row r="474" spans="1:7" ht="12.6" customHeight="1" x14ac:dyDescent="0.25">
      <c r="A474" s="179" t="s">
        <v>339</v>
      </c>
      <c r="B474" s="179">
        <f t="shared" si="17"/>
        <v>1204373.6200000001</v>
      </c>
      <c r="C474" s="179">
        <f>E202</f>
        <v>1204373.4999999988</v>
      </c>
      <c r="D474" s="179"/>
    </row>
    <row r="475" spans="1:7" ht="12.6" customHeight="1" x14ac:dyDescent="0.25">
      <c r="A475" s="179" t="s">
        <v>340</v>
      </c>
      <c r="B475" s="179">
        <f t="shared" si="17"/>
        <v>114259.53</v>
      </c>
      <c r="C475" s="179">
        <f>E203</f>
        <v>114260.01000000024</v>
      </c>
      <c r="D475" s="179"/>
    </row>
    <row r="476" spans="1:7" ht="12.6" customHeight="1" x14ac:dyDescent="0.25">
      <c r="A476" s="179" t="s">
        <v>203</v>
      </c>
      <c r="B476" s="179">
        <f>D275</f>
        <v>106431474.87000002</v>
      </c>
      <c r="C476" s="179">
        <f>E204</f>
        <v>106431474.71000001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11150352.42</v>
      </c>
      <c r="C478" s="179">
        <f>E217</f>
        <v>11150352.109999999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148186606.59</v>
      </c>
    </row>
    <row r="482" spans="1:12" ht="12.6" customHeight="1" x14ac:dyDescent="0.25">
      <c r="A482" s="180" t="s">
        <v>499</v>
      </c>
      <c r="C482" s="180">
        <f>D339</f>
        <v>148186606.60000002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039</v>
      </c>
      <c r="B493" s="260" t="str">
        <f>RIGHT('Prior Year'!C82,4)</f>
        <v>2018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3451207.8699999996</v>
      </c>
      <c r="C496" s="239">
        <f>C71</f>
        <v>4419878.6799999988</v>
      </c>
      <c r="D496" s="239">
        <f>'Prior Year'!C59</f>
        <v>2703</v>
      </c>
      <c r="E496" s="180">
        <f>C59</f>
        <v>3657</v>
      </c>
      <c r="F496" s="262">
        <f t="shared" ref="F496:G511" si="18">IF(B496=0,"",IF(D496=0,"",B496/D496))</f>
        <v>1276.8064631890491</v>
      </c>
      <c r="G496" s="263">
        <f t="shared" si="18"/>
        <v>1208.6077878042108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1527.23</v>
      </c>
      <c r="C497" s="239">
        <f>D71</f>
        <v>25</v>
      </c>
      <c r="D497" s="239">
        <f>'Prior Year'!D59</f>
        <v>0</v>
      </c>
      <c r="E497" s="180">
        <f>D59</f>
        <v>0</v>
      </c>
      <c r="F497" s="262" t="str">
        <f t="shared" si="18"/>
        <v/>
      </c>
      <c r="G497" s="262" t="str">
        <f t="shared" si="18"/>
        <v/>
      </c>
      <c r="H497" s="264" t="str">
        <f t="shared" ref="H497:H550" si="19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7704800.4600000009</v>
      </c>
      <c r="C498" s="239">
        <f>E71</f>
        <v>7236791.0999999996</v>
      </c>
      <c r="D498" s="239">
        <f>'Prior Year'!E59</f>
        <v>11996</v>
      </c>
      <c r="E498" s="180">
        <f>E59</f>
        <v>11263</v>
      </c>
      <c r="F498" s="262">
        <f t="shared" si="18"/>
        <v>642.28079859953323</v>
      </c>
      <c r="G498" s="262">
        <f t="shared" si="18"/>
        <v>642.52784338098195</v>
      </c>
      <c r="H498" s="264" t="str">
        <f t="shared" si="19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6335658.4100000001</v>
      </c>
      <c r="C499" s="239">
        <f>F71</f>
        <v>6418280.9100000001</v>
      </c>
      <c r="D499" s="239">
        <f>'Prior Year'!F59</f>
        <v>3043</v>
      </c>
      <c r="E499" s="180">
        <f>F59</f>
        <v>3033</v>
      </c>
      <c r="F499" s="262">
        <f t="shared" si="18"/>
        <v>2082.0435129806115</v>
      </c>
      <c r="G499" s="262">
        <f t="shared" si="18"/>
        <v>2116.1493273986152</v>
      </c>
      <c r="H499" s="264" t="str">
        <f t="shared" si="19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8"/>
        <v/>
      </c>
      <c r="G500" s="262" t="str">
        <f t="shared" si="18"/>
        <v/>
      </c>
      <c r="H500" s="264" t="str">
        <f t="shared" si="19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8"/>
        <v/>
      </c>
      <c r="G501" s="262" t="str">
        <f t="shared" si="18"/>
        <v/>
      </c>
      <c r="H501" s="264" t="str">
        <f t="shared" si="19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8"/>
        <v/>
      </c>
      <c r="G502" s="262" t="str">
        <f t="shared" si="18"/>
        <v/>
      </c>
      <c r="H502" s="264" t="str">
        <f t="shared" si="19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1778083.0400000003</v>
      </c>
      <c r="C503" s="239">
        <f>J71</f>
        <v>1808497.3499999999</v>
      </c>
      <c r="D503" s="239">
        <f>'Prior Year'!J59</f>
        <v>3358</v>
      </c>
      <c r="E503" s="180">
        <f>J59</f>
        <v>3325</v>
      </c>
      <c r="F503" s="262">
        <f t="shared" si="18"/>
        <v>529.5065634306136</v>
      </c>
      <c r="G503" s="262">
        <f t="shared" si="18"/>
        <v>543.90897744360893</v>
      </c>
      <c r="H503" s="264" t="str">
        <f t="shared" si="19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8"/>
        <v/>
      </c>
      <c r="G504" s="262" t="str">
        <f t="shared" si="18"/>
        <v/>
      </c>
      <c r="H504" s="264" t="str">
        <f t="shared" si="19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8"/>
        <v/>
      </c>
      <c r="G505" s="262" t="str">
        <f t="shared" si="18"/>
        <v/>
      </c>
      <c r="H505" s="264" t="str">
        <f t="shared" si="19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8"/>
        <v/>
      </c>
      <c r="G506" s="262" t="str">
        <f t="shared" si="18"/>
        <v/>
      </c>
      <c r="H506" s="264" t="str">
        <f t="shared" si="19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8"/>
        <v/>
      </c>
      <c r="G507" s="262" t="str">
        <f t="shared" si="18"/>
        <v/>
      </c>
      <c r="H507" s="264" t="str">
        <f t="shared" si="19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8"/>
        <v/>
      </c>
      <c r="G508" s="262" t="str">
        <f t="shared" si="18"/>
        <v/>
      </c>
      <c r="H508" s="264" t="str">
        <f t="shared" si="19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10143971.17</v>
      </c>
      <c r="C509" s="239">
        <f>P71</f>
        <v>10213825.130000001</v>
      </c>
      <c r="D509" s="239">
        <f>'Prior Year'!P59</f>
        <v>287949</v>
      </c>
      <c r="E509" s="180">
        <f>P59</f>
        <v>276955</v>
      </c>
      <c r="F509" s="262">
        <f t="shared" si="18"/>
        <v>35.22836047355608</v>
      </c>
      <c r="G509" s="262">
        <f t="shared" si="18"/>
        <v>36.879006084020872</v>
      </c>
      <c r="H509" s="264" t="str">
        <f t="shared" si="19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788875.25</v>
      </c>
      <c r="C510" s="239">
        <f>Q71</f>
        <v>795118.45000000007</v>
      </c>
      <c r="D510" s="239">
        <f>'Prior Year'!Q59</f>
        <v>130439</v>
      </c>
      <c r="E510" s="180">
        <f>Q59</f>
        <v>125819</v>
      </c>
      <c r="F510" s="262">
        <f t="shared" si="18"/>
        <v>6.0478480362468279</v>
      </c>
      <c r="G510" s="262">
        <f t="shared" si="18"/>
        <v>6.3195419610710628</v>
      </c>
      <c r="H510" s="264" t="str">
        <f t="shared" si="19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2168341.5000000005</v>
      </c>
      <c r="C511" s="239">
        <f>R71</f>
        <v>358428.98</v>
      </c>
      <c r="D511" s="239">
        <f>'Prior Year'!R59</f>
        <v>0</v>
      </c>
      <c r="E511" s="180">
        <f>R59</f>
        <v>0</v>
      </c>
      <c r="F511" s="262" t="str">
        <f t="shared" si="18"/>
        <v/>
      </c>
      <c r="G511" s="262" t="str">
        <f t="shared" si="18"/>
        <v/>
      </c>
      <c r="H511" s="264" t="str">
        <f t="shared" si="19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1371864.83</v>
      </c>
      <c r="C512" s="239">
        <f>S71</f>
        <v>1477069.24</v>
      </c>
      <c r="D512" s="181" t="s">
        <v>529</v>
      </c>
      <c r="E512" s="181" t="s">
        <v>529</v>
      </c>
      <c r="F512" s="262" t="str">
        <f t="shared" ref="F512:G527" si="20">IF(B512=0,"",IF(D512=0,"",B512/D512))</f>
        <v/>
      </c>
      <c r="G512" s="262" t="str">
        <f t="shared" si="20"/>
        <v/>
      </c>
      <c r="H512" s="264" t="str">
        <f t="shared" si="19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898628.87</v>
      </c>
      <c r="C513" s="239">
        <f>T71</f>
        <v>787036.12</v>
      </c>
      <c r="D513" s="181" t="s">
        <v>529</v>
      </c>
      <c r="E513" s="181" t="s">
        <v>529</v>
      </c>
      <c r="F513" s="262" t="str">
        <f t="shared" si="20"/>
        <v/>
      </c>
      <c r="G513" s="262" t="str">
        <f t="shared" si="20"/>
        <v/>
      </c>
      <c r="H513" s="264" t="str">
        <f t="shared" si="19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6012126.6000000006</v>
      </c>
      <c r="C514" s="239">
        <f>U71</f>
        <v>5852435.6100000003</v>
      </c>
      <c r="D514" s="239">
        <f>'Prior Year'!U59</f>
        <v>339878</v>
      </c>
      <c r="E514" s="180">
        <f>U59</f>
        <v>336256</v>
      </c>
      <c r="F514" s="262">
        <f t="shared" si="20"/>
        <v>17.689072549561903</v>
      </c>
      <c r="G514" s="262">
        <f t="shared" si="20"/>
        <v>17.404702399362392</v>
      </c>
      <c r="H514" s="264" t="str">
        <f t="shared" si="19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106165.33000000002</v>
      </c>
      <c r="C515" s="239">
        <f>V71</f>
        <v>87084.800000000003</v>
      </c>
      <c r="D515" s="239">
        <f>'Prior Year'!V59</f>
        <v>466</v>
      </c>
      <c r="E515" s="180">
        <f>V59</f>
        <v>29</v>
      </c>
      <c r="F515" s="262">
        <f t="shared" si="20"/>
        <v>227.82259656652363</v>
      </c>
      <c r="G515" s="262">
        <f t="shared" si="20"/>
        <v>3002.9241379310347</v>
      </c>
      <c r="H515" s="264">
        <f t="shared" si="19"/>
        <v>12.180975825873306</v>
      </c>
      <c r="I515" s="180" t="s">
        <v>1277</v>
      </c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772745.05999999994</v>
      </c>
      <c r="C516" s="239">
        <f>W71</f>
        <v>752910.19000000006</v>
      </c>
      <c r="D516" s="239">
        <f>'Prior Year'!W59</f>
        <v>2645</v>
      </c>
      <c r="E516" s="180">
        <f>W59</f>
        <v>2430</v>
      </c>
      <c r="F516" s="262">
        <f t="shared" si="20"/>
        <v>292.15314177693762</v>
      </c>
      <c r="G516" s="262">
        <f t="shared" si="20"/>
        <v>309.83958436213993</v>
      </c>
      <c r="H516" s="264" t="str">
        <f t="shared" si="19"/>
        <v/>
      </c>
      <c r="I516" s="180" t="s">
        <v>1279</v>
      </c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1432146.73</v>
      </c>
      <c r="C517" s="239">
        <f>X71</f>
        <v>1103952.57</v>
      </c>
      <c r="D517" s="239">
        <f>'Prior Year'!X59</f>
        <v>11519</v>
      </c>
      <c r="E517" s="180">
        <f>X59</f>
        <v>11430</v>
      </c>
      <c r="F517" s="262">
        <f t="shared" si="20"/>
        <v>124.3290849900165</v>
      </c>
      <c r="G517" s="262">
        <f t="shared" si="20"/>
        <v>96.583776902887138</v>
      </c>
      <c r="H517" s="264" t="str">
        <f t="shared" si="19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7122032.5</v>
      </c>
      <c r="C518" s="239">
        <f>Y71</f>
        <v>7775665.7899999991</v>
      </c>
      <c r="D518" s="239">
        <f>'Prior Year'!Y59</f>
        <v>51196</v>
      </c>
      <c r="E518" s="180">
        <f>Y59</f>
        <v>50223</v>
      </c>
      <c r="F518" s="262">
        <f t="shared" si="20"/>
        <v>139.11306547386513</v>
      </c>
      <c r="G518" s="262">
        <f t="shared" si="20"/>
        <v>154.8228060848615</v>
      </c>
      <c r="H518" s="264" t="str">
        <f t="shared" si="19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7259632.2200000007</v>
      </c>
      <c r="C519" s="239">
        <f>Z71</f>
        <v>8457579.7699999996</v>
      </c>
      <c r="D519" s="239">
        <f>'Prior Year'!Z59</f>
        <v>468114</v>
      </c>
      <c r="E519" s="180">
        <f>Z59</f>
        <v>631681</v>
      </c>
      <c r="F519" s="262">
        <f t="shared" si="20"/>
        <v>15.5082570057721</v>
      </c>
      <c r="G519" s="262">
        <f t="shared" si="20"/>
        <v>13.389004529184826</v>
      </c>
      <c r="H519" s="264" t="str">
        <f t="shared" si="19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959376.82</v>
      </c>
      <c r="C520" s="239">
        <f>AA71</f>
        <v>688169.64</v>
      </c>
      <c r="D520" s="239">
        <f>'Prior Year'!AA59</f>
        <v>1847</v>
      </c>
      <c r="E520" s="180">
        <f>AA59</f>
        <v>1455</v>
      </c>
      <c r="F520" s="262">
        <f t="shared" si="20"/>
        <v>519.42437466161346</v>
      </c>
      <c r="G520" s="262">
        <f t="shared" si="20"/>
        <v>472.96882474226805</v>
      </c>
      <c r="H520" s="264" t="str">
        <f t="shared" si="19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4207757.67</v>
      </c>
      <c r="C521" s="239">
        <f>AB71</f>
        <v>6616194.9800000004</v>
      </c>
      <c r="D521" s="181" t="s">
        <v>529</v>
      </c>
      <c r="E521" s="181" t="s">
        <v>529</v>
      </c>
      <c r="F521" s="262" t="str">
        <f t="shared" si="20"/>
        <v/>
      </c>
      <c r="G521" s="262" t="str">
        <f t="shared" si="20"/>
        <v/>
      </c>
      <c r="H521" s="264" t="str">
        <f t="shared" si="19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1852455.19</v>
      </c>
      <c r="C522" s="239">
        <f>AC71</f>
        <v>1850996.1500000001</v>
      </c>
      <c r="D522" s="239">
        <f>'Prior Year'!AC59</f>
        <v>63081</v>
      </c>
      <c r="E522" s="180">
        <f>AC59</f>
        <v>77896</v>
      </c>
      <c r="F522" s="262">
        <f t="shared" si="20"/>
        <v>29.366293971243323</v>
      </c>
      <c r="G522" s="262">
        <f t="shared" si="20"/>
        <v>23.762403075896067</v>
      </c>
      <c r="H522" s="264" t="str">
        <f t="shared" si="19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20"/>
        <v/>
      </c>
      <c r="G523" s="262" t="str">
        <f t="shared" si="20"/>
        <v/>
      </c>
      <c r="H523" s="264" t="str">
        <f t="shared" si="19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939590.59000000008</v>
      </c>
      <c r="C524" s="239">
        <f>AE71</f>
        <v>704654.27</v>
      </c>
      <c r="D524" s="239">
        <f>'Prior Year'!AE59</f>
        <v>21158</v>
      </c>
      <c r="E524" s="180">
        <f>AE59</f>
        <v>14705</v>
      </c>
      <c r="F524" s="262">
        <f t="shared" si="20"/>
        <v>44.40828953587296</v>
      </c>
      <c r="G524" s="262">
        <f t="shared" si="20"/>
        <v>47.919365521931319</v>
      </c>
      <c r="H524" s="264" t="str">
        <f t="shared" si="19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20"/>
        <v/>
      </c>
      <c r="G525" s="262" t="str">
        <f t="shared" si="20"/>
        <v/>
      </c>
      <c r="H525" s="264" t="str">
        <f t="shared" si="19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9453097.5099999998</v>
      </c>
      <c r="C526" s="239">
        <f>AG71</f>
        <v>9486322.4400000032</v>
      </c>
      <c r="D526" s="239">
        <f>'Prior Year'!AG59</f>
        <v>27043</v>
      </c>
      <c r="E526" s="180">
        <f>AG59</f>
        <v>26844</v>
      </c>
      <c r="F526" s="262">
        <f t="shared" si="20"/>
        <v>349.55801908072328</v>
      </c>
      <c r="G526" s="262">
        <f t="shared" si="20"/>
        <v>353.38706750111771</v>
      </c>
      <c r="H526" s="264" t="str">
        <f t="shared" si="19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20"/>
        <v/>
      </c>
      <c r="G527" s="262" t="str">
        <f t="shared" si="20"/>
        <v/>
      </c>
      <c r="H527" s="264" t="str">
        <f t="shared" si="19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3080480.23</v>
      </c>
      <c r="C528" s="239">
        <f>AI71</f>
        <v>3120044.6099999994</v>
      </c>
      <c r="D528" s="239">
        <f>'Prior Year'!AI59</f>
        <v>27095</v>
      </c>
      <c r="E528" s="180">
        <f>AI59</f>
        <v>30777</v>
      </c>
      <c r="F528" s="262">
        <f t="shared" ref="F528:G540" si="21">IF(B528=0,"",IF(D528=0,"",B528/D528))</f>
        <v>113.69183354862521</v>
      </c>
      <c r="G528" s="262">
        <f t="shared" si="21"/>
        <v>101.37585242226336</v>
      </c>
      <c r="H528" s="264" t="str">
        <f t="shared" si="19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1778483.7899999998</v>
      </c>
      <c r="C529" s="239">
        <f>AJ71</f>
        <v>1004081.7</v>
      </c>
      <c r="D529" s="239">
        <f>'Prior Year'!AJ59</f>
        <v>8787</v>
      </c>
      <c r="E529" s="180">
        <f>AJ59</f>
        <v>6554</v>
      </c>
      <c r="F529" s="262">
        <f t="shared" si="21"/>
        <v>202.39942983953566</v>
      </c>
      <c r="G529" s="262">
        <f t="shared" si="21"/>
        <v>153.2013579493439</v>
      </c>
      <c r="H529" s="264" t="str">
        <f t="shared" si="19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21"/>
        <v/>
      </c>
      <c r="G530" s="262" t="str">
        <f t="shared" si="21"/>
        <v/>
      </c>
      <c r="H530" s="264" t="str">
        <f t="shared" si="19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155782.21000000002</v>
      </c>
      <c r="C531" s="239">
        <f>AL71</f>
        <v>134477.01</v>
      </c>
      <c r="D531" s="239">
        <f>'Prior Year'!AL59</f>
        <v>3311</v>
      </c>
      <c r="E531" s="180">
        <f>AL59</f>
        <v>2206</v>
      </c>
      <c r="F531" s="262">
        <f t="shared" si="21"/>
        <v>47.049897311990343</v>
      </c>
      <c r="G531" s="262">
        <f t="shared" si="21"/>
        <v>60.959660018132368</v>
      </c>
      <c r="H531" s="264">
        <f t="shared" si="19"/>
        <v>0.29563853484962266</v>
      </c>
      <c r="I531" s="180" t="s">
        <v>1278</v>
      </c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21"/>
        <v/>
      </c>
      <c r="G532" s="262" t="str">
        <f t="shared" si="21"/>
        <v/>
      </c>
      <c r="H532" s="264" t="str">
        <f t="shared" si="19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21"/>
        <v/>
      </c>
      <c r="G533" s="262" t="str">
        <f t="shared" si="21"/>
        <v/>
      </c>
      <c r="H533" s="264" t="str">
        <f t="shared" si="19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21"/>
        <v/>
      </c>
      <c r="G534" s="262" t="str">
        <f t="shared" si="21"/>
        <v/>
      </c>
      <c r="H534" s="264" t="str">
        <f t="shared" si="19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35858127.950000003</v>
      </c>
      <c r="C535" s="239">
        <f>AP71</f>
        <v>35887869.309999995</v>
      </c>
      <c r="D535" s="239">
        <f>'Prior Year'!AP59</f>
        <v>208416</v>
      </c>
      <c r="E535" s="180">
        <f>AP59</f>
        <v>215110</v>
      </c>
      <c r="F535" s="262">
        <f t="shared" si="21"/>
        <v>172.05074442461233</v>
      </c>
      <c r="G535" s="262">
        <f t="shared" si="21"/>
        <v>166.83496494816603</v>
      </c>
      <c r="H535" s="264" t="str">
        <f t="shared" si="19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126548.88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21"/>
        <v/>
      </c>
      <c r="G536" s="262" t="str">
        <f t="shared" si="21"/>
        <v/>
      </c>
      <c r="H536" s="264" t="str">
        <f t="shared" si="19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1373927.5100000005</v>
      </c>
      <c r="C537" s="239">
        <f>AR71</f>
        <v>7395.5199999999995</v>
      </c>
      <c r="D537" s="239">
        <f>'Prior Year'!AR59</f>
        <v>11432</v>
      </c>
      <c r="E537" s="180">
        <f>AR59</f>
        <v>0</v>
      </c>
      <c r="F537" s="262">
        <f t="shared" si="21"/>
        <v>120.18260234429675</v>
      </c>
      <c r="G537" s="262" t="str">
        <f t="shared" si="21"/>
        <v/>
      </c>
      <c r="H537" s="264" t="str">
        <f t="shared" si="19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21"/>
        <v/>
      </c>
      <c r="G538" s="262" t="str">
        <f t="shared" si="21"/>
        <v/>
      </c>
      <c r="H538" s="264" t="str">
        <f t="shared" si="19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21"/>
        <v/>
      </c>
      <c r="G539" s="262" t="str">
        <f t="shared" si="21"/>
        <v/>
      </c>
      <c r="H539" s="264" t="str">
        <f t="shared" si="19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21"/>
        <v/>
      </c>
      <c r="G540" s="262" t="str">
        <f t="shared" si="21"/>
        <v/>
      </c>
      <c r="H540" s="264" t="str">
        <f t="shared" si="19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2492426.1399999997</v>
      </c>
      <c r="C542" s="239">
        <f>AW71</f>
        <v>2548968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1456286.75</v>
      </c>
      <c r="C544" s="239">
        <f>AY71</f>
        <v>1276642.3999999999</v>
      </c>
      <c r="D544" s="239">
        <f>'Prior Year'!AY59</f>
        <v>333727</v>
      </c>
      <c r="E544" s="180">
        <f>AY59</f>
        <v>343945</v>
      </c>
      <c r="F544" s="262">
        <f t="shared" ref="F544:G550" si="22">IF(B544=0,"",IF(D544=0,"",B544/D544))</f>
        <v>4.3637067123726876</v>
      </c>
      <c r="G544" s="262">
        <f t="shared" si="22"/>
        <v>3.7117632179563591</v>
      </c>
      <c r="H544" s="264" t="str">
        <f t="shared" si="19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22"/>
        <v/>
      </c>
      <c r="G545" s="262" t="str">
        <f t="shared" si="22"/>
        <v/>
      </c>
      <c r="H545" s="264" t="str">
        <f t="shared" si="19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317973.09000000003</v>
      </c>
      <c r="C546" s="239">
        <f>BA71</f>
        <v>347607.54</v>
      </c>
      <c r="D546" s="239">
        <f>'Prior Year'!BA59</f>
        <v>0</v>
      </c>
      <c r="E546" s="180">
        <f>BA59</f>
        <v>0</v>
      </c>
      <c r="F546" s="262" t="str">
        <f t="shared" si="22"/>
        <v/>
      </c>
      <c r="G546" s="262" t="str">
        <f t="shared" si="22"/>
        <v/>
      </c>
      <c r="H546" s="264" t="str">
        <f t="shared" si="19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980867.34000000008</v>
      </c>
      <c r="C549" s="239">
        <f>BD71</f>
        <v>500090.81000000006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4202322.74</v>
      </c>
      <c r="C550" s="239">
        <f>BE71</f>
        <v>3961284.2499999995</v>
      </c>
      <c r="D550" s="239">
        <f>'Prior Year'!BE59</f>
        <v>602427</v>
      </c>
      <c r="E550" s="180">
        <f>BE59</f>
        <v>522556</v>
      </c>
      <c r="F550" s="262">
        <f t="shared" si="22"/>
        <v>6.9756547100312574</v>
      </c>
      <c r="G550" s="262">
        <f t="shared" si="22"/>
        <v>7.5805927977097181</v>
      </c>
      <c r="H550" s="264" t="str">
        <f t="shared" si="19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2255668.5499999998</v>
      </c>
      <c r="C551" s="239">
        <f>BF71</f>
        <v>2209557.37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395400.93</v>
      </c>
      <c r="C552" s="239">
        <f>BG71</f>
        <v>483897.76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4717422.2599999988</v>
      </c>
      <c r="C553" s="239">
        <f>BH71</f>
        <v>3290005.0100000002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910425.51</v>
      </c>
      <c r="C555" s="239">
        <f>BJ71</f>
        <v>677145.56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1883177.7899999998</v>
      </c>
      <c r="C556" s="239">
        <f>BK71</f>
        <v>1373367.68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1048655.21</v>
      </c>
      <c r="C557" s="239">
        <f>BL71</f>
        <v>1121844.9199999997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7418740.0999999996</v>
      </c>
      <c r="C559" s="239">
        <f>BN71</f>
        <v>3482117.2299999995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235689.38999999998</v>
      </c>
      <c r="C560" s="239">
        <f>BO71</f>
        <v>330743.63999999996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441682.19</v>
      </c>
      <c r="C561" s="239">
        <f>BP71</f>
        <v>71157.03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848790.95</v>
      </c>
      <c r="C563" s="239">
        <f>BR71</f>
        <v>932080.13000000012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436864.36999999994</v>
      </c>
      <c r="C564" s="239">
        <f>BS71</f>
        <v>75618.460000000006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14092.47</v>
      </c>
      <c r="C565" s="239">
        <f>BT71</f>
        <v>85050.23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1663256.7600000002</v>
      </c>
      <c r="C567" s="239">
        <f>BV71</f>
        <v>1044309.8700000001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539802.10000000009</v>
      </c>
      <c r="C568" s="239">
        <f>BW71</f>
        <v>477289.05000000005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1889174.8899999997</v>
      </c>
      <c r="C569" s="239">
        <f>BX71</f>
        <v>1487410.78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1756871.8900000001</v>
      </c>
      <c r="C570" s="239">
        <f>BY71</f>
        <v>1101613.3999999999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306998.94999999995</v>
      </c>
      <c r="C572" s="239">
        <f>CA71</f>
        <v>375941.46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251114.75</v>
      </c>
      <c r="C573" s="239">
        <f>CB71</f>
        <v>201768.03999999998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3463323.1700000004</v>
      </c>
      <c r="C574" s="239">
        <f>CC71</f>
        <v>2004811.23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15699538.83</v>
      </c>
      <c r="C575" s="239">
        <f>CD71</f>
        <v>16527321.839999998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478688</v>
      </c>
      <c r="E612" s="180">
        <f>SUM(C624:D647)+SUM(C668:D713)</f>
        <v>151280902.24672979</v>
      </c>
      <c r="F612" s="180">
        <f>CE64-(AX64+BD64+BE64+BG64+BJ64+BN64+BP64+BQ64+CB64+CC64+CD64)</f>
        <v>29122197.849999998</v>
      </c>
      <c r="G612" s="180">
        <f>CE77-(AX77+AY77+BD77+BE77+BG77+BJ77+BN77+BP77+BQ77+CB77+CC77+CD77)</f>
        <v>343945</v>
      </c>
      <c r="H612" s="197">
        <f>CE60-(AX60+AY60+AZ60+BD60+BE60+BG60+BJ60+BN60+BO60+BP60+BQ60+BR60+CB60+CC60+CD60)</f>
        <v>897.41000000000008</v>
      </c>
      <c r="I612" s="180">
        <f>CE78-(AX78+AY78+AZ78+BD78+BE78+BF78+BG78+BJ78+BN78+BO78+BP78+BQ78+BR78+CB78+CC78+CD78)</f>
        <v>46362.17367325224</v>
      </c>
      <c r="J612" s="180">
        <f>CE79-(AX79+AY79+AZ79+BA79+BD79+BE79+BF79+BG79+BJ79+BN79+BO79+BP79+BQ79+BR79+CB79+CC79+CD79)</f>
        <v>639909</v>
      </c>
      <c r="K612" s="180">
        <f>CE75-(AW75+AX75+AY75+AZ75+BA75+BB75+BC75+BD75+BE75+BF75+BG75+BH75+BI75+BJ75+BK75+BL75+BM75+BN75+BO75+BP75+BQ75+BR75+BS75+BT75+BU75+BV75+BW75+BX75+CB75+CC75+CD75)</f>
        <v>502926950.06999999</v>
      </c>
      <c r="L612" s="197">
        <f>CE80-(AW80+AX80+AY80+AZ80+BA80+BB80+BC80+BD80+BE80+BF80+BG80+BH80+BI80+BJ80+BK80+BL80+BM80+BN80+BO80+BP80+BQ80+BR80+BS80+BT80+BU80+BV80+BW80+BX80+BY80+BZ80+CA80+CB80+CC80+CD80)</f>
        <v>216.41000000000003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3961284.2499999995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16527321.839999998</v>
      </c>
      <c r="D615" s="265">
        <f>SUM(C614:C615)</f>
        <v>20488606.089999996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677145.56</v>
      </c>
      <c r="D617" s="180">
        <f>(D615/D612)*BJ76</f>
        <v>27478.618870287115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483897.76</v>
      </c>
      <c r="D618" s="180">
        <f>(D615/D612)*BG76</f>
        <v>61377.475794379628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3482117.2299999995</v>
      </c>
      <c r="D619" s="180">
        <f>(D615/D612)*BN76</f>
        <v>73233.515400406934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2004811.23</v>
      </c>
      <c r="D620" s="180">
        <f>(D615/D612)*CC76</f>
        <v>4644186.2001876999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71157.03</v>
      </c>
      <c r="D621" s="180">
        <f>(D615/D612)*BP76</f>
        <v>11128.412626596028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201768.03999999998</v>
      </c>
      <c r="D622" s="180">
        <f>(D615/D612)*CB76</f>
        <v>13225.690390839125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11751526.763270205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500090.81000000006</v>
      </c>
      <c r="D624" s="180">
        <f>(D615/D612)*BD76</f>
        <v>621864.25789159106</v>
      </c>
      <c r="E624" s="180">
        <f>(E623/E612)*SUM(C624:D624)</f>
        <v>87153.664551863054</v>
      </c>
      <c r="F624" s="180">
        <f>SUM(C624:E624)</f>
        <v>1209108.7324434542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1276642.3999999999</v>
      </c>
      <c r="D625" s="180">
        <f>(D615/D612)*AY76</f>
        <v>445093.70347681572</v>
      </c>
      <c r="E625" s="180">
        <f>(E623/E612)*SUM(C625:D625)</f>
        <v>133744.75957512166</v>
      </c>
      <c r="F625" s="180">
        <f>(F624/F612)*AY64</f>
        <v>19079.339210621245</v>
      </c>
      <c r="G625" s="180">
        <f>SUM(C625:F625)</f>
        <v>1874560.2022625585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932080.13000000012</v>
      </c>
      <c r="D626" s="180">
        <f>(D615/D612)*BR76</f>
        <v>80466.983607694347</v>
      </c>
      <c r="E626" s="180">
        <f>(E623/E612)*SUM(C626:D626)</f>
        <v>78654.835659469609</v>
      </c>
      <c r="F626" s="180">
        <f>(F624/F612)*BR64</f>
        <v>257.97202910721012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330743.63999999996</v>
      </c>
      <c r="D627" s="180">
        <f>(D615/D612)*BO76</f>
        <v>10571.991995266226</v>
      </c>
      <c r="E627" s="180">
        <f>(E623/E612)*SUM(C627:D627)</f>
        <v>26513.457578228841</v>
      </c>
      <c r="F627" s="180">
        <f>(F624/F612)*BO64</f>
        <v>1134.96474519968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1554842.0770241448</v>
      </c>
      <c r="H628" s="180">
        <f>SUM(C626:G628)</f>
        <v>3015266.0526391109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2209557.37</v>
      </c>
      <c r="D629" s="180">
        <f>(D615/D612)*BF76</f>
        <v>129474.80075174224</v>
      </c>
      <c r="E629" s="180">
        <f>(E623/E612)*SUM(C629:D629)</f>
        <v>181696.42530231067</v>
      </c>
      <c r="F629" s="180">
        <f>(F624/F612)*BF64</f>
        <v>5651.6643152451943</v>
      </c>
      <c r="G629" s="180">
        <f>(G625/G612)*BF77</f>
        <v>0</v>
      </c>
      <c r="H629" s="180">
        <f>(H628/H612)*BF60</f>
        <v>138430.5516639344</v>
      </c>
      <c r="I629" s="180">
        <f>SUM(C629:H629)</f>
        <v>2664810.8120332328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347607.54</v>
      </c>
      <c r="D630" s="180">
        <f>(D615/D612)*BA76</f>
        <v>73190.713813381561</v>
      </c>
      <c r="E630" s="180">
        <f>(E623/E612)*SUM(C630:D630)</f>
        <v>32687.6814467982</v>
      </c>
      <c r="F630" s="180">
        <f>(F624/F612)*BA64</f>
        <v>1782.4824558286143</v>
      </c>
      <c r="G630" s="180">
        <f>(G625/G612)*BA77</f>
        <v>0</v>
      </c>
      <c r="H630" s="180">
        <f>(H628/H612)*BA60</f>
        <v>0</v>
      </c>
      <c r="I630" s="180">
        <f>(I629/I612)*BA78</f>
        <v>13572.20314277366</v>
      </c>
      <c r="J630" s="180">
        <f>SUM(C630:I630)</f>
        <v>468840.62085878203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2548968</v>
      </c>
      <c r="D631" s="180">
        <f>(D615/D612)*AW76</f>
        <v>59708.213900390227</v>
      </c>
      <c r="E631" s="180">
        <f>(E623/E612)*SUM(C631:D631)</f>
        <v>202642.42140993383</v>
      </c>
      <c r="F631" s="180">
        <f>(F624/F612)*AW64</f>
        <v>1959.775403223884</v>
      </c>
      <c r="G631" s="180">
        <f>(G625/G612)*AW77</f>
        <v>0</v>
      </c>
      <c r="H631" s="180">
        <f>(H628/H612)*AW60</f>
        <v>125998.68173294999</v>
      </c>
      <c r="I631" s="180">
        <f>(I629/I612)*AW78</f>
        <v>11072.060458578513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1373367.68</v>
      </c>
      <c r="D635" s="180">
        <f>(D615/D612)*BK76</f>
        <v>176000.12584831871</v>
      </c>
      <c r="E635" s="180">
        <f>(E623/E612)*SUM(C635:D635)</f>
        <v>120355.16027581952</v>
      </c>
      <c r="F635" s="180">
        <f>(F624/F612)*BK64</f>
        <v>221.03513343199859</v>
      </c>
      <c r="G635" s="180">
        <f>(G625/G612)*BK77</f>
        <v>0</v>
      </c>
      <c r="H635" s="180">
        <f>(H628/H612)*BK60</f>
        <v>70559.261770451994</v>
      </c>
      <c r="I635" s="180">
        <f>(I629/I612)*BK78</f>
        <v>32636.783229874443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3290005.0100000002</v>
      </c>
      <c r="D636" s="180">
        <f>(D615/D612)*BH76</f>
        <v>386883.54512231343</v>
      </c>
      <c r="E636" s="180">
        <f>(E623/E612)*SUM(C636:D636)</f>
        <v>285621.34161925135</v>
      </c>
      <c r="F636" s="180">
        <f>(F624/F612)*BH64</f>
        <v>-372.15401487822453</v>
      </c>
      <c r="G636" s="180">
        <f>(G625/G612)*BH77</f>
        <v>0</v>
      </c>
      <c r="H636" s="180">
        <f>(H628/H612)*BH60</f>
        <v>59135.3812933312</v>
      </c>
      <c r="I636" s="180">
        <f>(I629/I612)*BH78</f>
        <v>71742.189595047428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1121844.9199999997</v>
      </c>
      <c r="D637" s="180">
        <f>(D615/D612)*BL76</f>
        <v>250646.09362056284</v>
      </c>
      <c r="E637" s="180">
        <f>(E623/E612)*SUM(C637:D637)</f>
        <v>106615.34033294376</v>
      </c>
      <c r="F637" s="180">
        <f>(F624/F612)*BL64</f>
        <v>611.60715122202055</v>
      </c>
      <c r="G637" s="180">
        <f>(G625/G612)*BL77</f>
        <v>0</v>
      </c>
      <c r="H637" s="180">
        <f>(H628/H612)*BL60</f>
        <v>100798.94538635999</v>
      </c>
      <c r="I637" s="180">
        <f>(I629/I612)*BL78</f>
        <v>46478.843043323126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75618.460000000006</v>
      </c>
      <c r="D639" s="180">
        <f>(D615/D612)*BS76</f>
        <v>93863.880346634949</v>
      </c>
      <c r="E639" s="180">
        <f>(E623/E612)*SUM(C639:D639)</f>
        <v>13165.417636370581</v>
      </c>
      <c r="F639" s="180">
        <f>(F624/F612)*BS64</f>
        <v>473.92987037698583</v>
      </c>
      <c r="G639" s="180">
        <f>(G625/G612)*BS77</f>
        <v>0</v>
      </c>
      <c r="H639" s="180">
        <f>(H628/H612)*BS60</f>
        <v>3359.9648462119999</v>
      </c>
      <c r="I639" s="180">
        <f>(I629/I612)*BS78</f>
        <v>17405.755258539553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85050.23</v>
      </c>
      <c r="D640" s="180">
        <f>(D615/D612)*BT76</f>
        <v>36937.769602893735</v>
      </c>
      <c r="E640" s="180">
        <f>(E623/E612)*SUM(C640:D640)</f>
        <v>9476.0489978647602</v>
      </c>
      <c r="F640" s="180">
        <f>(F624/F612)*BT64</f>
        <v>0</v>
      </c>
      <c r="G640" s="180">
        <f>(G625/G612)*BT77</f>
        <v>0</v>
      </c>
      <c r="H640" s="180">
        <f>(H628/H612)*BT60</f>
        <v>6719.9296924239998</v>
      </c>
      <c r="I640" s="180">
        <f>(I629/I612)*BT78</f>
        <v>6849.5972586044854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1044309.8700000001</v>
      </c>
      <c r="D642" s="180">
        <f>(D615/D612)*BV76</f>
        <v>30303.52361396149</v>
      </c>
      <c r="E642" s="180">
        <f>(E623/E612)*SUM(C642:D642)</f>
        <v>83476.155070962181</v>
      </c>
      <c r="F642" s="180">
        <f>(F624/F612)*BV64</f>
        <v>173.95320267755599</v>
      </c>
      <c r="G642" s="180">
        <f>(G625/G612)*BV77</f>
        <v>0</v>
      </c>
      <c r="H642" s="180">
        <f>(H628/H612)*BV60</f>
        <v>23519.753923484001</v>
      </c>
      <c r="I642" s="180">
        <f>(I629/I612)*BV78</f>
        <v>5619.3683187624283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477289.05000000005</v>
      </c>
      <c r="D643" s="180">
        <f>(D615/D612)*BW76</f>
        <v>351700.64058745984</v>
      </c>
      <c r="E643" s="180">
        <f>(E623/E612)*SUM(C643:D643)</f>
        <v>64396.063156241573</v>
      </c>
      <c r="F643" s="180">
        <f>(F624/F612)*BW64</f>
        <v>2745.4711072947653</v>
      </c>
      <c r="G643" s="180">
        <f>(G625/G612)*BW77</f>
        <v>0</v>
      </c>
      <c r="H643" s="180">
        <f>(H628/H612)*BW60</f>
        <v>6719.9296924239998</v>
      </c>
      <c r="I643" s="180">
        <f>(I629/I612)*BW78</f>
        <v>65218.007733433435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1487410.78</v>
      </c>
      <c r="D644" s="180">
        <f>(D615/D612)*BX76</f>
        <v>22770.444297496488</v>
      </c>
      <c r="E644" s="180">
        <f>(E623/E612)*SUM(C644:D644)</f>
        <v>117311.13981443632</v>
      </c>
      <c r="F644" s="180">
        <f>(F624/F612)*BX64</f>
        <v>571.35998893388864</v>
      </c>
      <c r="G644" s="180">
        <f>(G625/G612)*BX77</f>
        <v>0</v>
      </c>
      <c r="H644" s="180">
        <f>(H628/H612)*BX60</f>
        <v>57119.402385604</v>
      </c>
      <c r="I644" s="180">
        <f>(I629/I612)*BX78</f>
        <v>4222.4631999740277</v>
      </c>
      <c r="J644" s="180">
        <f>(J630/J612)*BX79</f>
        <v>0</v>
      </c>
      <c r="K644" s="180">
        <f>SUM(C631:J644)</f>
        <v>14637298.621915516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1101613.3999999999</v>
      </c>
      <c r="D645" s="180">
        <f>(D615/D612)*BY76</f>
        <v>37793.801343401123</v>
      </c>
      <c r="E645" s="180">
        <f>(E623/E612)*SUM(C645:D645)</f>
        <v>88509.349309748868</v>
      </c>
      <c r="F645" s="180">
        <f>(F624/F612)*BY64</f>
        <v>30.727395178179385</v>
      </c>
      <c r="G645" s="180">
        <f>(G625/G612)*BY77</f>
        <v>0</v>
      </c>
      <c r="H645" s="180">
        <f>(H628/H612)*BY60</f>
        <v>64175.3285626492</v>
      </c>
      <c r="I645" s="180">
        <f>(I629/I612)*BY78</f>
        <v>7008.336476648622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375941.46</v>
      </c>
      <c r="D647" s="180">
        <f>(D615/D612)*CA76</f>
        <v>10785.999930393073</v>
      </c>
      <c r="E647" s="180">
        <f>(E623/E612)*SUM(C647:D647)</f>
        <v>30041.056260039328</v>
      </c>
      <c r="F647" s="180">
        <f>(F624/F612)*CA64</f>
        <v>308.13753569686651</v>
      </c>
      <c r="G647" s="180">
        <f>(G625/G612)*CA77</f>
        <v>0</v>
      </c>
      <c r="H647" s="180">
        <f>(H628/H612)*CA60</f>
        <v>3359.9648462119999</v>
      </c>
      <c r="I647" s="180">
        <f>(I629/I612)*CA78</f>
        <v>2000.1141473561186</v>
      </c>
      <c r="J647" s="180">
        <f>(J630/J612)*CA79</f>
        <v>0</v>
      </c>
      <c r="K647" s="180">
        <v>0</v>
      </c>
      <c r="L647" s="180">
        <f>SUM(C645:K647)</f>
        <v>1721567.6758073235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45987643.68999999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4419878.6799999988</v>
      </c>
      <c r="D668" s="180">
        <f>(D615/D612)*C76</f>
        <v>352342.66439284035</v>
      </c>
      <c r="E668" s="180">
        <f>(E623/E612)*SUM(C668:D668)</f>
        <v>370706.98294367193</v>
      </c>
      <c r="F668" s="180">
        <f>(F624/F612)*C64</f>
        <v>14139.673676725271</v>
      </c>
      <c r="G668" s="180">
        <f>(G625/G612)*C77</f>
        <v>47879.781293161919</v>
      </c>
      <c r="H668" s="180">
        <f>(H628/H612)*C60</f>
        <v>143806.49541787361</v>
      </c>
      <c r="I668" s="180">
        <f>(I629/I612)*C78</f>
        <v>65337.062146966535</v>
      </c>
      <c r="J668" s="180">
        <f>(J630/J612)*C79</f>
        <v>52124.907026432178</v>
      </c>
      <c r="K668" s="180">
        <f>(K644/K612)*C75</f>
        <v>347045.56774025218</v>
      </c>
      <c r="L668" s="180">
        <f>(L647/L612)*C80</f>
        <v>256154.88730186134</v>
      </c>
      <c r="M668" s="180">
        <f>ROUND(SUM(D668:L668),0)</f>
        <v>1649538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25</v>
      </c>
      <c r="D669" s="180">
        <f>(D615/D612)*D76</f>
        <v>0</v>
      </c>
      <c r="E669" s="180">
        <f>(E623/E612)*SUM(C669:D669)</f>
        <v>1.9420043423763085</v>
      </c>
      <c r="F669" s="180">
        <f>(F624/F612)*D64</f>
        <v>1.0379614363854188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ref="M669:M713" si="23">ROUND(SUM(D669:L669),0)</f>
        <v>3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7236791.0999999996</v>
      </c>
      <c r="D670" s="180">
        <f>(D615/D612)*E76</f>
        <v>1191253.7700900794</v>
      </c>
      <c r="E670" s="180">
        <f>(E623/E612)*SUM(C670:D670)</f>
        <v>654691.98941829219</v>
      </c>
      <c r="F670" s="180">
        <f>(F624/F612)*E64</f>
        <v>19719.475769883757</v>
      </c>
      <c r="G670" s="180">
        <f>(G625/G612)*E77</f>
        <v>210562.03420375841</v>
      </c>
      <c r="H670" s="180">
        <f>(H628/H612)*E60</f>
        <v>301892.84143214818</v>
      </c>
      <c r="I670" s="180">
        <f>(I629/I612)*E78</f>
        <v>220901.4958302202</v>
      </c>
      <c r="J670" s="180">
        <f>(J630/J612)*E79</f>
        <v>92549.844409533995</v>
      </c>
      <c r="K670" s="180">
        <f>(K644/K612)*E75</f>
        <v>656948.00259891129</v>
      </c>
      <c r="L670" s="180">
        <f>(L647/L612)*E80</f>
        <v>503559.14180769637</v>
      </c>
      <c r="M670" s="180">
        <f t="shared" si="23"/>
        <v>3852079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6418280.9100000001</v>
      </c>
      <c r="D671" s="180">
        <f>(D615/D612)*F76</f>
        <v>565066.55190892599</v>
      </c>
      <c r="E671" s="180">
        <f>(E623/E612)*SUM(C671:D671)</f>
        <v>542467.64381398831</v>
      </c>
      <c r="F671" s="180">
        <f>(F624/F612)*F64</f>
        <v>20462.04832811857</v>
      </c>
      <c r="G671" s="180">
        <f>(G625/G612)*F77</f>
        <v>47520.069788853587</v>
      </c>
      <c r="H671" s="180">
        <f>(H628/H612)*F60</f>
        <v>162555.09925973657</v>
      </c>
      <c r="I671" s="180">
        <f>(I629/I612)*F78</f>
        <v>104783.75783093442</v>
      </c>
      <c r="J671" s="180">
        <f>(J630/J612)*F79</f>
        <v>57367.144035514073</v>
      </c>
      <c r="K671" s="180">
        <f>(K644/K612)*F75</f>
        <v>543546.75377693062</v>
      </c>
      <c r="L671" s="180">
        <f>(L647/L612)*F80</f>
        <v>258382.32110448618</v>
      </c>
      <c r="M671" s="180">
        <f t="shared" si="23"/>
        <v>2302151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3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3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3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1808497.3499999999</v>
      </c>
      <c r="D675" s="180">
        <f>(D615/D612)*J76</f>
        <v>144926.17366790058</v>
      </c>
      <c r="E675" s="180">
        <f>(E623/E612)*SUM(C675:D675)</f>
        <v>151742.27861852368</v>
      </c>
      <c r="F675" s="180">
        <f>(F624/F612)*J64</f>
        <v>4549.1234093953217</v>
      </c>
      <c r="G675" s="180">
        <f>(G625/G612)*J77</f>
        <v>3782.4209695451759</v>
      </c>
      <c r="H675" s="180">
        <f>(H628/H612)*J60</f>
        <v>54767.426993255598</v>
      </c>
      <c r="I675" s="180">
        <f>(I629/I612)*J78</f>
        <v>26874.549614872292</v>
      </c>
      <c r="J675" s="180">
        <f>(J630/J612)*J79</f>
        <v>30153.669650003412</v>
      </c>
      <c r="K675" s="180">
        <f>(K644/K612)*J75</f>
        <v>118239.12843751295</v>
      </c>
      <c r="L675" s="180">
        <f>(L647/L612)*J80</f>
        <v>129668.46779566273</v>
      </c>
      <c r="M675" s="180">
        <f t="shared" si="23"/>
        <v>664703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3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3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3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3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3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10213825.130000001</v>
      </c>
      <c r="D681" s="180">
        <f>(D615/D612)*P76</f>
        <v>931876.1527163412</v>
      </c>
      <c r="E681" s="180">
        <f>(E623/E612)*SUM(C681:D681)</f>
        <v>865800.01159457304</v>
      </c>
      <c r="F681" s="180">
        <f>(F624/F612)*P64</f>
        <v>291119.01660493214</v>
      </c>
      <c r="G681" s="180">
        <f>(G625/G612)*P77</f>
        <v>0</v>
      </c>
      <c r="H681" s="180">
        <f>(H628/H612)*P60</f>
        <v>101134.9418709812</v>
      </c>
      <c r="I681" s="180">
        <f>(I629/I612)*P78</f>
        <v>172803.51276284686</v>
      </c>
      <c r="J681" s="180">
        <f>(J630/J612)*P79</f>
        <v>31613.876269025106</v>
      </c>
      <c r="K681" s="180">
        <f>(K644/K612)*P75</f>
        <v>1472745.639864919</v>
      </c>
      <c r="L681" s="180">
        <f>(L647/L612)*P80</f>
        <v>81937.743453700983</v>
      </c>
      <c r="M681" s="180">
        <f t="shared" si="23"/>
        <v>3949031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795118.45000000007</v>
      </c>
      <c r="D682" s="180">
        <f>(D615/D612)*Q76</f>
        <v>143813.33240524097</v>
      </c>
      <c r="E682" s="180">
        <f>(E623/E612)*SUM(C682:D682)</f>
        <v>72936.383945044217</v>
      </c>
      <c r="F682" s="180">
        <f>(F624/F612)*Q64</f>
        <v>588.17371864960876</v>
      </c>
      <c r="G682" s="180">
        <f>(G625/G612)*Q77</f>
        <v>0</v>
      </c>
      <c r="H682" s="180">
        <f>(H628/H612)*Q60</f>
        <v>16799.82423106</v>
      </c>
      <c r="I682" s="180">
        <f>(I629/I612)*Q78</f>
        <v>26668.188631414912</v>
      </c>
      <c r="J682" s="180">
        <f>(J630/J612)*Q79</f>
        <v>0</v>
      </c>
      <c r="K682" s="180">
        <f>(K644/K612)*Q75</f>
        <v>93535.012553615161</v>
      </c>
      <c r="L682" s="180">
        <f>(L647/L612)*Q80</f>
        <v>39775.603618301451</v>
      </c>
      <c r="M682" s="180">
        <f t="shared" si="23"/>
        <v>394117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358428.98</v>
      </c>
      <c r="D683" s="180">
        <f>(D615/D612)*R76</f>
        <v>23626.476038003875</v>
      </c>
      <c r="E683" s="180">
        <f>(E623/E612)*SUM(C683:D683)</f>
        <v>29678.134186174571</v>
      </c>
      <c r="F683" s="180">
        <f>(F624/F612)*R64</f>
        <v>8853.229378778673</v>
      </c>
      <c r="G683" s="180">
        <f>(G625/G612)*R77</f>
        <v>0</v>
      </c>
      <c r="H683" s="180">
        <f>(H628/H612)*R60</f>
        <v>10079.894538635999</v>
      </c>
      <c r="I683" s="180">
        <f>(I629/I612)*R78</f>
        <v>4381.2024180181643</v>
      </c>
      <c r="J683" s="180">
        <f>(J630/J612)*R79</f>
        <v>0</v>
      </c>
      <c r="K683" s="180">
        <f>(K644/K612)*R75</f>
        <v>235071.77196574732</v>
      </c>
      <c r="L683" s="180">
        <f>(L647/L612)*R80</f>
        <v>15910.241447320579</v>
      </c>
      <c r="M683" s="180">
        <f t="shared" si="23"/>
        <v>327601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1477069.24</v>
      </c>
      <c r="D684" s="180">
        <f>(D615/D612)*S76</f>
        <v>208229.72087842182</v>
      </c>
      <c r="E684" s="180">
        <f>(E623/E612)*SUM(C684:D684)</f>
        <v>130914.31600912703</v>
      </c>
      <c r="F684" s="180">
        <f>(F624/F612)*S64</f>
        <v>37302.745112325138</v>
      </c>
      <c r="G684" s="180">
        <f>(G625/G612)*S77</f>
        <v>0</v>
      </c>
      <c r="H684" s="180">
        <f>(H628/H612)*S60</f>
        <v>23519.753923484001</v>
      </c>
      <c r="I684" s="180">
        <f>(I629/I612)*S78</f>
        <v>38613.314789236181</v>
      </c>
      <c r="J684" s="180">
        <f>(J630/J612)*S79</f>
        <v>0</v>
      </c>
      <c r="K684" s="180">
        <f>(K644/K612)*S75</f>
        <v>244192.57796503312</v>
      </c>
      <c r="L684" s="180">
        <f>(L647/L612)*S80</f>
        <v>0</v>
      </c>
      <c r="M684" s="180">
        <f t="shared" si="23"/>
        <v>682772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787036.12</v>
      </c>
      <c r="D685" s="180">
        <f>(D615/D612)*T76</f>
        <v>0</v>
      </c>
      <c r="E685" s="180">
        <f>(E623/E612)*SUM(C685:D685)</f>
        <v>61137.102505880059</v>
      </c>
      <c r="F685" s="180">
        <f>(F624/F612)*T64</f>
        <v>32131.388317706653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266221.38293541002</v>
      </c>
      <c r="L685" s="180">
        <f>(L647/L612)*T80</f>
        <v>0</v>
      </c>
      <c r="M685" s="180">
        <f t="shared" si="23"/>
        <v>359490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5852435.6100000003</v>
      </c>
      <c r="D686" s="180">
        <f>(D615/D612)*U76</f>
        <v>563654.09953708877</v>
      </c>
      <c r="E686" s="180">
        <f>(E623/E612)*SUM(C686:D686)</f>
        <v>498402.963079879</v>
      </c>
      <c r="F686" s="180">
        <f>(F624/F612)*U64</f>
        <v>74985.882331856803</v>
      </c>
      <c r="G686" s="180">
        <f>(G625/G612)*U77</f>
        <v>0</v>
      </c>
      <c r="H686" s="180">
        <f>(H628/H612)*U60</f>
        <v>120118.743252079</v>
      </c>
      <c r="I686" s="180">
        <f>(I629/I612)*U78</f>
        <v>104521.83812116159</v>
      </c>
      <c r="J686" s="180">
        <f>(J630/J612)*U79</f>
        <v>0</v>
      </c>
      <c r="K686" s="180">
        <f>(K644/K612)*U75</f>
        <v>1371526.1444538492</v>
      </c>
      <c r="L686" s="180">
        <f>(L647/L612)*U80</f>
        <v>0</v>
      </c>
      <c r="M686" s="180">
        <f t="shared" si="23"/>
        <v>2733210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87084.800000000003</v>
      </c>
      <c r="D687" s="180">
        <f>(D615/D612)*V76</f>
        <v>6420.2380538054003</v>
      </c>
      <c r="E687" s="180">
        <f>(E623/E612)*SUM(C687:D687)</f>
        <v>7263.4875973820826</v>
      </c>
      <c r="F687" s="180">
        <f>(F624/F612)*V64</f>
        <v>33.040388443020653</v>
      </c>
      <c r="G687" s="180">
        <f>(G625/G612)*V77</f>
        <v>0</v>
      </c>
      <c r="H687" s="180">
        <f>(H628/H612)*V60</f>
        <v>3359.9648462119999</v>
      </c>
      <c r="I687" s="180">
        <f>(I629/I612)*V78</f>
        <v>1190.5441353310227</v>
      </c>
      <c r="J687" s="180">
        <f>(J630/J612)*V79</f>
        <v>138.47418514555946</v>
      </c>
      <c r="K687" s="180">
        <f>(K644/K612)*V75</f>
        <v>9273.0717322746477</v>
      </c>
      <c r="L687" s="180">
        <f>(L647/L612)*V80</f>
        <v>0</v>
      </c>
      <c r="M687" s="180">
        <f t="shared" si="23"/>
        <v>27679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752910.19000000006</v>
      </c>
      <c r="D688" s="180">
        <f>(D615/D612)*W76</f>
        <v>237976.8238610535</v>
      </c>
      <c r="E688" s="180">
        <f>(E623/E612)*SUM(C688:D688)</f>
        <v>76972.275348898387</v>
      </c>
      <c r="F688" s="180">
        <f>(F624/F612)*W64</f>
        <v>303.43847668206246</v>
      </c>
      <c r="G688" s="180">
        <f>(G625/G612)*W77</f>
        <v>0</v>
      </c>
      <c r="H688" s="180">
        <f>(H628/H612)*W60</f>
        <v>10079.894538635999</v>
      </c>
      <c r="I688" s="180">
        <f>(I629/I612)*W78</f>
        <v>44129.502616269921</v>
      </c>
      <c r="J688" s="180">
        <f>(J630/J612)*W79</f>
        <v>1507.0973483831524</v>
      </c>
      <c r="K688" s="180">
        <f>(K644/K612)*W75</f>
        <v>251955.47051242754</v>
      </c>
      <c r="L688" s="180">
        <f>(L647/L612)*W80</f>
        <v>0</v>
      </c>
      <c r="M688" s="180">
        <f t="shared" si="23"/>
        <v>622925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1103952.57</v>
      </c>
      <c r="D689" s="180">
        <f>(D615/D612)*X76</f>
        <v>135681.0308704208</v>
      </c>
      <c r="E689" s="180">
        <f>(E623/E612)*SUM(C689:D689)</f>
        <v>96294.95343383748</v>
      </c>
      <c r="F689" s="180">
        <f>(F624/F612)*X64</f>
        <v>6920.7436424556599</v>
      </c>
      <c r="G689" s="180">
        <f>(G625/G612)*X77</f>
        <v>0</v>
      </c>
      <c r="H689" s="180">
        <f>(H628/H612)*X60</f>
        <v>16799.82423106</v>
      </c>
      <c r="I689" s="180">
        <f>(I629/I612)*X78</f>
        <v>25160.166059995616</v>
      </c>
      <c r="J689" s="180">
        <f>(J630/J612)*X79</f>
        <v>4839.2698036318525</v>
      </c>
      <c r="K689" s="180">
        <f>(K644/K612)*X75</f>
        <v>1096292.3169481196</v>
      </c>
      <c r="L689" s="180">
        <f>(L647/L612)*X80</f>
        <v>0</v>
      </c>
      <c r="M689" s="180">
        <f t="shared" si="23"/>
        <v>1381988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7775665.7899999991</v>
      </c>
      <c r="D690" s="180">
        <f>(D615/D612)*Y76</f>
        <v>813230.15348201734</v>
      </c>
      <c r="E690" s="180">
        <f>(E623/E612)*SUM(C690:D690)</f>
        <v>667186.9287384135</v>
      </c>
      <c r="F690" s="180">
        <f>(F624/F612)*Y64</f>
        <v>31641.173247577353</v>
      </c>
      <c r="G690" s="180">
        <f>(G625/G612)*Y77</f>
        <v>0</v>
      </c>
      <c r="H690" s="180">
        <f>(H628/H612)*Y60</f>
        <v>118102.76434435179</v>
      </c>
      <c r="I690" s="180">
        <f>(I629/I612)*Y78</f>
        <v>150802.25714192956</v>
      </c>
      <c r="J690" s="180">
        <f>(J630/J612)*Y79</f>
        <v>56183.885786783496</v>
      </c>
      <c r="K690" s="180">
        <f>(K644/K612)*Y75</f>
        <v>1142024.0041829995</v>
      </c>
      <c r="L690" s="180">
        <f>(L647/L612)*Y80</f>
        <v>31024.970822275129</v>
      </c>
      <c r="M690" s="180">
        <f t="shared" si="23"/>
        <v>3010196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8457579.7699999996</v>
      </c>
      <c r="D691" s="180">
        <f>(D615/D612)*Z76</f>
        <v>0</v>
      </c>
      <c r="E691" s="180">
        <f>(E623/E612)*SUM(C691:D691)</f>
        <v>656986.26557336084</v>
      </c>
      <c r="F691" s="180">
        <f>(F624/F612)*Z64</f>
        <v>351120.87144893064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1250291.4032220088</v>
      </c>
      <c r="L691" s="180">
        <f>(L647/L612)*Z80</f>
        <v>0</v>
      </c>
      <c r="M691" s="180">
        <f t="shared" si="23"/>
        <v>2258399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688169.64</v>
      </c>
      <c r="D692" s="180">
        <f>(D615/D612)*AA76</f>
        <v>181778.34009674357</v>
      </c>
      <c r="E692" s="180">
        <f>(E623/E612)*SUM(C692:D692)</f>
        <v>67577.710199574969</v>
      </c>
      <c r="F692" s="180">
        <f>(F624/F612)*AA64</f>
        <v>6989.4471402991594</v>
      </c>
      <c r="G692" s="180">
        <f>(G625/G612)*AA77</f>
        <v>0</v>
      </c>
      <c r="H692" s="180">
        <f>(H628/H612)*AA60</f>
        <v>10079.894538635999</v>
      </c>
      <c r="I692" s="180">
        <f>(I629/I612)*AA78</f>
        <v>33708.272951672363</v>
      </c>
      <c r="J692" s="180">
        <f>(J630/J612)*AA79</f>
        <v>9489.5113545253225</v>
      </c>
      <c r="K692" s="180">
        <f>(K644/K612)*AA75</f>
        <v>125369.57484624558</v>
      </c>
      <c r="L692" s="180">
        <f>(L647/L612)*AA80</f>
        <v>7955.1207236602895</v>
      </c>
      <c r="M692" s="180">
        <f t="shared" si="23"/>
        <v>442948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6616194.9800000004</v>
      </c>
      <c r="D693" s="180">
        <f>(D615/D612)*AB76</f>
        <v>239389.2762328907</v>
      </c>
      <c r="E693" s="180">
        <f>(E623/E612)*SUM(C693:D693)</f>
        <v>532542.97580523719</v>
      </c>
      <c r="F693" s="180">
        <f>(F624/F612)*AB64</f>
        <v>182089.27626738491</v>
      </c>
      <c r="G693" s="180">
        <f>(G625/G612)*AB77</f>
        <v>0</v>
      </c>
      <c r="H693" s="180">
        <f>(H628/H612)*AB60</f>
        <v>52247.453358596598</v>
      </c>
      <c r="I693" s="180">
        <f>(I629/I612)*AB78</f>
        <v>44391.422326042739</v>
      </c>
      <c r="J693" s="180">
        <f>(J630/J612)*AB79</f>
        <v>0</v>
      </c>
      <c r="K693" s="180">
        <f>(K644/K612)*AB75</f>
        <v>913339.34248337429</v>
      </c>
      <c r="L693" s="180">
        <f>(L647/L612)*AB80</f>
        <v>0</v>
      </c>
      <c r="M693" s="180">
        <f t="shared" si="23"/>
        <v>1964000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1850996.1500000001</v>
      </c>
      <c r="D694" s="180">
        <f>(D615/D612)*AC76</f>
        <v>173646.0385619234</v>
      </c>
      <c r="E694" s="180">
        <f>(E623/E612)*SUM(C694:D694)</f>
        <v>157274.55687782113</v>
      </c>
      <c r="F694" s="180">
        <f>(F624/F612)*AC64</f>
        <v>8091.9730995043474</v>
      </c>
      <c r="G694" s="180">
        <f>(G625/G612)*AC77</f>
        <v>0</v>
      </c>
      <c r="H694" s="180">
        <f>(H628/H612)*AC60</f>
        <v>72239.244193557999</v>
      </c>
      <c r="I694" s="180">
        <f>(I629/I612)*AC78</f>
        <v>32200.250380253066</v>
      </c>
      <c r="J694" s="180">
        <f>(J630/J612)*AC79</f>
        <v>0</v>
      </c>
      <c r="K694" s="180">
        <f>(K644/K612)*AC75</f>
        <v>621166.24802707962</v>
      </c>
      <c r="L694" s="180">
        <f>(L647/L612)*AC80</f>
        <v>0</v>
      </c>
      <c r="M694" s="180">
        <f t="shared" si="23"/>
        <v>1064618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3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704654.27</v>
      </c>
      <c r="D696" s="180">
        <f>(D615/D612)*AE76</f>
        <v>348961.3390178362</v>
      </c>
      <c r="E696" s="180">
        <f>(E623/E612)*SUM(C696:D696)</f>
        <v>81845.043516323873</v>
      </c>
      <c r="F696" s="180">
        <f>(F624/F612)*AE64</f>
        <v>35.169870125908979</v>
      </c>
      <c r="G696" s="180">
        <f>(G625/G612)*AE77</f>
        <v>0</v>
      </c>
      <c r="H696" s="180">
        <f>(H628/H612)*AE60</f>
        <v>25199.736346589998</v>
      </c>
      <c r="I696" s="180">
        <f>(I629/I612)*AE78</f>
        <v>64710.042235692199</v>
      </c>
      <c r="J696" s="180">
        <f>(J630/J612)*AE79</f>
        <v>3338.7664640651556</v>
      </c>
      <c r="K696" s="180">
        <f>(K644/K612)*AE75</f>
        <v>51419.834240420772</v>
      </c>
      <c r="L696" s="180">
        <f>(L647/L612)*AE80</f>
        <v>3977.5603618301448</v>
      </c>
      <c r="M696" s="180">
        <f t="shared" si="23"/>
        <v>579487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3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9486322.4400000032</v>
      </c>
      <c r="D698" s="180">
        <f>(D615/D612)*AG76</f>
        <v>535533.45686142112</v>
      </c>
      <c r="E698" s="180">
        <f>(E623/E612)*SUM(C698:D698)</f>
        <v>778499.50681498006</v>
      </c>
      <c r="F698" s="180">
        <f>(F624/F612)*AG64</f>
        <v>21836.950314875976</v>
      </c>
      <c r="G698" s="180">
        <f>(G625/G612)*AG77</f>
        <v>2774.1387226203092</v>
      </c>
      <c r="H698" s="180">
        <f>(H628/H612)*AG60</f>
        <v>180026.91646003895</v>
      </c>
      <c r="I698" s="180">
        <f>(I629/I612)*AG78</f>
        <v>99307.25480841173</v>
      </c>
      <c r="J698" s="180">
        <f>(J630/J612)*AG79</f>
        <v>55798.502604844005</v>
      </c>
      <c r="K698" s="180">
        <f>(K644/K612)*AG75</f>
        <v>1466847.432831452</v>
      </c>
      <c r="L698" s="180">
        <f>(L647/L612)*AG80</f>
        <v>195695.96980204314</v>
      </c>
      <c r="M698" s="180">
        <f t="shared" si="23"/>
        <v>3336320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3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3120044.6099999994</v>
      </c>
      <c r="D700" s="180">
        <f>(D615/D612)*AI76</f>
        <v>1083222.5644380471</v>
      </c>
      <c r="E700" s="180">
        <f>(E623/E612)*SUM(C700:D700)</f>
        <v>326510.52419705928</v>
      </c>
      <c r="F700" s="180">
        <f>(F624/F612)*AI64</f>
        <v>21719.392048144684</v>
      </c>
      <c r="G700" s="180">
        <f>(G625/G612)*AI77</f>
        <v>7199.6802604743189</v>
      </c>
      <c r="H700" s="180">
        <f>(H628/H612)*AI60</f>
        <v>85443.906039171154</v>
      </c>
      <c r="I700" s="180">
        <f>(I629/I612)*AI78</f>
        <v>200868.60651305018</v>
      </c>
      <c r="J700" s="180">
        <f>(J630/J612)*AI79</f>
        <v>61995.40555701936</v>
      </c>
      <c r="K700" s="180">
        <f>(K644/K612)*AI75</f>
        <v>305275.47588295763</v>
      </c>
      <c r="L700" s="180">
        <f>(L647/L612)*AI80</f>
        <v>134680.19385156871</v>
      </c>
      <c r="M700" s="180">
        <f t="shared" si="23"/>
        <v>2226916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1004081.7</v>
      </c>
      <c r="D701" s="180">
        <f>(D615/D612)*AJ76</f>
        <v>350544.99773777486</v>
      </c>
      <c r="E701" s="180">
        <f>(E623/E612)*SUM(C701:D701)</f>
        <v>105227.63717222551</v>
      </c>
      <c r="F701" s="180">
        <f>(F624/F612)*AJ64</f>
        <v>595.17829760691211</v>
      </c>
      <c r="G701" s="180">
        <f>(G625/G612)*AJ77</f>
        <v>0</v>
      </c>
      <c r="H701" s="180">
        <f>(H628/H612)*AJ60</f>
        <v>26879.718769695999</v>
      </c>
      <c r="I701" s="180">
        <f>(I629/I612)*AJ78</f>
        <v>65003.709789073844</v>
      </c>
      <c r="J701" s="180">
        <f>(J630/J612)*AJ79</f>
        <v>11740.266363875369</v>
      </c>
      <c r="K701" s="180">
        <f>(K644/K612)*AJ75</f>
        <v>156347.4321855561</v>
      </c>
      <c r="L701" s="180">
        <f>(L647/L612)*AJ80</f>
        <v>55685.845065622023</v>
      </c>
      <c r="M701" s="180">
        <f t="shared" si="23"/>
        <v>772025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3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134477.01</v>
      </c>
      <c r="D703" s="180">
        <f>(D615/D612)*AL76</f>
        <v>8560.3174050738671</v>
      </c>
      <c r="E703" s="180">
        <f>(E623/E612)*SUM(C703:D703)</f>
        <v>11111.164437702209</v>
      </c>
      <c r="F703" s="180">
        <f>(F624/F612)*AL64</f>
        <v>49.257082740531885</v>
      </c>
      <c r="G703" s="180">
        <f>(G625/G612)*AL77</f>
        <v>0</v>
      </c>
      <c r="H703" s="180">
        <f>(H628/H612)*AL60</f>
        <v>1679.9824231059999</v>
      </c>
      <c r="I703" s="180">
        <f>(I629/I612)*AL78</f>
        <v>1587.3921804413637</v>
      </c>
      <c r="J703" s="180">
        <f>(J630/J612)*AL79</f>
        <v>0</v>
      </c>
      <c r="K703" s="180">
        <f>(K644/K612)*AL75</f>
        <v>16640.853483518884</v>
      </c>
      <c r="L703" s="180">
        <f>(L647/L612)*AL80</f>
        <v>0</v>
      </c>
      <c r="M703" s="180">
        <f t="shared" si="23"/>
        <v>39629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3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3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3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35887869.309999995</v>
      </c>
      <c r="D707" s="180">
        <f>(D615/D612)*AP76</f>
        <v>4600186.16872562</v>
      </c>
      <c r="E707" s="180">
        <f>(E623/E612)*SUM(C707:D707)</f>
        <v>3145119.1821623212</v>
      </c>
      <c r="F707" s="180">
        <f>(F624/F612)*AP64</f>
        <v>39200.760979714934</v>
      </c>
      <c r="G707" s="180">
        <f>(G625/G612)*AP77</f>
        <v>0</v>
      </c>
      <c r="H707" s="180">
        <f>(H628/H612)*AP60</f>
        <v>818554.63583416748</v>
      </c>
      <c r="I707" s="180">
        <f>(I629/I612)*AP78</f>
        <v>853040.74688648223</v>
      </c>
      <c r="J707" s="180">
        <f>(J630/J612)*AP79</f>
        <v>0</v>
      </c>
      <c r="K707" s="180">
        <f>(K644/K612)*AP75</f>
        <v>1881984.1790448991</v>
      </c>
      <c r="L707" s="180">
        <f>(L647/L612)*AP80</f>
        <v>7159.6086512942611</v>
      </c>
      <c r="M707" s="180">
        <f t="shared" si="23"/>
        <v>11345245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3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7395.5199999999995</v>
      </c>
      <c r="D709" s="180">
        <f>(D615/D612)*AR76</f>
        <v>0</v>
      </c>
      <c r="E709" s="180">
        <f>(E623/E612)*SUM(C709:D709)</f>
        <v>574.48527816523347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3"/>
        <v>574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3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3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3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3"/>
        <v>0</v>
      </c>
      <c r="N713" s="199" t="s">
        <v>741</v>
      </c>
    </row>
    <row r="715" spans="1:15" ht="12.6" customHeight="1" x14ac:dyDescent="0.25">
      <c r="C715" s="180">
        <f>SUM(C614:C647)+SUM(C668:C713)</f>
        <v>163032429.00999999</v>
      </c>
      <c r="D715" s="180">
        <f>SUM(D616:D647)+SUM(D668:D713)</f>
        <v>20488606.089999996</v>
      </c>
      <c r="E715" s="180">
        <f>SUM(E624:E647)+SUM(E668:E713)</f>
        <v>11751526.763270203</v>
      </c>
      <c r="F715" s="180">
        <f>SUM(F625:F648)+SUM(F668:F713)</f>
        <v>1209108.7324434544</v>
      </c>
      <c r="G715" s="180">
        <f>SUM(G626:G647)+SUM(G668:G713)</f>
        <v>1874560.2022625585</v>
      </c>
      <c r="H715" s="180">
        <f>SUM(H629:H647)+SUM(H668:H713)</f>
        <v>3015266.0526391109</v>
      </c>
      <c r="I715" s="180">
        <f>SUM(I630:I647)+SUM(I668:I713)</f>
        <v>2664810.8120332328</v>
      </c>
      <c r="J715" s="180">
        <f>SUM(J631:J647)+SUM(J668:J713)</f>
        <v>468840.62085878203</v>
      </c>
      <c r="K715" s="180">
        <f>SUM(K668:K713)</f>
        <v>14637298.621915512</v>
      </c>
      <c r="L715" s="180">
        <f>SUM(L668:L713)</f>
        <v>1721567.6758073238</v>
      </c>
      <c r="M715" s="180">
        <f>SUM(M668:M713)</f>
        <v>45987644</v>
      </c>
      <c r="N715" s="198" t="s">
        <v>742</v>
      </c>
    </row>
    <row r="716" spans="1:15" ht="12.6" customHeight="1" x14ac:dyDescent="0.25">
      <c r="C716" s="180">
        <f>CE71</f>
        <v>163032429.01000002</v>
      </c>
      <c r="D716" s="180">
        <f>D615</f>
        <v>20488606.089999996</v>
      </c>
      <c r="E716" s="180">
        <f>E623</f>
        <v>11751526.763270205</v>
      </c>
      <c r="F716" s="180">
        <f>F624</f>
        <v>1209108.7324434542</v>
      </c>
      <c r="G716" s="180">
        <f>G625</f>
        <v>1874560.2022625585</v>
      </c>
      <c r="H716" s="180">
        <f>H628</f>
        <v>3015266.0526391109</v>
      </c>
      <c r="I716" s="180">
        <f>I629</f>
        <v>2664810.8120332328</v>
      </c>
      <c r="J716" s="180">
        <f>J630</f>
        <v>468840.62085878203</v>
      </c>
      <c r="K716" s="180">
        <f>K644</f>
        <v>14637298.621915516</v>
      </c>
      <c r="L716" s="180">
        <f>L647</f>
        <v>1721567.6758073235</v>
      </c>
      <c r="M716" s="180">
        <f>C648</f>
        <v>45987643.68999999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6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82" transitionEvaluation="1" transitionEntry="1" codeName="Sheet10">
    <pageSetUpPr autoPageBreaks="0" fitToPage="1"/>
  </sheetPr>
  <dimension ref="A1:CF817"/>
  <sheetViews>
    <sheetView showGridLines="0" topLeftCell="A482" zoomScale="90" zoomScaleNormal="90" workbookViewId="0">
      <selection activeCell="AG63" sqref="AG6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16981745</v>
      </c>
      <c r="C48" s="244">
        <f>ROUND(((B48/CE61)*C61),0)</f>
        <v>537099</v>
      </c>
      <c r="D48" s="244">
        <f>ROUND(((B48/CE61)*D61),0)</f>
        <v>283</v>
      </c>
      <c r="E48" s="195">
        <f>ROUND(((B48/CE61)*E61),0)</f>
        <v>1116624</v>
      </c>
      <c r="F48" s="195">
        <f>ROUND(((B48/CE61)*F61),0)</f>
        <v>991600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266227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386925</v>
      </c>
      <c r="Q48" s="195">
        <f>ROUND(((B48/CE61)*Q61),0)</f>
        <v>131716</v>
      </c>
      <c r="R48" s="195">
        <f>ROUND(((B48/CE61)*R61),0)</f>
        <v>29273</v>
      </c>
      <c r="S48" s="195">
        <f>ROUND(((B48/CE61)*S61),0)</f>
        <v>76433</v>
      </c>
      <c r="T48" s="195">
        <f>ROUND(((B48/CE61)*T61),0)</f>
        <v>286</v>
      </c>
      <c r="U48" s="195">
        <f>ROUND(((B48/CE61)*U61),0)</f>
        <v>357683</v>
      </c>
      <c r="V48" s="195">
        <f>ROUND(((B48/CE61)*V61),0)</f>
        <v>12750</v>
      </c>
      <c r="W48" s="195">
        <f>ROUND(((B48/CE61)*W61),0)</f>
        <v>69920</v>
      </c>
      <c r="X48" s="195">
        <f>ROUND(((B48/CE61)*X61),0)</f>
        <v>112515</v>
      </c>
      <c r="Y48" s="195">
        <f>ROUND(((B48/CE61)*Y61),0)</f>
        <v>693023</v>
      </c>
      <c r="Z48" s="195">
        <f>ROUND(((B48/CE61)*Z61),0)</f>
        <v>150</v>
      </c>
      <c r="AA48" s="195">
        <f>ROUND(((B48/CE61)*AA61),0)</f>
        <v>68215</v>
      </c>
      <c r="AB48" s="195">
        <f>ROUND(((B48/CE61)*AB61),0)</f>
        <v>395810</v>
      </c>
      <c r="AC48" s="195">
        <f>ROUND(((B48/CE61)*AC61),0)</f>
        <v>265832</v>
      </c>
      <c r="AD48" s="195">
        <f>ROUND(((B48/CE61)*AD61),0)</f>
        <v>0</v>
      </c>
      <c r="AE48" s="195">
        <f>ROUND(((B48/CE61)*AE61),0)</f>
        <v>144668</v>
      </c>
      <c r="AF48" s="195">
        <f>ROUND(((B48/CE61)*AF61),0)</f>
        <v>0</v>
      </c>
      <c r="AG48" s="195">
        <f>ROUND(((B48/CE61)*AG61),0)</f>
        <v>1643702</v>
      </c>
      <c r="AH48" s="195">
        <f>ROUND(((B48/CE61)*AH61),0)</f>
        <v>0</v>
      </c>
      <c r="AI48" s="195">
        <f>ROUND(((B48/CE61)*AI61),0)</f>
        <v>379283</v>
      </c>
      <c r="AJ48" s="195">
        <f>ROUND(((B48/CE61)*AJ61),0)</f>
        <v>209622</v>
      </c>
      <c r="AK48" s="195">
        <f>ROUND(((B48/CE61)*AK61),0)</f>
        <v>0</v>
      </c>
      <c r="AL48" s="195">
        <f>ROUND(((B48/CE61)*AL61),0)</f>
        <v>22413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5473710</v>
      </c>
      <c r="AQ48" s="195">
        <f>ROUND(((B48/CE61)*AQ61),0)</f>
        <v>0</v>
      </c>
      <c r="AR48" s="195">
        <f>ROUND(((B48/CE61)*AR61),0)</f>
        <v>210678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442342</v>
      </c>
      <c r="AX48" s="195">
        <f>ROUND(((B48/CE61)*AX61),0)</f>
        <v>0</v>
      </c>
      <c r="AY48" s="195">
        <f>ROUND(((B48/CE61)*AY61),0)</f>
        <v>208153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89486</v>
      </c>
      <c r="BE48" s="195">
        <f>ROUND(((B48/CE61)*BE61),0)</f>
        <v>159685</v>
      </c>
      <c r="BF48" s="195">
        <f>ROUND(((B48/CE61)*BF61),0)</f>
        <v>351947</v>
      </c>
      <c r="BG48" s="195">
        <f>ROUND(((B48/CE61)*BG61),0)</f>
        <v>49579</v>
      </c>
      <c r="BH48" s="195">
        <f>ROUND(((B48/CE61)*BH61),0)</f>
        <v>350762</v>
      </c>
      <c r="BI48" s="195">
        <f>ROUND(((B48/CE61)*BI61),0)</f>
        <v>0</v>
      </c>
      <c r="BJ48" s="195">
        <f>ROUND(((B48/CE61)*BJ61),0)</f>
        <v>100632</v>
      </c>
      <c r="BK48" s="195">
        <f>ROUND(((B48/CE61)*BK61),0)</f>
        <v>191888</v>
      </c>
      <c r="BL48" s="195">
        <f>ROUND(((B48/CE61)*BL61),0)</f>
        <v>165547</v>
      </c>
      <c r="BM48" s="195">
        <f>ROUND(((B48/CE61)*BM61),0)</f>
        <v>0</v>
      </c>
      <c r="BN48" s="195">
        <f>ROUND(((B48/CE61)*BN61),0)</f>
        <v>264731</v>
      </c>
      <c r="BO48" s="195">
        <f>ROUND(((B48/CE61)*BO61),0)</f>
        <v>20962</v>
      </c>
      <c r="BP48" s="195">
        <f>ROUND(((B48/CE61)*BP61),0)</f>
        <v>39314</v>
      </c>
      <c r="BQ48" s="195">
        <f>ROUND(((B48/CE61)*BQ61),0)</f>
        <v>0</v>
      </c>
      <c r="BR48" s="195">
        <f>ROUND(((B48/CE61)*BR61),0)</f>
        <v>81431</v>
      </c>
      <c r="BS48" s="195">
        <f>ROUND(((B48/CE61)*BS61),0)</f>
        <v>49898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139268</v>
      </c>
      <c r="BW48" s="195">
        <f>ROUND(((B48/CE61)*BW61),0)</f>
        <v>46978</v>
      </c>
      <c r="BX48" s="195">
        <f>ROUND(((B48/CE61)*BX61),0)</f>
        <v>272201</v>
      </c>
      <c r="BY48" s="195">
        <f>ROUND(((B48/CE61)*BY61),0)</f>
        <v>303339</v>
      </c>
      <c r="BZ48" s="195">
        <f>ROUND(((B48/CE61)*BZ61),0)</f>
        <v>0</v>
      </c>
      <c r="CA48" s="195">
        <f>ROUND(((B48/CE61)*CA61),0)</f>
        <v>44634</v>
      </c>
      <c r="CB48" s="195">
        <f>ROUND(((B48/CE61)*CB61),0)</f>
        <v>7129</v>
      </c>
      <c r="CC48" s="195">
        <f>ROUND(((B48/CE61)*CC61),0)</f>
        <v>5397</v>
      </c>
      <c r="CD48" s="195"/>
      <c r="CE48" s="195">
        <f>SUM(C48:CD48)</f>
        <v>16981743</v>
      </c>
    </row>
    <row r="49" spans="1:84" ht="12.6" customHeight="1" x14ac:dyDescent="0.25">
      <c r="A49" s="175" t="s">
        <v>206</v>
      </c>
      <c r="B49" s="195">
        <f>B47+B48</f>
        <v>16981745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9954951.6899999995</v>
      </c>
      <c r="C52" s="195">
        <f>ROUND((B52/(CE76+CF76)*C76),0)</f>
        <v>136032</v>
      </c>
      <c r="D52" s="195">
        <f>ROUND((B52/(CE76+CF76)*D76),0)</f>
        <v>0</v>
      </c>
      <c r="E52" s="195">
        <f>ROUND((B52/(CE76+CF76)*E76),0)</f>
        <v>549729</v>
      </c>
      <c r="F52" s="195">
        <f>ROUND((B52/(CE76+CF76)*F76),0)</f>
        <v>218160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55953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371129</v>
      </c>
      <c r="Q52" s="195">
        <f>ROUND((B52/(CE76+CF76)*Q76),0)</f>
        <v>55523</v>
      </c>
      <c r="R52" s="195">
        <f>ROUND((B52/(CE76+CF76)*R76),0)</f>
        <v>10344</v>
      </c>
      <c r="S52" s="195">
        <f>ROUND((B52/(CE76+CF76)*S76),0)</f>
        <v>80393</v>
      </c>
      <c r="T52" s="195">
        <f>ROUND((B52/(CE76+CF76)*T76),0)</f>
        <v>0</v>
      </c>
      <c r="U52" s="195">
        <f>ROUND((B52/(CE76+CF76)*U76),0)</f>
        <v>256497</v>
      </c>
      <c r="V52" s="195">
        <f>ROUND((B52/(CE76+CF76)*V76),0)</f>
        <v>4511</v>
      </c>
      <c r="W52" s="195">
        <f>ROUND((B52/(CE76+CF76)*W76),0)</f>
        <v>105279</v>
      </c>
      <c r="X52" s="195">
        <f>ROUND((B52/(CE76+CF76)*X76),0)</f>
        <v>60398</v>
      </c>
      <c r="Y52" s="195">
        <f>ROUND((B52/(CE76+CF76)*Y76),0)</f>
        <v>395404</v>
      </c>
      <c r="Z52" s="195">
        <f>ROUND((B52/(CE76+CF76)*Z76),0)</f>
        <v>0</v>
      </c>
      <c r="AA52" s="195">
        <f>ROUND((B52/(CE76+CF76)*AA76),0)</f>
        <v>104883</v>
      </c>
      <c r="AB52" s="195">
        <f>ROUND((B52/(CE76+CF76)*AB76),0)</f>
        <v>116714</v>
      </c>
      <c r="AC52" s="195">
        <f>ROUND((B52/(CE76+CF76)*AC76),0)</f>
        <v>79236</v>
      </c>
      <c r="AD52" s="195">
        <f>ROUND((B52/(CE76+CF76)*AD76),0)</f>
        <v>0</v>
      </c>
      <c r="AE52" s="195">
        <f>ROUND((B52/(CE76+CF76)*AE76),0)</f>
        <v>148210</v>
      </c>
      <c r="AF52" s="195">
        <f>ROUND((B52/(CE76+CF76)*AF76),0)</f>
        <v>0</v>
      </c>
      <c r="AG52" s="195">
        <f>ROUND((B52/(CE76+CF76)*AG76),0)</f>
        <v>206758</v>
      </c>
      <c r="AH52" s="195">
        <f>ROUND((B52/(CE76+CF76)*AH76),0)</f>
        <v>0</v>
      </c>
      <c r="AI52" s="195">
        <f>ROUND((B52/(CE76+CF76)*AI76),0)</f>
        <v>418208</v>
      </c>
      <c r="AJ52" s="195">
        <f>ROUND((B52/(CE76+CF76)*AJ76),0)</f>
        <v>150623</v>
      </c>
      <c r="AK52" s="195">
        <f>ROUND((B52/(CE76+CF76)*AK76),0)</f>
        <v>0</v>
      </c>
      <c r="AL52" s="195">
        <f>ROUND((B52/(CE76+CF76)*AL76),0)</f>
        <v>3305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1764628</v>
      </c>
      <c r="AQ52" s="195">
        <f>ROUND((B52/(CE76+CF76)*AQ76),0)</f>
        <v>0</v>
      </c>
      <c r="AR52" s="195">
        <f>ROUND((B52/(CE76+CF76)*AR76),0)</f>
        <v>70048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23052</v>
      </c>
      <c r="AX52" s="195">
        <f>ROUND((B52/(CE76+CF76)*AX76),0)</f>
        <v>0</v>
      </c>
      <c r="AY52" s="195">
        <f>ROUND((B52/(CE76+CF76)*AY76),0)</f>
        <v>171841</v>
      </c>
      <c r="AZ52" s="195">
        <f>ROUND((B52/(CE76+CF76)*AZ76),0)</f>
        <v>0</v>
      </c>
      <c r="BA52" s="195">
        <f>ROUND((B52/(CE76+CF76)*BA76),0)</f>
        <v>28257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131107</v>
      </c>
      <c r="BE52" s="195">
        <f>ROUND((B52/(CE76+CF76)*BE76),0)</f>
        <v>843654</v>
      </c>
      <c r="BF52" s="195">
        <f>ROUND((B52/(CE76+CF76)*BF76),0)</f>
        <v>46021</v>
      </c>
      <c r="BG52" s="195">
        <f>ROUND((B52/(CE76+CF76)*BG76),0)</f>
        <v>27811</v>
      </c>
      <c r="BH52" s="195">
        <f>ROUND((B52/(CE76+CF76)*BH76),0)</f>
        <v>133156</v>
      </c>
      <c r="BI52" s="195">
        <f>ROUND((B52/(CE76+CF76)*BI76),0)</f>
        <v>0</v>
      </c>
      <c r="BJ52" s="195">
        <f>ROUND((B52/(CE76+CF76)*BJ76),0)</f>
        <v>42138</v>
      </c>
      <c r="BK52" s="195">
        <f>ROUND((B52/(CE76+CF76)*BK76),0)</f>
        <v>98719</v>
      </c>
      <c r="BL52" s="195">
        <f>ROUND((B52/(CE76+CF76)*BL76),0)</f>
        <v>96769</v>
      </c>
      <c r="BM52" s="195">
        <f>ROUND((B52/(CE76+CF76)*BM76),0)</f>
        <v>0</v>
      </c>
      <c r="BN52" s="195">
        <f>ROUND((B52/(CE76+CF76)*BN76),0)</f>
        <v>91332</v>
      </c>
      <c r="BO52" s="195">
        <f>ROUND((B52/(CE76+CF76)*BO76),0)</f>
        <v>3487</v>
      </c>
      <c r="BP52" s="195">
        <f>ROUND((B52/(CE76+CF76)*BP76),0)</f>
        <v>21780</v>
      </c>
      <c r="BQ52" s="195">
        <f>ROUND((B52/(CE76+CF76)*BQ76),0)</f>
        <v>0</v>
      </c>
      <c r="BR52" s="195">
        <f>ROUND((B52/(CE76+CF76)*BR76),0)</f>
        <v>56349</v>
      </c>
      <c r="BS52" s="195">
        <f>ROUND((B52/(CE76+CF76)*BS76),0)</f>
        <v>79765</v>
      </c>
      <c r="BT52" s="195">
        <f>ROUND((B52/(CE76+CF76)*BT76),0)</f>
        <v>14261</v>
      </c>
      <c r="BU52" s="195">
        <f>ROUND((B52/(CE76+CF76)*BU76),0)</f>
        <v>0</v>
      </c>
      <c r="BV52" s="195">
        <f>ROUND((B52/(CE76+CF76)*BV76),0)</f>
        <v>14872</v>
      </c>
      <c r="BW52" s="195">
        <f>ROUND((B52/(CE76+CF76)*BW76),0)</f>
        <v>62579</v>
      </c>
      <c r="BX52" s="195">
        <f>ROUND((B52/(CE76+CF76)*BX76),0)</f>
        <v>11700</v>
      </c>
      <c r="BY52" s="195">
        <f>ROUND((B52/(CE76+CF76)*BY76),0)</f>
        <v>53722</v>
      </c>
      <c r="BZ52" s="195">
        <f>ROUND((B52/(CE76+CF76)*BZ76),0)</f>
        <v>0</v>
      </c>
      <c r="CA52" s="195">
        <f>ROUND((B52/(CE76+CF76)*CA76),0)</f>
        <v>36387</v>
      </c>
      <c r="CB52" s="195">
        <f>ROUND((B52/(CE76+CF76)*CB76),0)</f>
        <v>5106</v>
      </c>
      <c r="CC52" s="195">
        <f>ROUND((B52/(CE76+CF76)*CC76),0)</f>
        <v>2499120</v>
      </c>
      <c r="CD52" s="195"/>
      <c r="CE52" s="195">
        <f>SUM(C52:CD52)</f>
        <v>9954950</v>
      </c>
    </row>
    <row r="53" spans="1:84" ht="12.6" customHeight="1" x14ac:dyDescent="0.25">
      <c r="A53" s="175" t="s">
        <v>206</v>
      </c>
      <c r="B53" s="195">
        <f>B51+B52</f>
        <v>9954951.6899999995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2703</v>
      </c>
      <c r="D59" s="184"/>
      <c r="E59" s="184">
        <f>7656+4324+16</f>
        <v>11996</v>
      </c>
      <c r="F59" s="184">
        <v>3043</v>
      </c>
      <c r="G59" s="184"/>
      <c r="H59" s="184"/>
      <c r="I59" s="184"/>
      <c r="J59" s="184">
        <f>1423+1935</f>
        <v>3358</v>
      </c>
      <c r="K59" s="184"/>
      <c r="L59" s="184"/>
      <c r="M59" s="184"/>
      <c r="N59" s="184"/>
      <c r="O59" s="184"/>
      <c r="P59" s="185">
        <v>287949</v>
      </c>
      <c r="Q59" s="185">
        <v>130439</v>
      </c>
      <c r="R59" s="185"/>
      <c r="S59" s="247"/>
      <c r="T59" s="247"/>
      <c r="U59" s="224">
        <f>292154+37582+10142</f>
        <v>339878</v>
      </c>
      <c r="V59" s="185">
        <v>466</v>
      </c>
      <c r="W59" s="185">
        <f>1098+1547</f>
        <v>2645</v>
      </c>
      <c r="X59" s="185">
        <f>8741+2557+221</f>
        <v>11519</v>
      </c>
      <c r="Y59" s="185">
        <f>18869+89+11809+973+7612+4120+7724</f>
        <v>51196</v>
      </c>
      <c r="Z59" s="185">
        <v>468114</v>
      </c>
      <c r="AA59" s="185">
        <f>1670+177</f>
        <v>1847</v>
      </c>
      <c r="AB59" s="247"/>
      <c r="AC59" s="185">
        <v>63081</v>
      </c>
      <c r="AD59" s="185"/>
      <c r="AE59" s="185">
        <f>4587+16571</f>
        <v>21158</v>
      </c>
      <c r="AF59" s="185"/>
      <c r="AG59" s="185">
        <v>27043</v>
      </c>
      <c r="AH59" s="185"/>
      <c r="AI59" s="185">
        <f>15376+11719</f>
        <v>27095</v>
      </c>
      <c r="AJ59" s="185">
        <f>1768+2494+4525</f>
        <v>8787</v>
      </c>
      <c r="AK59" s="185"/>
      <c r="AL59" s="185">
        <v>3311</v>
      </c>
      <c r="AM59" s="185"/>
      <c r="AN59" s="185"/>
      <c r="AO59" s="185"/>
      <c r="AP59" s="185">
        <f>842+196262+7270+4042</f>
        <v>208416</v>
      </c>
      <c r="AQ59" s="185"/>
      <c r="AR59" s="185">
        <v>11432</v>
      </c>
      <c r="AS59" s="185"/>
      <c r="AT59" s="185"/>
      <c r="AU59" s="185"/>
      <c r="AV59" s="247"/>
      <c r="AW59" s="247"/>
      <c r="AX59" s="247"/>
      <c r="AY59" s="185">
        <v>333727</v>
      </c>
      <c r="AZ59" s="185"/>
      <c r="BA59" s="247"/>
      <c r="BB59" s="247"/>
      <c r="BC59" s="247"/>
      <c r="BD59" s="247"/>
      <c r="BE59" s="185">
        <v>602427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f>24.4+4.2</f>
        <v>28.599999999999998</v>
      </c>
      <c r="D60" s="187"/>
      <c r="E60" s="187">
        <f>36.5+24.75</f>
        <v>61.25</v>
      </c>
      <c r="F60" s="223">
        <v>46.48</v>
      </c>
      <c r="G60" s="187"/>
      <c r="H60" s="187"/>
      <c r="I60" s="187"/>
      <c r="J60" s="223">
        <v>12.9</v>
      </c>
      <c r="K60" s="187"/>
      <c r="L60" s="187"/>
      <c r="M60" s="187"/>
      <c r="N60" s="187"/>
      <c r="O60" s="187"/>
      <c r="P60" s="221">
        <v>27</v>
      </c>
      <c r="Q60" s="221">
        <v>6</v>
      </c>
      <c r="R60" s="221">
        <v>1</v>
      </c>
      <c r="S60" s="221">
        <v>7</v>
      </c>
      <c r="T60" s="221"/>
      <c r="U60" s="221">
        <f>23.95+0.8+3</f>
        <v>27.75</v>
      </c>
      <c r="V60" s="221">
        <v>1</v>
      </c>
      <c r="W60" s="221">
        <v>3</v>
      </c>
      <c r="X60" s="221">
        <v>5</v>
      </c>
      <c r="Y60" s="221">
        <f>16.9+8+5+2</f>
        <v>31.9</v>
      </c>
      <c r="Z60" s="221"/>
      <c r="AA60" s="221">
        <v>3</v>
      </c>
      <c r="AB60" s="221">
        <v>13.25</v>
      </c>
      <c r="AC60" s="221">
        <v>13.5</v>
      </c>
      <c r="AD60" s="221"/>
      <c r="AE60" s="221">
        <f>2.6+4.6</f>
        <v>7.1999999999999993</v>
      </c>
      <c r="AF60" s="221"/>
      <c r="AG60" s="221">
        <f>29.73+11.5+1.5+1.5+1</f>
        <v>45.230000000000004</v>
      </c>
      <c r="AH60" s="221"/>
      <c r="AI60" s="221">
        <f>13.53+6.2</f>
        <v>19.73</v>
      </c>
      <c r="AJ60" s="221">
        <f>1.5+6.9+3.7</f>
        <v>12.100000000000001</v>
      </c>
      <c r="AK60" s="221"/>
      <c r="AL60" s="221"/>
      <c r="AM60" s="221"/>
      <c r="AN60" s="221"/>
      <c r="AO60" s="221"/>
      <c r="AP60" s="221">
        <f>180.98+7+2.8+2</f>
        <v>192.78</v>
      </c>
      <c r="AQ60" s="221"/>
      <c r="AR60" s="221"/>
      <c r="AS60" s="221"/>
      <c r="AT60" s="221"/>
      <c r="AU60" s="221"/>
      <c r="AV60" s="221"/>
      <c r="AW60" s="221">
        <v>26.7</v>
      </c>
      <c r="AX60" s="221"/>
      <c r="AY60" s="221">
        <v>24.33</v>
      </c>
      <c r="AZ60" s="221"/>
      <c r="BA60" s="221"/>
      <c r="BB60" s="221"/>
      <c r="BC60" s="221"/>
      <c r="BD60" s="221">
        <v>6.4</v>
      </c>
      <c r="BE60" s="221">
        <v>7.45</v>
      </c>
      <c r="BF60" s="221">
        <v>37.4</v>
      </c>
      <c r="BG60" s="221">
        <v>3</v>
      </c>
      <c r="BH60" s="221">
        <v>19.600000000000001</v>
      </c>
      <c r="BI60" s="221"/>
      <c r="BJ60" s="221">
        <v>6</v>
      </c>
      <c r="BK60" s="221">
        <f>15.5+2</f>
        <v>17.5</v>
      </c>
      <c r="BL60" s="221">
        <v>19.07</v>
      </c>
      <c r="BM60" s="221"/>
      <c r="BN60" s="221">
        <v>3</v>
      </c>
      <c r="BO60" s="221">
        <v>1</v>
      </c>
      <c r="BP60" s="221"/>
      <c r="BQ60" s="221"/>
      <c r="BR60" s="221">
        <v>4</v>
      </c>
      <c r="BS60" s="221">
        <v>1</v>
      </c>
      <c r="BT60" s="221"/>
      <c r="BU60" s="221"/>
      <c r="BV60" s="221">
        <v>5</v>
      </c>
      <c r="BW60" s="221">
        <v>2</v>
      </c>
      <c r="BX60" s="221">
        <f>5+3</f>
        <v>8</v>
      </c>
      <c r="BY60" s="221">
        <v>14.9</v>
      </c>
      <c r="BZ60" s="221"/>
      <c r="CA60" s="221">
        <v>2</v>
      </c>
      <c r="CB60" s="221">
        <v>1</v>
      </c>
      <c r="CC60" s="221"/>
      <c r="CD60" s="248" t="s">
        <v>221</v>
      </c>
      <c r="CE60" s="250">
        <f t="shared" ref="CE60:CE70" si="0">SUM(C60:CD60)</f>
        <v>775.02000000000021</v>
      </c>
    </row>
    <row r="61" spans="1:84" ht="12.6" customHeight="1" x14ac:dyDescent="0.25">
      <c r="A61" s="171" t="s">
        <v>235</v>
      </c>
      <c r="B61" s="175"/>
      <c r="C61" s="184">
        <f>2087354.13+231719.34+44392.31</f>
        <v>2363465.7799999998</v>
      </c>
      <c r="D61" s="184">
        <v>1244.23</v>
      </c>
      <c r="E61" s="184">
        <f>3010621.81+1900376.32+2623.66</f>
        <v>4913621.79</v>
      </c>
      <c r="F61" s="185">
        <v>4363464.29</v>
      </c>
      <c r="G61" s="184"/>
      <c r="H61" s="184"/>
      <c r="I61" s="185"/>
      <c r="J61" s="185">
        <v>1171513.1100000001</v>
      </c>
      <c r="K61" s="185"/>
      <c r="L61" s="185"/>
      <c r="M61" s="184"/>
      <c r="N61" s="184"/>
      <c r="O61" s="184"/>
      <c r="P61" s="185">
        <f>1697504.77+5130.19</f>
        <v>1702634.96</v>
      </c>
      <c r="Q61" s="185">
        <v>579607.69999999995</v>
      </c>
      <c r="R61" s="185">
        <v>128814.13</v>
      </c>
      <c r="S61" s="185">
        <v>336337.94</v>
      </c>
      <c r="T61" s="185">
        <v>1257.52</v>
      </c>
      <c r="U61" s="185">
        <f>1112165.28+228557.81+184006.56+49230.23</f>
        <v>1573959.8800000001</v>
      </c>
      <c r="V61" s="185">
        <v>56103.51</v>
      </c>
      <c r="W61" s="185">
        <f>204978.15+102700.84</f>
        <v>307678.99</v>
      </c>
      <c r="X61" s="185">
        <f>391782.13+66357.19+36976.14</f>
        <v>495115.46</v>
      </c>
      <c r="Y61" s="185">
        <f>1003734.13+254.13+740119.88+478967.57+231459.09+154380.73+181505.83+259175.11</f>
        <v>3049596.4699999997</v>
      </c>
      <c r="Z61" s="185">
        <v>662</v>
      </c>
      <c r="AA61" s="185">
        <f>274131.98+26043.76</f>
        <v>300175.74</v>
      </c>
      <c r="AB61" s="185">
        <f>1545264.36+196469.42</f>
        <v>1741733.78</v>
      </c>
      <c r="AC61" s="185">
        <v>1169776.0900000001</v>
      </c>
      <c r="AD61" s="185"/>
      <c r="AE61" s="185">
        <v>636599.9</v>
      </c>
      <c r="AF61" s="185"/>
      <c r="AG61" s="185">
        <f>3006091.46+2709488.51+705948.68+683568.89+118544.35+9350</f>
        <v>7232991.8899999987</v>
      </c>
      <c r="AH61" s="185"/>
      <c r="AI61" s="185">
        <f>3526.12+1269340.15+396140.31</f>
        <v>1669006.58</v>
      </c>
      <c r="AJ61" s="185">
        <f>120520.88+509374.17+292348.66+180.63</f>
        <v>922424.34</v>
      </c>
      <c r="AK61" s="185"/>
      <c r="AL61" s="185">
        <v>98626.3</v>
      </c>
      <c r="AM61" s="185"/>
      <c r="AN61" s="185"/>
      <c r="AO61" s="185"/>
      <c r="AP61" s="185">
        <f>406114.58+242240.76+1098494.88+2399982.04+1420627.77+269267.54+1633158.34+3117567.31+4796624.71+1756564.01+578195.3+2895342.86+2697326.41+409488.66+3357.86+184664.63+173273.46+188+4182</f>
        <v>24086661.120000001</v>
      </c>
      <c r="AQ61" s="185"/>
      <c r="AR61" s="185">
        <v>927074.43</v>
      </c>
      <c r="AS61" s="185"/>
      <c r="AT61" s="185"/>
      <c r="AU61" s="185"/>
      <c r="AV61" s="185"/>
      <c r="AW61" s="185">
        <v>1946495.24</v>
      </c>
      <c r="AX61" s="185"/>
      <c r="AY61" s="185">
        <v>915963.58</v>
      </c>
      <c r="AZ61" s="185"/>
      <c r="BA61" s="185"/>
      <c r="BB61" s="185"/>
      <c r="BC61" s="185"/>
      <c r="BD61" s="185">
        <v>393776.59</v>
      </c>
      <c r="BE61" s="185">
        <f>660504.09+11802.51+30374.85</f>
        <v>702681.45</v>
      </c>
      <c r="BF61" s="185">
        <v>1548715</v>
      </c>
      <c r="BG61" s="185">
        <v>218166.79</v>
      </c>
      <c r="BH61" s="185">
        <v>1543502.37</v>
      </c>
      <c r="BI61" s="185"/>
      <c r="BJ61" s="185">
        <v>442825.01</v>
      </c>
      <c r="BK61" s="185">
        <f>389576.66+454810.66</f>
        <v>844387.32</v>
      </c>
      <c r="BL61" s="185">
        <v>728476.51</v>
      </c>
      <c r="BM61" s="185"/>
      <c r="BN61" s="185">
        <f>1146800.77+18130.56</f>
        <v>1164931.33</v>
      </c>
      <c r="BO61" s="185">
        <v>92243.37</v>
      </c>
      <c r="BP61" s="185">
        <v>172999.58</v>
      </c>
      <c r="BQ61" s="185"/>
      <c r="BR61" s="185">
        <f>313791.45+44540</f>
        <v>358331.45</v>
      </c>
      <c r="BS61" s="185">
        <f>69131.56+150439.32</f>
        <v>219570.88</v>
      </c>
      <c r="BT61" s="185"/>
      <c r="BU61" s="185"/>
      <c r="BV61" s="185">
        <v>612839.38</v>
      </c>
      <c r="BW61" s="185">
        <v>206722.82</v>
      </c>
      <c r="BX61" s="185">
        <f>593.68+233.73+105.04+559957.67+2178.09+634732.56</f>
        <v>1197800.77</v>
      </c>
      <c r="BY61" s="185">
        <v>1334823.27</v>
      </c>
      <c r="BZ61" s="185"/>
      <c r="CA61" s="185">
        <v>196407.23</v>
      </c>
      <c r="CB61" s="185">
        <v>31368.639999999999</v>
      </c>
      <c r="CC61" s="185">
        <v>23750</v>
      </c>
      <c r="CD61" s="248" t="s">
        <v>221</v>
      </c>
      <c r="CE61" s="195">
        <f t="shared" si="0"/>
        <v>74726926.50999999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537099</v>
      </c>
      <c r="D62" s="195">
        <f t="shared" si="1"/>
        <v>283</v>
      </c>
      <c r="E62" s="195">
        <f t="shared" si="1"/>
        <v>1116624</v>
      </c>
      <c r="F62" s="195">
        <f t="shared" si="1"/>
        <v>991600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266227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386925</v>
      </c>
      <c r="Q62" s="195">
        <f t="shared" si="1"/>
        <v>131716</v>
      </c>
      <c r="R62" s="195">
        <f t="shared" si="1"/>
        <v>29273</v>
      </c>
      <c r="S62" s="195">
        <f t="shared" si="1"/>
        <v>76433</v>
      </c>
      <c r="T62" s="195">
        <f t="shared" si="1"/>
        <v>286</v>
      </c>
      <c r="U62" s="195">
        <f t="shared" si="1"/>
        <v>357683</v>
      </c>
      <c r="V62" s="195">
        <f t="shared" si="1"/>
        <v>12750</v>
      </c>
      <c r="W62" s="195">
        <f t="shared" si="1"/>
        <v>69920</v>
      </c>
      <c r="X62" s="195">
        <f t="shared" si="1"/>
        <v>112515</v>
      </c>
      <c r="Y62" s="195">
        <f t="shared" si="1"/>
        <v>693023</v>
      </c>
      <c r="Z62" s="195">
        <f t="shared" si="1"/>
        <v>150</v>
      </c>
      <c r="AA62" s="195">
        <f t="shared" si="1"/>
        <v>68215</v>
      </c>
      <c r="AB62" s="195">
        <f t="shared" si="1"/>
        <v>395810</v>
      </c>
      <c r="AC62" s="195">
        <f t="shared" si="1"/>
        <v>265832</v>
      </c>
      <c r="AD62" s="195">
        <f t="shared" si="1"/>
        <v>0</v>
      </c>
      <c r="AE62" s="195">
        <f t="shared" si="1"/>
        <v>144668</v>
      </c>
      <c r="AF62" s="195">
        <f t="shared" si="1"/>
        <v>0</v>
      </c>
      <c r="AG62" s="195">
        <f t="shared" si="1"/>
        <v>1643702</v>
      </c>
      <c r="AH62" s="195">
        <f t="shared" si="1"/>
        <v>0</v>
      </c>
      <c r="AI62" s="195">
        <f t="shared" si="1"/>
        <v>379283</v>
      </c>
      <c r="AJ62" s="195">
        <f t="shared" si="1"/>
        <v>209622</v>
      </c>
      <c r="AK62" s="195">
        <f t="shared" si="1"/>
        <v>0</v>
      </c>
      <c r="AL62" s="195">
        <f t="shared" si="1"/>
        <v>22413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5473710</v>
      </c>
      <c r="AQ62" s="195">
        <f t="shared" si="1"/>
        <v>0</v>
      </c>
      <c r="AR62" s="195">
        <f t="shared" si="1"/>
        <v>210678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442342</v>
      </c>
      <c r="AX62" s="195">
        <f t="shared" si="1"/>
        <v>0</v>
      </c>
      <c r="AY62" s="195">
        <f>ROUND(AY47+AY48,0)</f>
        <v>208153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89486</v>
      </c>
      <c r="BE62" s="195">
        <f t="shared" si="1"/>
        <v>159685</v>
      </c>
      <c r="BF62" s="195">
        <f t="shared" si="1"/>
        <v>351947</v>
      </c>
      <c r="BG62" s="195">
        <f t="shared" si="1"/>
        <v>49579</v>
      </c>
      <c r="BH62" s="195">
        <f t="shared" si="1"/>
        <v>350762</v>
      </c>
      <c r="BI62" s="195">
        <f t="shared" si="1"/>
        <v>0</v>
      </c>
      <c r="BJ62" s="195">
        <f t="shared" si="1"/>
        <v>100632</v>
      </c>
      <c r="BK62" s="195">
        <f t="shared" si="1"/>
        <v>191888</v>
      </c>
      <c r="BL62" s="195">
        <f t="shared" si="1"/>
        <v>165547</v>
      </c>
      <c r="BM62" s="195">
        <f t="shared" si="1"/>
        <v>0</v>
      </c>
      <c r="BN62" s="195">
        <f t="shared" si="1"/>
        <v>264731</v>
      </c>
      <c r="BO62" s="195">
        <f t="shared" ref="BO62:CC62" si="2">ROUND(BO47+BO48,0)</f>
        <v>20962</v>
      </c>
      <c r="BP62" s="195">
        <f t="shared" si="2"/>
        <v>39314</v>
      </c>
      <c r="BQ62" s="195">
        <f t="shared" si="2"/>
        <v>0</v>
      </c>
      <c r="BR62" s="195">
        <f t="shared" si="2"/>
        <v>81431</v>
      </c>
      <c r="BS62" s="195">
        <f t="shared" si="2"/>
        <v>49898</v>
      </c>
      <c r="BT62" s="195">
        <f t="shared" si="2"/>
        <v>0</v>
      </c>
      <c r="BU62" s="195">
        <f t="shared" si="2"/>
        <v>0</v>
      </c>
      <c r="BV62" s="195">
        <f t="shared" si="2"/>
        <v>139268</v>
      </c>
      <c r="BW62" s="195">
        <f t="shared" si="2"/>
        <v>46978</v>
      </c>
      <c r="BX62" s="195">
        <f t="shared" si="2"/>
        <v>272201</v>
      </c>
      <c r="BY62" s="195">
        <f t="shared" si="2"/>
        <v>303339</v>
      </c>
      <c r="BZ62" s="195">
        <f t="shared" si="2"/>
        <v>0</v>
      </c>
      <c r="CA62" s="195">
        <f t="shared" si="2"/>
        <v>44634</v>
      </c>
      <c r="CB62" s="195">
        <f t="shared" si="2"/>
        <v>7129</v>
      </c>
      <c r="CC62" s="195">
        <f t="shared" si="2"/>
        <v>5397</v>
      </c>
      <c r="CD62" s="248" t="s">
        <v>221</v>
      </c>
      <c r="CE62" s="195">
        <f t="shared" si="0"/>
        <v>16981743</v>
      </c>
      <c r="CF62" s="251"/>
    </row>
    <row r="63" spans="1:84" ht="12.6" customHeight="1" x14ac:dyDescent="0.25">
      <c r="A63" s="171" t="s">
        <v>236</v>
      </c>
      <c r="B63" s="175"/>
      <c r="C63" s="184">
        <v>68622.320000000007</v>
      </c>
      <c r="D63" s="184"/>
      <c r="E63" s="184">
        <f>33948+25283</f>
        <v>59231</v>
      </c>
      <c r="F63" s="185">
        <v>229539.37</v>
      </c>
      <c r="G63" s="184"/>
      <c r="H63" s="184"/>
      <c r="I63" s="185"/>
      <c r="J63" s="185">
        <f>3000+152217</f>
        <v>155217</v>
      </c>
      <c r="K63" s="185"/>
      <c r="L63" s="185"/>
      <c r="M63" s="184"/>
      <c r="N63" s="184"/>
      <c r="O63" s="184"/>
      <c r="P63" s="185"/>
      <c r="Q63" s="185"/>
      <c r="R63" s="185">
        <v>1692831</v>
      </c>
      <c r="S63" s="185">
        <v>60950</v>
      </c>
      <c r="T63" s="185"/>
      <c r="U63" s="185">
        <f>196882.79+160065.64+298817.49</f>
        <v>655765.92000000004</v>
      </c>
      <c r="V63" s="185">
        <v>26600</v>
      </c>
      <c r="W63" s="185"/>
      <c r="X63" s="185"/>
      <c r="Y63" s="185">
        <f>478478.81+300000+366050.47</f>
        <v>1144529.28</v>
      </c>
      <c r="Z63" s="185"/>
      <c r="AA63" s="185"/>
      <c r="AB63" s="185"/>
      <c r="AC63" s="185">
        <f>39864+62024.73</f>
        <v>101888.73000000001</v>
      </c>
      <c r="AD63" s="185"/>
      <c r="AE63" s="185"/>
      <c r="AF63" s="185"/>
      <c r="AG63" s="185">
        <f>250115.57-655775.61-157304.05-250616.29+8800+293154.85+59623.18</f>
        <v>-452002.35000000003</v>
      </c>
      <c r="AH63" s="185"/>
      <c r="AI63" s="185"/>
      <c r="AJ63" s="185">
        <v>464003.79</v>
      </c>
      <c r="AK63" s="185"/>
      <c r="AL63" s="185">
        <v>30685.53</v>
      </c>
      <c r="AM63" s="185"/>
      <c r="AN63" s="185"/>
      <c r="AO63" s="185"/>
      <c r="AP63" s="185">
        <f>245729.74+1603.2+42013.41+900000+10878.12+1715.82-357517.33+5000+171837.93+72487.5+130159.86</f>
        <v>1223908.2500000002</v>
      </c>
      <c r="AQ63" s="185"/>
      <c r="AR63" s="185">
        <v>902.62</v>
      </c>
      <c r="AS63" s="185"/>
      <c r="AT63" s="185"/>
      <c r="AU63" s="185"/>
      <c r="AV63" s="185"/>
      <c r="AW63" s="185">
        <f>13200+14.63</f>
        <v>13214.63</v>
      </c>
      <c r="AX63" s="185"/>
      <c r="AY63" s="185">
        <f>27566.15+5119.06</f>
        <v>32685.210000000003</v>
      </c>
      <c r="AZ63" s="185"/>
      <c r="BA63" s="185"/>
      <c r="BB63" s="185"/>
      <c r="BC63" s="185"/>
      <c r="BD63" s="185">
        <v>79675.58</v>
      </c>
      <c r="BE63" s="185">
        <v>14369.67</v>
      </c>
      <c r="BF63" s="185"/>
      <c r="BG63" s="185"/>
      <c r="BH63" s="185"/>
      <c r="BI63" s="185"/>
      <c r="BJ63" s="185">
        <f>138488.71+9644</f>
        <v>148132.71</v>
      </c>
      <c r="BK63" s="185">
        <v>881455.82</v>
      </c>
      <c r="BL63" s="185"/>
      <c r="BM63" s="185"/>
      <c r="BN63" s="185">
        <f>4878282.81+166312.41</f>
        <v>5044595.22</v>
      </c>
      <c r="BO63" s="185"/>
      <c r="BP63" s="185"/>
      <c r="BQ63" s="185"/>
      <c r="BR63" s="185">
        <v>25162.41</v>
      </c>
      <c r="BS63" s="185"/>
      <c r="BT63" s="185"/>
      <c r="BU63" s="185"/>
      <c r="BV63" s="185"/>
      <c r="BW63" s="185">
        <v>83750</v>
      </c>
      <c r="BX63" s="185">
        <f>15038.17+30600</f>
        <v>45638.17</v>
      </c>
      <c r="BY63" s="185"/>
      <c r="BZ63" s="185"/>
      <c r="CA63" s="185"/>
      <c r="CB63" s="185"/>
      <c r="CC63" s="185">
        <v>82632.69</v>
      </c>
      <c r="CD63" s="248" t="s">
        <v>221</v>
      </c>
      <c r="CE63" s="195">
        <f t="shared" si="0"/>
        <v>11913984.57</v>
      </c>
      <c r="CF63" s="251"/>
    </row>
    <row r="64" spans="1:84" ht="12.6" customHeight="1" x14ac:dyDescent="0.25">
      <c r="A64" s="171" t="s">
        <v>237</v>
      </c>
      <c r="B64" s="175"/>
      <c r="C64" s="184">
        <f>255509.76+3907.49+69994.31+1</f>
        <v>329412.56</v>
      </c>
      <c r="D64" s="184"/>
      <c r="E64" s="185">
        <f>326108.02+215313.81+33.25</f>
        <v>541455.08000000007</v>
      </c>
      <c r="F64" s="185">
        <v>511534.71</v>
      </c>
      <c r="G64" s="184"/>
      <c r="H64" s="184"/>
      <c r="I64" s="185"/>
      <c r="J64" s="185">
        <v>126836.38</v>
      </c>
      <c r="K64" s="185"/>
      <c r="L64" s="185"/>
      <c r="M64" s="184"/>
      <c r="N64" s="184"/>
      <c r="O64" s="184"/>
      <c r="P64" s="185">
        <f>7199329.43+5408.53</f>
        <v>7204737.96</v>
      </c>
      <c r="Q64" s="185">
        <v>21322.16</v>
      </c>
      <c r="R64" s="185">
        <v>306223.53000000003</v>
      </c>
      <c r="S64" s="185">
        <v>723659.65</v>
      </c>
      <c r="T64" s="185">
        <v>885153.35</v>
      </c>
      <c r="U64" s="185">
        <f>1488285.98+201477.85+140459.04</f>
        <v>1830222.87</v>
      </c>
      <c r="V64" s="185">
        <v>959.82</v>
      </c>
      <c r="W64" s="185">
        <f>3680.53+3193.08</f>
        <v>6873.6100000000006</v>
      </c>
      <c r="X64" s="185">
        <f>224561.58+15117.25+110798.62</f>
        <v>350477.44999999995</v>
      </c>
      <c r="Y64" s="185">
        <f>18362.48+76453.93+800443.36+3962.6+6639.03</f>
        <v>905861.4</v>
      </c>
      <c r="Z64" s="185">
        <f>7244641.19+7409.87+4915+1356.91</f>
        <v>7258322.9700000007</v>
      </c>
      <c r="AA64" s="185">
        <f>409880.75+19173.25</f>
        <v>429054</v>
      </c>
      <c r="AB64" s="185">
        <f>3287134.27+397065.86</f>
        <v>3684200.13</v>
      </c>
      <c r="AC64" s="185">
        <v>214132.15</v>
      </c>
      <c r="AD64" s="185"/>
      <c r="AE64" s="185">
        <v>321.8</v>
      </c>
      <c r="AF64" s="185"/>
      <c r="AG64" s="185">
        <f>533675.71+1587.63+462</f>
        <v>535725.34</v>
      </c>
      <c r="AH64" s="185"/>
      <c r="AI64" s="185">
        <f>5502.32+193006.53+135525.7+59602.37+206379.56</f>
        <v>600016.48</v>
      </c>
      <c r="AJ64" s="185">
        <v>139.34</v>
      </c>
      <c r="AK64" s="185"/>
      <c r="AL64" s="185">
        <v>345.17</v>
      </c>
      <c r="AM64" s="185"/>
      <c r="AN64" s="185"/>
      <c r="AO64" s="185"/>
      <c r="AP64" s="185">
        <f>916854.94+2</f>
        <v>916856.94</v>
      </c>
      <c r="AQ64" s="185"/>
      <c r="AR64" s="185">
        <v>31378.3</v>
      </c>
      <c r="AS64" s="185"/>
      <c r="AT64" s="185"/>
      <c r="AU64" s="185"/>
      <c r="AV64" s="185"/>
      <c r="AW64" s="185">
        <f>28306.67+1960</f>
        <v>30266.67</v>
      </c>
      <c r="AX64" s="185"/>
      <c r="AY64" s="185">
        <v>545407.63</v>
      </c>
      <c r="AZ64" s="185"/>
      <c r="BA64" s="185">
        <v>73266.7</v>
      </c>
      <c r="BB64" s="185"/>
      <c r="BC64" s="185"/>
      <c r="BD64" s="185">
        <v>10642.21</v>
      </c>
      <c r="BE64" s="185">
        <v>15337.07</v>
      </c>
      <c r="BF64" s="185">
        <v>157619.97</v>
      </c>
      <c r="BG64" s="185">
        <v>9063.5</v>
      </c>
      <c r="BH64" s="185">
        <v>88271.89</v>
      </c>
      <c r="BI64" s="185"/>
      <c r="BJ64" s="185">
        <v>4120.8500000000004</v>
      </c>
      <c r="BK64" s="185">
        <v>6298.9</v>
      </c>
      <c r="BL64" s="185">
        <v>26847.8</v>
      </c>
      <c r="BM64" s="185"/>
      <c r="BN64" s="185">
        <v>11881.72</v>
      </c>
      <c r="BO64" s="185">
        <v>9004.7800000000007</v>
      </c>
      <c r="BP64" s="185">
        <v>7253.81</v>
      </c>
      <c r="BQ64" s="185"/>
      <c r="BR64" s="185">
        <v>7745.05</v>
      </c>
      <c r="BS64" s="185">
        <f>12700.47+1301</f>
        <v>14001.47</v>
      </c>
      <c r="BT64" s="185"/>
      <c r="BU64" s="185"/>
      <c r="BV64" s="185">
        <v>4476.41</v>
      </c>
      <c r="BW64" s="185">
        <v>53136.57</v>
      </c>
      <c r="BX64" s="185">
        <f>1903.38+501+194+1507.5</f>
        <v>4105.88</v>
      </c>
      <c r="BY64" s="185">
        <f>705.42+228</f>
        <v>933.42</v>
      </c>
      <c r="BZ64" s="185"/>
      <c r="CA64" s="185">
        <v>12053.59</v>
      </c>
      <c r="CB64" s="185">
        <f>251+5682.28</f>
        <v>5933.28</v>
      </c>
      <c r="CC64" s="185">
        <v>1219.4100000000001</v>
      </c>
      <c r="CD64" s="248" t="s">
        <v>221</v>
      </c>
      <c r="CE64" s="195">
        <f t="shared" si="0"/>
        <v>28514111.730000004</v>
      </c>
      <c r="CF64" s="251"/>
    </row>
    <row r="65" spans="1:84" ht="12.6" customHeight="1" x14ac:dyDescent="0.25">
      <c r="A65" s="171" t="s">
        <v>238</v>
      </c>
      <c r="B65" s="175"/>
      <c r="C65" s="184">
        <v>759</v>
      </c>
      <c r="D65" s="184"/>
      <c r="E65" s="184">
        <v>759</v>
      </c>
      <c r="F65" s="184">
        <v>1518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>
        <v>759</v>
      </c>
      <c r="AD65" s="185"/>
      <c r="AE65" s="185">
        <v>759</v>
      </c>
      <c r="AF65" s="185"/>
      <c r="AG65" s="185">
        <f>483+5040+840+660</f>
        <v>7023</v>
      </c>
      <c r="AH65" s="185"/>
      <c r="AI65" s="185"/>
      <c r="AJ65" s="185">
        <v>276</v>
      </c>
      <c r="AK65" s="185"/>
      <c r="AL65" s="185"/>
      <c r="AM65" s="185"/>
      <c r="AN65" s="185"/>
      <c r="AO65" s="185"/>
      <c r="AP65" s="185">
        <f>10846.35+12872.49+18167.81+7762.98+56550.03+44531.67+111749.65+10233.64</f>
        <v>272714.62</v>
      </c>
      <c r="AQ65" s="185">
        <f>9750.87+7826.54+11882.68+11799.74+17896.5+3960.46+2832.97+6564+47326.49+6708.63</f>
        <v>126548.88</v>
      </c>
      <c r="AR65" s="185">
        <f>745+10783.81</f>
        <v>11528.81</v>
      </c>
      <c r="AS65" s="185"/>
      <c r="AT65" s="185"/>
      <c r="AU65" s="185"/>
      <c r="AV65" s="185"/>
      <c r="AW65" s="185">
        <f>360+201.38</f>
        <v>561.38</v>
      </c>
      <c r="AX65" s="185"/>
      <c r="AY65" s="185"/>
      <c r="AZ65" s="185"/>
      <c r="BA65" s="185"/>
      <c r="BB65" s="185"/>
      <c r="BC65" s="185"/>
      <c r="BD65" s="185">
        <f>21535.42+3263.33+0</f>
        <v>24798.75</v>
      </c>
      <c r="BE65" s="185">
        <f>1326471.26+483+6056.41+6204.22+1229.34</f>
        <v>1340444.23</v>
      </c>
      <c r="BF65" s="185">
        <v>108196.33</v>
      </c>
      <c r="BG65" s="185">
        <v>2001</v>
      </c>
      <c r="BH65" s="185">
        <f>299320.93+949.43</f>
        <v>300270.36</v>
      </c>
      <c r="BI65" s="185"/>
      <c r="BJ65" s="185">
        <f>1518+8344.75</f>
        <v>9862.75</v>
      </c>
      <c r="BK65" s="185">
        <v>171.77</v>
      </c>
      <c r="BL65" s="185">
        <v>3599.1</v>
      </c>
      <c r="BM65" s="185"/>
      <c r="BN65" s="185">
        <v>552</v>
      </c>
      <c r="BO65" s="185">
        <v>0</v>
      </c>
      <c r="BP65" s="185">
        <v>483</v>
      </c>
      <c r="BQ65" s="185"/>
      <c r="BR65" s="185">
        <v>21971.119999999999</v>
      </c>
      <c r="BS65" s="185">
        <v>483</v>
      </c>
      <c r="BT65" s="185"/>
      <c r="BU65" s="185"/>
      <c r="BV65" s="185"/>
      <c r="BW65" s="185"/>
      <c r="BX65" s="185"/>
      <c r="BY65" s="185">
        <v>1242</v>
      </c>
      <c r="BZ65" s="185"/>
      <c r="CA65" s="185"/>
      <c r="CB65" s="185"/>
      <c r="CC65" s="185">
        <v>759</v>
      </c>
      <c r="CD65" s="248" t="s">
        <v>221</v>
      </c>
      <c r="CE65" s="195">
        <f t="shared" si="0"/>
        <v>2238041.1</v>
      </c>
      <c r="CF65" s="251"/>
    </row>
    <row r="66" spans="1:84" ht="12.6" customHeight="1" x14ac:dyDescent="0.25">
      <c r="A66" s="171" t="s">
        <v>239</v>
      </c>
      <c r="B66" s="175"/>
      <c r="C66" s="184">
        <f>7638.31+2279</f>
        <v>9917.3100000000013</v>
      </c>
      <c r="D66" s="184"/>
      <c r="E66" s="184">
        <f>506092.11+950.51</f>
        <v>507042.62</v>
      </c>
      <c r="F66" s="184">
        <v>7212.87</v>
      </c>
      <c r="G66" s="184"/>
      <c r="H66" s="184"/>
      <c r="I66" s="184"/>
      <c r="J66" s="184">
        <v>375</v>
      </c>
      <c r="K66" s="185"/>
      <c r="L66" s="185"/>
      <c r="M66" s="184"/>
      <c r="N66" s="184"/>
      <c r="O66" s="185"/>
      <c r="P66" s="185">
        <f>448186.24+23919.55</f>
        <v>472105.79</v>
      </c>
      <c r="Q66" s="185">
        <v>481.77</v>
      </c>
      <c r="R66" s="185">
        <v>569.45000000000005</v>
      </c>
      <c r="S66" s="184">
        <v>75133.149999999994</v>
      </c>
      <c r="T66" s="184">
        <v>11932</v>
      </c>
      <c r="U66" s="185">
        <f>949787.86+134859.35+211145.58</f>
        <v>1295792.79</v>
      </c>
      <c r="V66" s="185">
        <v>5241</v>
      </c>
      <c r="W66" s="185">
        <v>282814.12</v>
      </c>
      <c r="X66" s="185">
        <v>264117.13</v>
      </c>
      <c r="Y66" s="185">
        <f>24571.24+622774.08+6628.2-206562.48+235390.63+8712.37+119381.26+1599.83+76545.82</f>
        <v>889040.95</v>
      </c>
      <c r="Z66" s="185">
        <v>497.25</v>
      </c>
      <c r="AA66" s="185">
        <f>55802.81+154.28</f>
        <v>55957.09</v>
      </c>
      <c r="AB66" s="185">
        <f>396260.45+8637.13</f>
        <v>404897.58</v>
      </c>
      <c r="AC66" s="185">
        <v>1863.39</v>
      </c>
      <c r="AD66" s="185"/>
      <c r="AE66" s="185">
        <v>5451.8</v>
      </c>
      <c r="AF66" s="185"/>
      <c r="AG66" s="185">
        <f>162752.29+21144.03+9187.08+7770.59</f>
        <v>200853.99</v>
      </c>
      <c r="AH66" s="185"/>
      <c r="AI66" s="185">
        <f>497.25+1084.5+6505.53</f>
        <v>8087.28</v>
      </c>
      <c r="AJ66" s="185">
        <f>1877.91+11689.74+5537.74</f>
        <v>19105.39</v>
      </c>
      <c r="AK66" s="185"/>
      <c r="AL66" s="185">
        <v>194.87</v>
      </c>
      <c r="AM66" s="185"/>
      <c r="AN66" s="185"/>
      <c r="AO66" s="185"/>
      <c r="AP66" s="185">
        <f>10442.11+20426.62+1328071.81+24219.07+23044.22+40532.24+16221.82+35828.07+37818.52+8316.73+2997.69+235860.62+25859.38+482.1+706.29+2278.59+6023.29+50985.87+5276.62</f>
        <v>1875391.6600000004</v>
      </c>
      <c r="AQ66" s="185"/>
      <c r="AR66" s="185">
        <f>80341.21+2763.8</f>
        <v>83105.010000000009</v>
      </c>
      <c r="AS66" s="185"/>
      <c r="AT66" s="185"/>
      <c r="AU66" s="185"/>
      <c r="AV66" s="185"/>
      <c r="AW66" s="185">
        <f>9523.04+5879.88</f>
        <v>15402.920000000002</v>
      </c>
      <c r="AX66" s="185"/>
      <c r="AY66" s="185">
        <v>59313.18</v>
      </c>
      <c r="AZ66" s="185"/>
      <c r="BA66" s="185">
        <v>248249.39</v>
      </c>
      <c r="BB66" s="185"/>
      <c r="BC66" s="185"/>
      <c r="BD66" s="185">
        <v>29091.56</v>
      </c>
      <c r="BE66" s="185">
        <f>689995.03+405609.16+15908.17+1169.31+1751.44+225.88+184.89</f>
        <v>1114843.8799999997</v>
      </c>
      <c r="BF66" s="185">
        <v>42001.53</v>
      </c>
      <c r="BG66" s="185">
        <v>87783.6</v>
      </c>
      <c r="BH66" s="185">
        <v>2299867.21</v>
      </c>
      <c r="BI66" s="185"/>
      <c r="BJ66" s="185">
        <f>147960.44+7258</f>
        <v>155218.44</v>
      </c>
      <c r="BK66" s="185">
        <v>-212084.57</v>
      </c>
      <c r="BL66" s="185">
        <v>2438.0700000000002</v>
      </c>
      <c r="BM66" s="185"/>
      <c r="BN66" s="185">
        <v>674811.44</v>
      </c>
      <c r="BO66" s="185">
        <v>108308.45</v>
      </c>
      <c r="BP66" s="185">
        <v>185156.52</v>
      </c>
      <c r="BQ66" s="185"/>
      <c r="BR66" s="185">
        <f>288578.33+1238.41</f>
        <v>289816.74</v>
      </c>
      <c r="BS66" s="185">
        <f>99.09+120.32+67193.32</f>
        <v>67412.73000000001</v>
      </c>
      <c r="BT66" s="185"/>
      <c r="BU66" s="185"/>
      <c r="BV66" s="185">
        <v>880610.56</v>
      </c>
      <c r="BW66" s="185">
        <v>96923.53</v>
      </c>
      <c r="BX66" s="185">
        <f>33994.58+272847.11+5308.5+29278.49</f>
        <v>341428.68</v>
      </c>
      <c r="BY66" s="185">
        <f>40123.72+450+5100</f>
        <v>45673.72</v>
      </c>
      <c r="BZ66" s="185"/>
      <c r="CA66" s="185">
        <v>4970.79</v>
      </c>
      <c r="CB66" s="185">
        <v>215746.58</v>
      </c>
      <c r="CC66" s="185">
        <v>100593.77</v>
      </c>
      <c r="CD66" s="248" t="s">
        <v>221</v>
      </c>
      <c r="CE66" s="195">
        <f t="shared" si="0"/>
        <v>13330759.979999995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136032</v>
      </c>
      <c r="D67" s="195">
        <f>ROUND(D51+D52,0)</f>
        <v>0</v>
      </c>
      <c r="E67" s="195">
        <f t="shared" ref="E67:BP67" si="3">ROUND(E51+E52,0)</f>
        <v>549729</v>
      </c>
      <c r="F67" s="195">
        <f t="shared" si="3"/>
        <v>218160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55953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371129</v>
      </c>
      <c r="Q67" s="195">
        <f t="shared" si="3"/>
        <v>55523</v>
      </c>
      <c r="R67" s="195">
        <f t="shared" si="3"/>
        <v>10344</v>
      </c>
      <c r="S67" s="195">
        <f t="shared" si="3"/>
        <v>80393</v>
      </c>
      <c r="T67" s="195">
        <f t="shared" si="3"/>
        <v>0</v>
      </c>
      <c r="U67" s="195">
        <f t="shared" si="3"/>
        <v>256497</v>
      </c>
      <c r="V67" s="195">
        <f t="shared" si="3"/>
        <v>4511</v>
      </c>
      <c r="W67" s="195">
        <f t="shared" si="3"/>
        <v>105279</v>
      </c>
      <c r="X67" s="195">
        <f t="shared" si="3"/>
        <v>60398</v>
      </c>
      <c r="Y67" s="195">
        <f t="shared" si="3"/>
        <v>395404</v>
      </c>
      <c r="Z67" s="195">
        <f t="shared" si="3"/>
        <v>0</v>
      </c>
      <c r="AA67" s="195">
        <f t="shared" si="3"/>
        <v>104883</v>
      </c>
      <c r="AB67" s="195">
        <f t="shared" si="3"/>
        <v>116714</v>
      </c>
      <c r="AC67" s="195">
        <f t="shared" si="3"/>
        <v>79236</v>
      </c>
      <c r="AD67" s="195">
        <f t="shared" si="3"/>
        <v>0</v>
      </c>
      <c r="AE67" s="195">
        <f t="shared" si="3"/>
        <v>148210</v>
      </c>
      <c r="AF67" s="195">
        <f t="shared" si="3"/>
        <v>0</v>
      </c>
      <c r="AG67" s="195">
        <f t="shared" si="3"/>
        <v>206758</v>
      </c>
      <c r="AH67" s="195">
        <f t="shared" si="3"/>
        <v>0</v>
      </c>
      <c r="AI67" s="195">
        <f t="shared" si="3"/>
        <v>418208</v>
      </c>
      <c r="AJ67" s="195">
        <f t="shared" si="3"/>
        <v>150623</v>
      </c>
      <c r="AK67" s="195">
        <f t="shared" si="3"/>
        <v>0</v>
      </c>
      <c r="AL67" s="195">
        <f t="shared" si="3"/>
        <v>3305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1764628</v>
      </c>
      <c r="AQ67" s="195">
        <f t="shared" si="3"/>
        <v>0</v>
      </c>
      <c r="AR67" s="195">
        <f t="shared" si="3"/>
        <v>70048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23052</v>
      </c>
      <c r="AX67" s="195">
        <f t="shared" si="3"/>
        <v>0</v>
      </c>
      <c r="AY67" s="195">
        <f t="shared" si="3"/>
        <v>171841</v>
      </c>
      <c r="AZ67" s="195">
        <f>ROUND(AZ51+AZ52,0)</f>
        <v>0</v>
      </c>
      <c r="BA67" s="195">
        <f>ROUND(BA51+BA52,0)</f>
        <v>28257</v>
      </c>
      <c r="BB67" s="195">
        <f t="shared" si="3"/>
        <v>0</v>
      </c>
      <c r="BC67" s="195">
        <f t="shared" si="3"/>
        <v>0</v>
      </c>
      <c r="BD67" s="195">
        <f t="shared" si="3"/>
        <v>131107</v>
      </c>
      <c r="BE67" s="195">
        <f t="shared" si="3"/>
        <v>843654</v>
      </c>
      <c r="BF67" s="195">
        <f t="shared" si="3"/>
        <v>46021</v>
      </c>
      <c r="BG67" s="195">
        <f t="shared" si="3"/>
        <v>27811</v>
      </c>
      <c r="BH67" s="195">
        <f t="shared" si="3"/>
        <v>133156</v>
      </c>
      <c r="BI67" s="195">
        <f t="shared" si="3"/>
        <v>0</v>
      </c>
      <c r="BJ67" s="195">
        <f t="shared" si="3"/>
        <v>42138</v>
      </c>
      <c r="BK67" s="195">
        <f t="shared" si="3"/>
        <v>98719</v>
      </c>
      <c r="BL67" s="195">
        <f t="shared" si="3"/>
        <v>96769</v>
      </c>
      <c r="BM67" s="195">
        <f t="shared" si="3"/>
        <v>0</v>
      </c>
      <c r="BN67" s="195">
        <f t="shared" si="3"/>
        <v>91332</v>
      </c>
      <c r="BO67" s="195">
        <f t="shared" si="3"/>
        <v>3487</v>
      </c>
      <c r="BP67" s="195">
        <f t="shared" si="3"/>
        <v>21780</v>
      </c>
      <c r="BQ67" s="195">
        <f t="shared" ref="BQ67:CC67" si="4">ROUND(BQ51+BQ52,0)</f>
        <v>0</v>
      </c>
      <c r="BR67" s="195">
        <f t="shared" si="4"/>
        <v>56349</v>
      </c>
      <c r="BS67" s="195">
        <f t="shared" si="4"/>
        <v>79765</v>
      </c>
      <c r="BT67" s="195">
        <f t="shared" si="4"/>
        <v>14261</v>
      </c>
      <c r="BU67" s="195">
        <f t="shared" si="4"/>
        <v>0</v>
      </c>
      <c r="BV67" s="195">
        <f t="shared" si="4"/>
        <v>14872</v>
      </c>
      <c r="BW67" s="195">
        <f t="shared" si="4"/>
        <v>62579</v>
      </c>
      <c r="BX67" s="195">
        <f t="shared" si="4"/>
        <v>11700</v>
      </c>
      <c r="BY67" s="195">
        <f t="shared" si="4"/>
        <v>53722</v>
      </c>
      <c r="BZ67" s="195">
        <f t="shared" si="4"/>
        <v>0</v>
      </c>
      <c r="CA67" s="195">
        <f t="shared" si="4"/>
        <v>36387</v>
      </c>
      <c r="CB67" s="195">
        <f t="shared" si="4"/>
        <v>5106</v>
      </c>
      <c r="CC67" s="195">
        <f t="shared" si="4"/>
        <v>2499120</v>
      </c>
      <c r="CD67" s="248" t="s">
        <v>221</v>
      </c>
      <c r="CE67" s="195">
        <f t="shared" si="0"/>
        <v>9954950</v>
      </c>
      <c r="CF67" s="251"/>
    </row>
    <row r="68" spans="1:84" ht="12.6" customHeight="1" x14ac:dyDescent="0.25">
      <c r="A68" s="171" t="s">
        <v>240</v>
      </c>
      <c r="B68" s="175"/>
      <c r="C68" s="184">
        <v>3573.9</v>
      </c>
      <c r="D68" s="184"/>
      <c r="E68" s="184">
        <f>3671.51+11686.77</f>
        <v>15358.28</v>
      </c>
      <c r="F68" s="184">
        <v>13578.17</v>
      </c>
      <c r="G68" s="184"/>
      <c r="H68" s="184"/>
      <c r="I68" s="184"/>
      <c r="J68" s="184">
        <v>1178.6199999999999</v>
      </c>
      <c r="K68" s="185"/>
      <c r="L68" s="185"/>
      <c r="M68" s="184"/>
      <c r="N68" s="184"/>
      <c r="O68" s="184"/>
      <c r="P68" s="185">
        <f>6377.25+61.21</f>
        <v>6438.46</v>
      </c>
      <c r="Q68" s="185">
        <v>46.62</v>
      </c>
      <c r="R68" s="185"/>
      <c r="S68" s="185">
        <v>5791.75</v>
      </c>
      <c r="T68" s="185"/>
      <c r="U68" s="185">
        <f>112661.53+34680+4924.67+206.29</f>
        <v>152472.49000000002</v>
      </c>
      <c r="V68" s="185"/>
      <c r="W68" s="185">
        <v>179.34</v>
      </c>
      <c r="X68" s="185">
        <f>160.7+149362.99</f>
        <v>149523.69</v>
      </c>
      <c r="Y68" s="185">
        <f>7863.61+1107.69+1457.86+478.15+219.93+975.47+3351.17</f>
        <v>15453.88</v>
      </c>
      <c r="Z68" s="185"/>
      <c r="AA68" s="185">
        <f>122.37+917.84</f>
        <v>1040.21</v>
      </c>
      <c r="AB68" s="185">
        <f>69535.13+32766.74</f>
        <v>102301.87000000001</v>
      </c>
      <c r="AC68" s="185">
        <v>18967.830000000002</v>
      </c>
      <c r="AD68" s="185"/>
      <c r="AE68" s="185">
        <v>1222.23</v>
      </c>
      <c r="AF68" s="185"/>
      <c r="AG68" s="185">
        <f>32775.63+2485.45+36+7.25</f>
        <v>35304.329999999994</v>
      </c>
      <c r="AH68" s="185"/>
      <c r="AI68" s="185">
        <f>3410.35+2078.59</f>
        <v>5488.9400000000005</v>
      </c>
      <c r="AJ68" s="185">
        <f>62.65+4442.62+7491.66</f>
        <v>11996.93</v>
      </c>
      <c r="AK68" s="185"/>
      <c r="AL68" s="185">
        <v>15.48</v>
      </c>
      <c r="AM68" s="185"/>
      <c r="AN68" s="185"/>
      <c r="AO68" s="185"/>
      <c r="AP68" s="185">
        <f>75001.37+748.79+30708.79+5439.32+6621.98+31856.19+2929.05+2440.11+4567.22+11178.72+5643.45+337682.82+2720.95</f>
        <v>517538.75999999995</v>
      </c>
      <c r="AQ68" s="185"/>
      <c r="AR68" s="185">
        <v>5763.2</v>
      </c>
      <c r="AS68" s="185"/>
      <c r="AT68" s="185"/>
      <c r="AU68" s="185"/>
      <c r="AV68" s="185"/>
      <c r="AW68" s="185">
        <v>2110.84</v>
      </c>
      <c r="AX68" s="185"/>
      <c r="AY68" s="185">
        <v>2939.07</v>
      </c>
      <c r="AZ68" s="185"/>
      <c r="BA68" s="185"/>
      <c r="BB68" s="185"/>
      <c r="BC68" s="185"/>
      <c r="BD68" s="185">
        <v>36662.76</v>
      </c>
      <c r="BE68" s="185">
        <v>6799.53</v>
      </c>
      <c r="BF68" s="185"/>
      <c r="BG68" s="185"/>
      <c r="BH68" s="185">
        <v>4673.6000000000004</v>
      </c>
      <c r="BI68" s="185"/>
      <c r="BJ68" s="185">
        <v>5849.78</v>
      </c>
      <c r="BK68" s="185">
        <v>51460.7</v>
      </c>
      <c r="BL68" s="185">
        <v>24979.73</v>
      </c>
      <c r="BM68" s="185"/>
      <c r="BN68" s="185">
        <v>4620.57</v>
      </c>
      <c r="BO68" s="185"/>
      <c r="BP68" s="185">
        <v>8020.51</v>
      </c>
      <c r="BQ68" s="185"/>
      <c r="BR68" s="185">
        <v>6856.58</v>
      </c>
      <c r="BS68" s="185">
        <f>1188.27+3327.21</f>
        <v>4515.4799999999996</v>
      </c>
      <c r="BT68" s="185"/>
      <c r="BU68" s="185"/>
      <c r="BV68" s="185">
        <v>12849.82</v>
      </c>
      <c r="BW68" s="185">
        <v>9231.31</v>
      </c>
      <c r="BX68" s="185">
        <f>3630.43+504.21</f>
        <v>4134.6399999999994</v>
      </c>
      <c r="BY68" s="185">
        <v>1912.62</v>
      </c>
      <c r="BZ68" s="185"/>
      <c r="CA68" s="185">
        <v>18387.95</v>
      </c>
      <c r="CB68" s="185"/>
      <c r="CC68" s="185">
        <v>746989.6</v>
      </c>
      <c r="CD68" s="248" t="s">
        <v>221</v>
      </c>
      <c r="CE68" s="195">
        <f t="shared" si="0"/>
        <v>2016230.0700000003</v>
      </c>
      <c r="CF68" s="251"/>
    </row>
    <row r="69" spans="1:84" ht="12.6" customHeight="1" x14ac:dyDescent="0.25">
      <c r="A69" s="171" t="s">
        <v>241</v>
      </c>
      <c r="B69" s="175"/>
      <c r="C69" s="184">
        <v>2326</v>
      </c>
      <c r="D69" s="184"/>
      <c r="E69" s="185">
        <f>538.22+46.47+395</f>
        <v>979.69</v>
      </c>
      <c r="F69" s="185">
        <v>8111</v>
      </c>
      <c r="G69" s="184"/>
      <c r="H69" s="184"/>
      <c r="I69" s="185"/>
      <c r="J69" s="185">
        <v>782.93</v>
      </c>
      <c r="K69" s="185"/>
      <c r="L69" s="185"/>
      <c r="M69" s="184"/>
      <c r="N69" s="184"/>
      <c r="O69" s="184"/>
      <c r="P69" s="185"/>
      <c r="Q69" s="185">
        <v>178</v>
      </c>
      <c r="R69" s="224">
        <v>286.39</v>
      </c>
      <c r="S69" s="185">
        <v>13166.34</v>
      </c>
      <c r="T69" s="184"/>
      <c r="U69" s="185">
        <f>139.3+207.1</f>
        <v>346.4</v>
      </c>
      <c r="V69" s="185"/>
      <c r="W69" s="184"/>
      <c r="X69" s="185"/>
      <c r="Y69" s="185">
        <v>29123.52</v>
      </c>
      <c r="Z69" s="185"/>
      <c r="AA69" s="185">
        <v>51.78</v>
      </c>
      <c r="AB69" s="185">
        <v>5354.51</v>
      </c>
      <c r="AC69" s="185"/>
      <c r="AD69" s="185"/>
      <c r="AE69" s="185">
        <f>1437.21+920.65</f>
        <v>2357.86</v>
      </c>
      <c r="AF69" s="185"/>
      <c r="AG69" s="185">
        <f>15922.94+21791.82+428+19859.85+8728.7</f>
        <v>66731.31</v>
      </c>
      <c r="AH69" s="185"/>
      <c r="AI69" s="185">
        <v>389.95</v>
      </c>
      <c r="AJ69" s="185">
        <v>293</v>
      </c>
      <c r="AK69" s="185"/>
      <c r="AL69" s="185">
        <v>196.86</v>
      </c>
      <c r="AM69" s="185"/>
      <c r="AN69" s="185"/>
      <c r="AO69" s="184"/>
      <c r="AP69" s="185">
        <f>6180.31+5080.93+46215.36+13703.7+3785.44+18734.9+32389.37+33840.31+15928.2+12214.94+40764.19+49263.67</f>
        <v>278101.32</v>
      </c>
      <c r="AQ69" s="184"/>
      <c r="AR69" s="184">
        <v>33457.870000000003</v>
      </c>
      <c r="AS69" s="184"/>
      <c r="AT69" s="184"/>
      <c r="AU69" s="185"/>
      <c r="AV69" s="185"/>
      <c r="AW69" s="185">
        <v>38380.46</v>
      </c>
      <c r="AX69" s="185"/>
      <c r="AY69" s="185">
        <v>14102.75</v>
      </c>
      <c r="AZ69" s="185"/>
      <c r="BA69" s="185"/>
      <c r="BB69" s="185"/>
      <c r="BC69" s="185"/>
      <c r="BD69" s="185">
        <v>237650.78</v>
      </c>
      <c r="BE69" s="185">
        <v>4507.91</v>
      </c>
      <c r="BF69" s="185">
        <v>1167.72</v>
      </c>
      <c r="BG69" s="185">
        <v>996.04</v>
      </c>
      <c r="BH69" s="224">
        <v>1378.27</v>
      </c>
      <c r="BI69" s="185"/>
      <c r="BJ69" s="185">
        <v>1645.97</v>
      </c>
      <c r="BK69" s="185">
        <v>20880.849999999999</v>
      </c>
      <c r="BL69" s="185"/>
      <c r="BM69" s="185"/>
      <c r="BN69" s="185">
        <f>127345.82+33939</f>
        <v>161284.82</v>
      </c>
      <c r="BO69" s="185">
        <v>1683.79</v>
      </c>
      <c r="BP69" s="185">
        <v>9684.77</v>
      </c>
      <c r="BQ69" s="185"/>
      <c r="BR69" s="185">
        <v>1127.5999999999999</v>
      </c>
      <c r="BS69" s="185">
        <v>1217.81</v>
      </c>
      <c r="BT69" s="185">
        <v>-168.53</v>
      </c>
      <c r="BU69" s="185"/>
      <c r="BV69" s="185">
        <v>1011.81</v>
      </c>
      <c r="BW69" s="185">
        <v>3026.95</v>
      </c>
      <c r="BX69" s="185">
        <f>4502+7663.75</f>
        <v>12165.75</v>
      </c>
      <c r="BY69" s="185">
        <v>15225.86</v>
      </c>
      <c r="BZ69" s="185"/>
      <c r="CA69" s="185">
        <v>21538.11</v>
      </c>
      <c r="CB69" s="185"/>
      <c r="CC69" s="185">
        <v>2861.7</v>
      </c>
      <c r="CD69" s="188">
        <v>16850374.82</v>
      </c>
      <c r="CE69" s="195">
        <f t="shared" si="0"/>
        <v>17843980.740000002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>
        <v>9060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>
        <v>110613.75</v>
      </c>
      <c r="V70" s="184"/>
      <c r="W70" s="184"/>
      <c r="X70" s="185"/>
      <c r="Y70" s="185"/>
      <c r="Z70" s="185"/>
      <c r="AA70" s="185"/>
      <c r="AB70" s="185">
        <f>2233552.64+9701.56</f>
        <v>2243254.2000000002</v>
      </c>
      <c r="AC70" s="185"/>
      <c r="AD70" s="185"/>
      <c r="AE70" s="185"/>
      <c r="AF70" s="185"/>
      <c r="AG70" s="185">
        <v>23990</v>
      </c>
      <c r="AH70" s="185"/>
      <c r="AI70" s="185"/>
      <c r="AJ70" s="185"/>
      <c r="AK70" s="185"/>
      <c r="AL70" s="185"/>
      <c r="AM70" s="185"/>
      <c r="AN70" s="185"/>
      <c r="AO70" s="185"/>
      <c r="AP70" s="185">
        <f>-9.68+551392.4</f>
        <v>551382.72</v>
      </c>
      <c r="AQ70" s="185"/>
      <c r="AR70" s="185">
        <v>8.73</v>
      </c>
      <c r="AS70" s="185"/>
      <c r="AT70" s="185"/>
      <c r="AU70" s="185"/>
      <c r="AV70" s="185"/>
      <c r="AW70" s="185">
        <v>19400</v>
      </c>
      <c r="AX70" s="185"/>
      <c r="AY70" s="185">
        <v>494118.67</v>
      </c>
      <c r="AZ70" s="185"/>
      <c r="BA70" s="185">
        <v>31800</v>
      </c>
      <c r="BB70" s="185"/>
      <c r="BC70" s="185"/>
      <c r="BD70" s="185">
        <v>52023.89</v>
      </c>
      <c r="BE70" s="185"/>
      <c r="BF70" s="185"/>
      <c r="BG70" s="185"/>
      <c r="BH70" s="185">
        <v>4459.4399999999996</v>
      </c>
      <c r="BI70" s="185"/>
      <c r="BJ70" s="185"/>
      <c r="BK70" s="185"/>
      <c r="BL70" s="185">
        <v>2</v>
      </c>
      <c r="BM70" s="185"/>
      <c r="BN70" s="185"/>
      <c r="BO70" s="185"/>
      <c r="BP70" s="185">
        <v>3010</v>
      </c>
      <c r="BQ70" s="185"/>
      <c r="BR70" s="185"/>
      <c r="BS70" s="185"/>
      <c r="BT70" s="185"/>
      <c r="BU70" s="185"/>
      <c r="BV70" s="185">
        <v>2671.22</v>
      </c>
      <c r="BW70" s="185">
        <v>22546.080000000002</v>
      </c>
      <c r="BX70" s="185"/>
      <c r="BY70" s="185"/>
      <c r="BZ70" s="185"/>
      <c r="CA70" s="185">
        <v>27379.72</v>
      </c>
      <c r="CB70" s="185">
        <v>14168.75</v>
      </c>
      <c r="CC70" s="185"/>
      <c r="CD70" s="188">
        <f>123508.65+16481.98+193654.23+31881.96+527857.12+257452.05</f>
        <v>1150835.99</v>
      </c>
      <c r="CE70" s="195">
        <f t="shared" si="0"/>
        <v>4760725.16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3451207.8699999996</v>
      </c>
      <c r="D71" s="195">
        <f t="shared" ref="D71:AI71" si="5">SUM(D61:D69)-D70</f>
        <v>1527.23</v>
      </c>
      <c r="E71" s="195">
        <f t="shared" si="5"/>
        <v>7704800.4600000009</v>
      </c>
      <c r="F71" s="195">
        <f t="shared" si="5"/>
        <v>6335658.4100000001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1778083.0400000003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10143971.17</v>
      </c>
      <c r="Q71" s="195">
        <f t="shared" si="5"/>
        <v>788875.25</v>
      </c>
      <c r="R71" s="195">
        <f t="shared" si="5"/>
        <v>2168341.5000000005</v>
      </c>
      <c r="S71" s="195">
        <f t="shared" si="5"/>
        <v>1371864.83</v>
      </c>
      <c r="T71" s="195">
        <f t="shared" si="5"/>
        <v>898628.87</v>
      </c>
      <c r="U71" s="195">
        <f t="shared" si="5"/>
        <v>6012126.6000000006</v>
      </c>
      <c r="V71" s="195">
        <f t="shared" si="5"/>
        <v>106165.33000000002</v>
      </c>
      <c r="W71" s="195">
        <f t="shared" si="5"/>
        <v>772745.05999999994</v>
      </c>
      <c r="X71" s="195">
        <f t="shared" si="5"/>
        <v>1432146.73</v>
      </c>
      <c r="Y71" s="195">
        <f t="shared" si="5"/>
        <v>7122032.5</v>
      </c>
      <c r="Z71" s="195">
        <f t="shared" si="5"/>
        <v>7259632.2200000007</v>
      </c>
      <c r="AA71" s="195">
        <f t="shared" si="5"/>
        <v>959376.82</v>
      </c>
      <c r="AB71" s="195">
        <f t="shared" si="5"/>
        <v>4207757.67</v>
      </c>
      <c r="AC71" s="195">
        <f t="shared" si="5"/>
        <v>1852455.19</v>
      </c>
      <c r="AD71" s="195">
        <f t="shared" si="5"/>
        <v>0</v>
      </c>
      <c r="AE71" s="195">
        <f t="shared" si="5"/>
        <v>939590.59000000008</v>
      </c>
      <c r="AF71" s="195">
        <f t="shared" si="5"/>
        <v>0</v>
      </c>
      <c r="AG71" s="195">
        <f t="shared" si="5"/>
        <v>9453097.5099999998</v>
      </c>
      <c r="AH71" s="195">
        <f t="shared" si="5"/>
        <v>0</v>
      </c>
      <c r="AI71" s="195">
        <f t="shared" si="5"/>
        <v>3080480.23</v>
      </c>
      <c r="AJ71" s="195">
        <f t="shared" ref="AJ71:BO71" si="6">SUM(AJ61:AJ69)-AJ70</f>
        <v>1778483.7899999998</v>
      </c>
      <c r="AK71" s="195">
        <f t="shared" si="6"/>
        <v>0</v>
      </c>
      <c r="AL71" s="195">
        <f t="shared" si="6"/>
        <v>155782.21000000002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35858127.950000003</v>
      </c>
      <c r="AQ71" s="195">
        <f t="shared" si="6"/>
        <v>126548.88</v>
      </c>
      <c r="AR71" s="195">
        <f t="shared" si="6"/>
        <v>1373927.5100000005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2492426.1399999997</v>
      </c>
      <c r="AX71" s="195">
        <f t="shared" si="6"/>
        <v>0</v>
      </c>
      <c r="AY71" s="195">
        <f t="shared" si="6"/>
        <v>1456286.75</v>
      </c>
      <c r="AZ71" s="195">
        <f t="shared" si="6"/>
        <v>0</v>
      </c>
      <c r="BA71" s="195">
        <f t="shared" si="6"/>
        <v>317973.09000000003</v>
      </c>
      <c r="BB71" s="195">
        <f t="shared" si="6"/>
        <v>0</v>
      </c>
      <c r="BC71" s="195">
        <f t="shared" si="6"/>
        <v>0</v>
      </c>
      <c r="BD71" s="195">
        <f t="shared" si="6"/>
        <v>980867.34000000008</v>
      </c>
      <c r="BE71" s="195">
        <f t="shared" si="6"/>
        <v>4202322.74</v>
      </c>
      <c r="BF71" s="195">
        <f t="shared" si="6"/>
        <v>2255668.5499999998</v>
      </c>
      <c r="BG71" s="195">
        <f t="shared" si="6"/>
        <v>395400.93</v>
      </c>
      <c r="BH71" s="195">
        <f t="shared" si="6"/>
        <v>4717422.2599999988</v>
      </c>
      <c r="BI71" s="195">
        <f t="shared" si="6"/>
        <v>0</v>
      </c>
      <c r="BJ71" s="195">
        <f t="shared" si="6"/>
        <v>910425.51</v>
      </c>
      <c r="BK71" s="195">
        <f t="shared" si="6"/>
        <v>1883177.7899999998</v>
      </c>
      <c r="BL71" s="195">
        <f t="shared" si="6"/>
        <v>1048655.21</v>
      </c>
      <c r="BM71" s="195">
        <f t="shared" si="6"/>
        <v>0</v>
      </c>
      <c r="BN71" s="195">
        <f t="shared" si="6"/>
        <v>7418740.0999999996</v>
      </c>
      <c r="BO71" s="195">
        <f t="shared" si="6"/>
        <v>235689.38999999998</v>
      </c>
      <c r="BP71" s="195">
        <f t="shared" ref="BP71:CC71" si="7">SUM(BP61:BP69)-BP70</f>
        <v>441682.19</v>
      </c>
      <c r="BQ71" s="195">
        <f t="shared" si="7"/>
        <v>0</v>
      </c>
      <c r="BR71" s="195">
        <f t="shared" si="7"/>
        <v>848790.95</v>
      </c>
      <c r="BS71" s="195">
        <f t="shared" si="7"/>
        <v>436864.36999999994</v>
      </c>
      <c r="BT71" s="195">
        <f t="shared" si="7"/>
        <v>14092.47</v>
      </c>
      <c r="BU71" s="195">
        <f t="shared" si="7"/>
        <v>0</v>
      </c>
      <c r="BV71" s="195">
        <f t="shared" si="7"/>
        <v>1663256.7600000002</v>
      </c>
      <c r="BW71" s="195">
        <f t="shared" si="7"/>
        <v>539802.10000000009</v>
      </c>
      <c r="BX71" s="195">
        <f t="shared" si="7"/>
        <v>1889174.8899999997</v>
      </c>
      <c r="BY71" s="195">
        <f t="shared" si="7"/>
        <v>1756871.8900000001</v>
      </c>
      <c r="BZ71" s="195">
        <f t="shared" si="7"/>
        <v>0</v>
      </c>
      <c r="CA71" s="195">
        <f t="shared" si="7"/>
        <v>306998.94999999995</v>
      </c>
      <c r="CB71" s="195">
        <f t="shared" si="7"/>
        <v>251114.75</v>
      </c>
      <c r="CC71" s="195">
        <f t="shared" si="7"/>
        <v>3463323.1700000004</v>
      </c>
      <c r="CD71" s="244">
        <f>CD69-CD70</f>
        <v>15699538.83</v>
      </c>
      <c r="CE71" s="195">
        <f>SUM(CE61:CE69)-CE70</f>
        <v>172760002.53999999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f>806525.79</f>
        <v>806525.79</v>
      </c>
      <c r="CF72" s="251"/>
    </row>
    <row r="73" spans="1:84" ht="12.6" customHeight="1" x14ac:dyDescent="0.25">
      <c r="A73" s="171" t="s">
        <v>245</v>
      </c>
      <c r="B73" s="175"/>
      <c r="C73" s="184">
        <f>7145072.29+676482</f>
        <v>7821554.29</v>
      </c>
      <c r="D73" s="184"/>
      <c r="E73" s="185">
        <f>12337309+6419660.89+42710</f>
        <v>18799679.890000001</v>
      </c>
      <c r="F73" s="185">
        <v>15383659.67</v>
      </c>
      <c r="G73" s="184"/>
      <c r="H73" s="184"/>
      <c r="I73" s="185"/>
      <c r="J73" s="185">
        <v>3667159.27</v>
      </c>
      <c r="K73" s="185"/>
      <c r="L73" s="185"/>
      <c r="M73" s="184"/>
      <c r="N73" s="184"/>
      <c r="O73" s="184"/>
      <c r="P73" s="185">
        <v>22230476.699999999</v>
      </c>
      <c r="Q73" s="185">
        <v>1072854</v>
      </c>
      <c r="R73" s="185">
        <v>2940982</v>
      </c>
      <c r="S73" s="185">
        <f>4386543.31+13651.6</f>
        <v>4400194.9099999992</v>
      </c>
      <c r="T73" s="185">
        <v>4057133</v>
      </c>
      <c r="U73" s="185">
        <f>18851053.39+2625862.94+514228.48</f>
        <v>21991144.810000002</v>
      </c>
      <c r="V73" s="185">
        <v>209105</v>
      </c>
      <c r="W73" s="185">
        <v>1320882.8899999999</v>
      </c>
      <c r="X73" s="185">
        <f>7548919.88+2238</f>
        <v>7551157.8799999999</v>
      </c>
      <c r="Y73" s="185">
        <f>2891969.81+4066509.03+4657166.49+32500</f>
        <v>11648145.33</v>
      </c>
      <c r="Z73" s="185">
        <v>1106287</v>
      </c>
      <c r="AA73" s="185">
        <v>675463.29</v>
      </c>
      <c r="AB73" s="185">
        <v>20921449</v>
      </c>
      <c r="AC73" s="185">
        <v>13242709.869999999</v>
      </c>
      <c r="AD73" s="185"/>
      <c r="AE73" s="185">
        <f>1843624.15</f>
        <v>1843624.15</v>
      </c>
      <c r="AF73" s="185"/>
      <c r="AG73" s="185">
        <f>9341056.65+3195811.55+1318912.7+858617.55</f>
        <v>14714398.449999999</v>
      </c>
      <c r="AH73" s="185"/>
      <c r="AI73" s="185">
        <f>178843.73+346.61</f>
        <v>179190.34</v>
      </c>
      <c r="AJ73" s="185">
        <v>494510</v>
      </c>
      <c r="AK73" s="185"/>
      <c r="AL73" s="185">
        <v>485626.52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176757388.26000002</v>
      </c>
      <c r="CF73" s="251"/>
    </row>
    <row r="74" spans="1:84" ht="12.6" customHeight="1" x14ac:dyDescent="0.25">
      <c r="A74" s="171" t="s">
        <v>246</v>
      </c>
      <c r="B74" s="175"/>
      <c r="C74" s="184">
        <f>249006+92820</f>
        <v>341826</v>
      </c>
      <c r="D74" s="184">
        <f>1566531+1076158.61+29821.61</f>
        <v>2672511.2200000002</v>
      </c>
      <c r="E74" s="185"/>
      <c r="F74" s="185">
        <v>1402941.31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23954075.129999999</v>
      </c>
      <c r="Q74" s="185">
        <v>1802415</v>
      </c>
      <c r="R74" s="185">
        <v>4691279</v>
      </c>
      <c r="S74" s="185">
        <f>4542816.37+1443.85</f>
        <v>4544260.22</v>
      </c>
      <c r="T74" s="185">
        <v>5419011.7000000002</v>
      </c>
      <c r="U74" s="185">
        <f>1823934.04+291470.67+17122070.09</f>
        <v>19237474.800000001</v>
      </c>
      <c r="V74" s="185">
        <v>219008</v>
      </c>
      <c r="W74" s="185">
        <f>4891901.74+2332302.44</f>
        <v>7224204.1799999997</v>
      </c>
      <c r="X74" s="185">
        <f>7316180.25+17946074.22+1608616</f>
        <v>26870870.469999999</v>
      </c>
      <c r="Y74" s="185">
        <f>5298143.31+39551.9+9022741.93+3377520.05+1610352.58+3026123.38+3603776.52+2</f>
        <v>25978211.670000002</v>
      </c>
      <c r="Z74" s="185">
        <f>34332120.18</f>
        <v>34332120.18</v>
      </c>
      <c r="AA74" s="185">
        <f>3005409.59+331633.41</f>
        <v>3337043</v>
      </c>
      <c r="AB74" s="185">
        <f>850809.79+13047697.84</f>
        <v>13898507.629999999</v>
      </c>
      <c r="AC74" s="185">
        <v>5143960</v>
      </c>
      <c r="AD74" s="185"/>
      <c r="AE74" s="185">
        <f>795298.76+464932.75+0</f>
        <v>1260231.51</v>
      </c>
      <c r="AF74" s="185"/>
      <c r="AG74" s="185">
        <v>27161646.190000001</v>
      </c>
      <c r="AH74" s="185"/>
      <c r="AI74" s="185">
        <f>4774053.28+4273458.74</f>
        <v>9047512.0199999996</v>
      </c>
      <c r="AJ74" s="185">
        <f>3942493+2938711.6+373119.7</f>
        <v>7254324.2999999998</v>
      </c>
      <c r="AK74" s="185"/>
      <c r="AL74" s="185">
        <v>130325.14</v>
      </c>
      <c r="AM74" s="185"/>
      <c r="AN74" s="185"/>
      <c r="AO74" s="185"/>
      <c r="AP74" s="185">
        <f>82+137+1233111.8+1007301+1600+7061079.36+4471949.85+4221621.45+8590390.56+11553805+2241030.4+1972553.3+9020517.08+7626183.73+1745574.65+929930.4</f>
        <v>61676867.579999998</v>
      </c>
      <c r="AQ74" s="185"/>
      <c r="AR74" s="185">
        <v>1133172.18</v>
      </c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288733798.43000001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8163380.29</v>
      </c>
      <c r="D75" s="195">
        <f t="shared" si="9"/>
        <v>2672511.2200000002</v>
      </c>
      <c r="E75" s="195">
        <f t="shared" si="9"/>
        <v>18799679.890000001</v>
      </c>
      <c r="F75" s="195">
        <f t="shared" si="9"/>
        <v>16786600.98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3667159.27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46184551.829999998</v>
      </c>
      <c r="Q75" s="195">
        <f t="shared" si="9"/>
        <v>2875269</v>
      </c>
      <c r="R75" s="195">
        <f t="shared" si="9"/>
        <v>7632261</v>
      </c>
      <c r="S75" s="195">
        <f t="shared" si="9"/>
        <v>8944455.129999999</v>
      </c>
      <c r="T75" s="195">
        <f t="shared" si="9"/>
        <v>9476144.6999999993</v>
      </c>
      <c r="U75" s="195">
        <f t="shared" si="9"/>
        <v>41228619.609999999</v>
      </c>
      <c r="V75" s="195">
        <f t="shared" si="9"/>
        <v>428113</v>
      </c>
      <c r="W75" s="195">
        <f t="shared" si="9"/>
        <v>8545087.0700000003</v>
      </c>
      <c r="X75" s="195">
        <f t="shared" si="9"/>
        <v>34422028.350000001</v>
      </c>
      <c r="Y75" s="195">
        <f t="shared" si="9"/>
        <v>37626357</v>
      </c>
      <c r="Z75" s="195">
        <f t="shared" si="9"/>
        <v>35438407.18</v>
      </c>
      <c r="AA75" s="195">
        <f t="shared" si="9"/>
        <v>4012506.29</v>
      </c>
      <c r="AB75" s="195">
        <f t="shared" si="9"/>
        <v>34819956.629999995</v>
      </c>
      <c r="AC75" s="195">
        <f t="shared" si="9"/>
        <v>18386669.869999997</v>
      </c>
      <c r="AD75" s="195">
        <f t="shared" si="9"/>
        <v>0</v>
      </c>
      <c r="AE75" s="195">
        <f t="shared" si="9"/>
        <v>3103855.66</v>
      </c>
      <c r="AF75" s="195">
        <f t="shared" si="9"/>
        <v>0</v>
      </c>
      <c r="AG75" s="195">
        <f t="shared" si="9"/>
        <v>41876044.640000001</v>
      </c>
      <c r="AH75" s="195">
        <f t="shared" si="9"/>
        <v>0</v>
      </c>
      <c r="AI75" s="195">
        <f t="shared" si="9"/>
        <v>9226702.3599999994</v>
      </c>
      <c r="AJ75" s="195">
        <f t="shared" si="9"/>
        <v>7748834.2999999998</v>
      </c>
      <c r="AK75" s="195">
        <f t="shared" si="9"/>
        <v>0</v>
      </c>
      <c r="AL75" s="195">
        <f t="shared" si="9"/>
        <v>615951.66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61676867.579999998</v>
      </c>
      <c r="AQ75" s="195">
        <f t="shared" si="9"/>
        <v>0</v>
      </c>
      <c r="AR75" s="195">
        <f t="shared" si="9"/>
        <v>1133172.18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465491186.69000006</v>
      </c>
      <c r="CF75" s="251"/>
    </row>
    <row r="76" spans="1:84" ht="12.6" customHeight="1" x14ac:dyDescent="0.25">
      <c r="A76" s="171" t="s">
        <v>248</v>
      </c>
      <c r="B76" s="175"/>
      <c r="C76" s="184">
        <v>8232</v>
      </c>
      <c r="D76" s="184"/>
      <c r="E76" s="185">
        <f>13916+13916+5435</f>
        <v>33267</v>
      </c>
      <c r="F76" s="185">
        <v>13202</v>
      </c>
      <c r="G76" s="184"/>
      <c r="H76" s="184"/>
      <c r="I76" s="185"/>
      <c r="J76" s="185">
        <v>3386</v>
      </c>
      <c r="K76" s="185"/>
      <c r="L76" s="185"/>
      <c r="M76" s="185"/>
      <c r="N76" s="185"/>
      <c r="O76" s="185"/>
      <c r="P76" s="185">
        <v>22459</v>
      </c>
      <c r="Q76" s="185">
        <v>3360</v>
      </c>
      <c r="R76" s="185">
        <v>626</v>
      </c>
      <c r="S76" s="185">
        <v>4865</v>
      </c>
      <c r="T76" s="185"/>
      <c r="U76" s="185">
        <f>10447+5075</f>
        <v>15522</v>
      </c>
      <c r="V76" s="185">
        <v>273</v>
      </c>
      <c r="W76" s="185">
        <f>5560+811</f>
        <v>6371</v>
      </c>
      <c r="X76" s="185">
        <f>3170+485</f>
        <v>3655</v>
      </c>
      <c r="Y76" s="185">
        <f>9156+3089+1924+2980+192+739+5848</f>
        <v>23928</v>
      </c>
      <c r="Z76" s="185"/>
      <c r="AA76" s="185">
        <f>5831+516</f>
        <v>6347</v>
      </c>
      <c r="AB76" s="185">
        <f>7063</f>
        <v>7063</v>
      </c>
      <c r="AC76" s="185">
        <v>4795</v>
      </c>
      <c r="AD76" s="185"/>
      <c r="AE76" s="185">
        <v>8969</v>
      </c>
      <c r="AF76" s="185"/>
      <c r="AG76" s="185">
        <v>12512</v>
      </c>
      <c r="AH76" s="185"/>
      <c r="AI76" s="185">
        <f>3360+21948</f>
        <v>25308</v>
      </c>
      <c r="AJ76" s="185">
        <f>6578+2537</f>
        <v>9115</v>
      </c>
      <c r="AK76" s="185"/>
      <c r="AL76" s="185">
        <v>200</v>
      </c>
      <c r="AM76" s="185"/>
      <c r="AN76" s="185"/>
      <c r="AO76" s="185"/>
      <c r="AP76" s="185">
        <v>106787</v>
      </c>
      <c r="AQ76" s="185"/>
      <c r="AR76" s="185">
        <v>4239</v>
      </c>
      <c r="AS76" s="185"/>
      <c r="AT76" s="185"/>
      <c r="AU76" s="185"/>
      <c r="AV76" s="185"/>
      <c r="AW76" s="185">
        <v>1395</v>
      </c>
      <c r="AX76" s="185"/>
      <c r="AY76" s="185">
        <v>10399</v>
      </c>
      <c r="AZ76" s="185"/>
      <c r="BA76" s="185">
        <v>1710</v>
      </c>
      <c r="BB76" s="185"/>
      <c r="BC76" s="185"/>
      <c r="BD76" s="185">
        <v>7934</v>
      </c>
      <c r="BE76" s="185">
        <f>50646+408</f>
        <v>51054</v>
      </c>
      <c r="BF76" s="185">
        <v>2785</v>
      </c>
      <c r="BG76" s="185">
        <v>1683</v>
      </c>
      <c r="BH76" s="185">
        <v>8058</v>
      </c>
      <c r="BI76" s="185"/>
      <c r="BJ76" s="185">
        <v>2550</v>
      </c>
      <c r="BK76" s="185">
        <v>5974</v>
      </c>
      <c r="BL76" s="185">
        <v>5856</v>
      </c>
      <c r="BM76" s="185"/>
      <c r="BN76" s="185">
        <v>5527</v>
      </c>
      <c r="BO76" s="185">
        <v>211</v>
      </c>
      <c r="BP76" s="185">
        <v>1318</v>
      </c>
      <c r="BQ76" s="185"/>
      <c r="BR76" s="185">
        <v>3410</v>
      </c>
      <c r="BS76" s="185">
        <v>4827</v>
      </c>
      <c r="BT76" s="185">
        <v>863</v>
      </c>
      <c r="BU76" s="185"/>
      <c r="BV76" s="185">
        <v>900</v>
      </c>
      <c r="BW76" s="185">
        <v>3787</v>
      </c>
      <c r="BX76" s="185">
        <v>708</v>
      </c>
      <c r="BY76" s="185">
        <v>3251</v>
      </c>
      <c r="BZ76" s="185"/>
      <c r="CA76" s="185">
        <v>2202</v>
      </c>
      <c r="CB76" s="185">
        <v>309</v>
      </c>
      <c r="CC76" s="185">
        <f>1189+1066+7895+1438+4891+76492+10560+1539+5000+1161+3258+1703+35043</f>
        <v>151235</v>
      </c>
      <c r="CD76" s="248" t="s">
        <v>221</v>
      </c>
      <c r="CE76" s="195">
        <f t="shared" si="8"/>
        <v>602427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5974</v>
      </c>
      <c r="D77" s="184"/>
      <c r="E77" s="184">
        <f>14829+26145</f>
        <v>40974</v>
      </c>
      <c r="F77" s="184">
        <v>8619</v>
      </c>
      <c r="G77" s="184"/>
      <c r="H77" s="184"/>
      <c r="I77" s="184"/>
      <c r="J77" s="184">
        <v>637</v>
      </c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488</v>
      </c>
      <c r="AH77" s="184"/>
      <c r="AI77" s="184">
        <f>788+728</f>
        <v>1516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>
        <v>275519</v>
      </c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333727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f>(C76/$CE$76)*82145.53</f>
        <v>1122.4961745738487</v>
      </c>
      <c r="D78" s="184">
        <f t="shared" ref="D78:AW78" si="10">(D76/$CE$76)*82145.53</f>
        <v>0</v>
      </c>
      <c r="E78" s="184">
        <f t="shared" si="10"/>
        <v>4536.2099416360816</v>
      </c>
      <c r="F78" s="184">
        <f t="shared" si="10"/>
        <v>1800.1936949373119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461.70700280697912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0</v>
      </c>
      <c r="P78" s="184">
        <f t="shared" si="10"/>
        <v>3062.4564607330017</v>
      </c>
      <c r="Q78" s="184">
        <f t="shared" si="10"/>
        <v>458.16170390769338</v>
      </c>
      <c r="R78" s="184">
        <f t="shared" si="10"/>
        <v>85.359888882802395</v>
      </c>
      <c r="S78" s="184">
        <f t="shared" si="10"/>
        <v>663.37996711634776</v>
      </c>
      <c r="T78" s="184">
        <f t="shared" si="10"/>
        <v>0</v>
      </c>
      <c r="U78" s="184">
        <f t="shared" si="10"/>
        <v>2116.5434428735766</v>
      </c>
      <c r="V78" s="184">
        <f t="shared" si="10"/>
        <v>37.225638442500085</v>
      </c>
      <c r="W78" s="184">
        <f t="shared" si="10"/>
        <v>868.7345879749746</v>
      </c>
      <c r="X78" s="184">
        <f t="shared" si="10"/>
        <v>498.38721064958906</v>
      </c>
      <c r="Y78" s="184">
        <f t="shared" si="10"/>
        <v>3262.765848542645</v>
      </c>
      <c r="Z78" s="184">
        <f t="shared" si="10"/>
        <v>0</v>
      </c>
      <c r="AA78" s="184">
        <f t="shared" si="10"/>
        <v>865.46200437563391</v>
      </c>
      <c r="AB78" s="184">
        <f t="shared" si="10"/>
        <v>963.09408175596377</v>
      </c>
      <c r="AC78" s="184">
        <f t="shared" si="10"/>
        <v>653.83493161827084</v>
      </c>
      <c r="AD78" s="184">
        <f t="shared" si="10"/>
        <v>0</v>
      </c>
      <c r="AE78" s="184">
        <f t="shared" si="10"/>
        <v>1222.9917626036017</v>
      </c>
      <c r="AF78" s="184">
        <f t="shared" si="10"/>
        <v>0</v>
      </c>
      <c r="AG78" s="184">
        <f t="shared" si="10"/>
        <v>1706.1069164562678</v>
      </c>
      <c r="AH78" s="184">
        <f t="shared" si="10"/>
        <v>0</v>
      </c>
      <c r="AI78" s="184">
        <f t="shared" si="10"/>
        <v>3450.9394055047333</v>
      </c>
      <c r="AJ78" s="184">
        <f t="shared" si="10"/>
        <v>1242.8999794995909</v>
      </c>
      <c r="AK78" s="184">
        <f t="shared" si="10"/>
        <v>0</v>
      </c>
      <c r="AL78" s="184">
        <f t="shared" si="10"/>
        <v>27.27152999450556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14561.224367616325</v>
      </c>
      <c r="AQ78" s="184">
        <f t="shared" si="10"/>
        <v>0</v>
      </c>
      <c r="AR78" s="184">
        <f t="shared" si="10"/>
        <v>578.02007823354529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0</v>
      </c>
      <c r="AW78" s="184">
        <f t="shared" si="10"/>
        <v>190.21892171167627</v>
      </c>
      <c r="AX78" s="248" t="s">
        <v>221</v>
      </c>
      <c r="AY78" s="248" t="s">
        <v>221</v>
      </c>
      <c r="AZ78" s="248" t="s">
        <v>221</v>
      </c>
      <c r="BA78" s="184">
        <f t="shared" ref="BA78:BC78" si="11">(BA76/$CE$76)*82145.53</f>
        <v>233.1715814530225</v>
      </c>
      <c r="BB78" s="184">
        <f t="shared" si="11"/>
        <v>0</v>
      </c>
      <c r="BC78" s="184">
        <f t="shared" si="11"/>
        <v>0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f t="shared" ref="BH78:BI78" si="12">(BH76/$CE$76)*82145.53</f>
        <v>1098.7699434786289</v>
      </c>
      <c r="BI78" s="184">
        <f t="shared" si="12"/>
        <v>0</v>
      </c>
      <c r="BJ78" s="248" t="s">
        <v>221</v>
      </c>
      <c r="BK78" s="184">
        <f t="shared" ref="BK78:BM78" si="13">(BK76/$CE$76)*82145.53</f>
        <v>814.60060093588095</v>
      </c>
      <c r="BL78" s="184">
        <f t="shared" si="13"/>
        <v>798.51039823912265</v>
      </c>
      <c r="BM78" s="184">
        <f t="shared" si="13"/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f t="shared" ref="BS78:CB78" si="14">(BS76/$CE$76)*82145.53</f>
        <v>658.19837641739161</v>
      </c>
      <c r="BT78" s="184">
        <f t="shared" si="14"/>
        <v>117.67665192629148</v>
      </c>
      <c r="BU78" s="184">
        <f t="shared" si="14"/>
        <v>0</v>
      </c>
      <c r="BV78" s="184">
        <f t="shared" si="14"/>
        <v>122.72188497527502</v>
      </c>
      <c r="BW78" s="184">
        <f t="shared" si="14"/>
        <v>516.38642044596281</v>
      </c>
      <c r="BX78" s="184">
        <f t="shared" si="14"/>
        <v>96.541216180549682</v>
      </c>
      <c r="BY78" s="184">
        <f t="shared" si="14"/>
        <v>443.2987200606878</v>
      </c>
      <c r="BZ78" s="184">
        <f t="shared" si="14"/>
        <v>0</v>
      </c>
      <c r="CA78" s="184">
        <f t="shared" si="14"/>
        <v>300.25954523950622</v>
      </c>
      <c r="CB78" s="184">
        <f t="shared" si="14"/>
        <v>42.134513841511087</v>
      </c>
      <c r="CC78" s="248" t="s">
        <v>221</v>
      </c>
      <c r="CD78" s="248" t="s">
        <v>221</v>
      </c>
      <c r="CE78" s="195">
        <f t="shared" si="8"/>
        <v>49677.955395641293</v>
      </c>
      <c r="CF78" s="195"/>
    </row>
    <row r="79" spans="1:84" ht="12.6" customHeight="1" x14ac:dyDescent="0.25">
      <c r="A79" s="171" t="s">
        <v>251</v>
      </c>
      <c r="B79" s="175"/>
      <c r="C79" s="225">
        <f>68472</f>
        <v>68472</v>
      </c>
      <c r="D79" s="225"/>
      <c r="E79" s="184">
        <f>75405+58741</f>
        <v>134146</v>
      </c>
      <c r="F79" s="184">
        <v>77726</v>
      </c>
      <c r="G79" s="184"/>
      <c r="H79" s="184"/>
      <c r="I79" s="184"/>
      <c r="J79" s="184">
        <v>39174</v>
      </c>
      <c r="K79" s="184"/>
      <c r="L79" s="184"/>
      <c r="M79" s="184"/>
      <c r="N79" s="184"/>
      <c r="O79" s="184"/>
      <c r="P79" s="184">
        <f>7636+7105+27659</f>
        <v>42400</v>
      </c>
      <c r="Q79" s="184"/>
      <c r="R79" s="184"/>
      <c r="S79" s="184">
        <v>12495</v>
      </c>
      <c r="T79" s="184"/>
      <c r="U79" s="184"/>
      <c r="V79" s="184">
        <v>186</v>
      </c>
      <c r="W79" s="184">
        <v>1962</v>
      </c>
      <c r="X79" s="184">
        <v>6723</v>
      </c>
      <c r="Y79" s="184">
        <f>30486+39549</f>
        <v>70035</v>
      </c>
      <c r="Z79" s="184"/>
      <c r="AA79" s="184">
        <v>13789</v>
      </c>
      <c r="AB79" s="184"/>
      <c r="AC79" s="184"/>
      <c r="AD79" s="184"/>
      <c r="AE79" s="184">
        <v>7669</v>
      </c>
      <c r="AF79" s="184"/>
      <c r="AG79" s="184">
        <v>75978</v>
      </c>
      <c r="AH79" s="184"/>
      <c r="AI79" s="184">
        <f>56385+28324</f>
        <v>84709</v>
      </c>
      <c r="AJ79" s="184">
        <v>17092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652556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18.34+0.02+0.43</f>
        <v>18.79</v>
      </c>
      <c r="D80" s="187"/>
      <c r="E80" s="187">
        <f>27.29+17.49+2.7-0.02</f>
        <v>47.46</v>
      </c>
      <c r="F80" s="187">
        <f>38.84+0.03</f>
        <v>38.870000000000005</v>
      </c>
      <c r="G80" s="187"/>
      <c r="H80" s="187"/>
      <c r="I80" s="187"/>
      <c r="J80" s="187">
        <v>12.58</v>
      </c>
      <c r="K80" s="187"/>
      <c r="L80" s="187"/>
      <c r="M80" s="187"/>
      <c r="N80" s="187"/>
      <c r="O80" s="187"/>
      <c r="P80" s="187">
        <v>13.43</v>
      </c>
      <c r="Q80" s="187">
        <v>7.76</v>
      </c>
      <c r="R80" s="187">
        <v>1.01</v>
      </c>
      <c r="S80" s="187">
        <v>0.08</v>
      </c>
      <c r="T80" s="187"/>
      <c r="U80" s="187"/>
      <c r="V80" s="187"/>
      <c r="W80" s="187"/>
      <c r="X80" s="187"/>
      <c r="Y80" s="187">
        <f>0.9+4.16</f>
        <v>5.0600000000000005</v>
      </c>
      <c r="Z80" s="187"/>
      <c r="AA80" s="187">
        <v>1.4</v>
      </c>
      <c r="AB80" s="187"/>
      <c r="AC80" s="187">
        <v>0.01</v>
      </c>
      <c r="AD80" s="187"/>
      <c r="AE80" s="187">
        <v>1.48</v>
      </c>
      <c r="AF80" s="187"/>
      <c r="AG80" s="187">
        <v>24.77</v>
      </c>
      <c r="AH80" s="187"/>
      <c r="AI80" s="187">
        <f>11.82+0.03+3.26</f>
        <v>15.11</v>
      </c>
      <c r="AJ80" s="187">
        <f>1.1+11.65</f>
        <v>12.75</v>
      </c>
      <c r="AK80" s="187"/>
      <c r="AL80" s="187"/>
      <c r="AM80" s="187"/>
      <c r="AN80" s="187"/>
      <c r="AO80" s="187"/>
      <c r="AP80" s="187">
        <f>0.91+0.15</f>
        <v>1.06</v>
      </c>
      <c r="AQ80" s="187"/>
      <c r="AR80" s="187">
        <v>5.93</v>
      </c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207.55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1275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5284</v>
      </c>
      <c r="D111" s="174">
        <f>19165-1423</f>
        <v>17742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1391</v>
      </c>
      <c r="D114" s="174">
        <f>1423+1935</f>
        <v>3358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7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111</v>
      </c>
    </row>
    <row r="128" spans="1:5" ht="12.6" customHeight="1" x14ac:dyDescent="0.25">
      <c r="A128" s="173" t="s">
        <v>292</v>
      </c>
      <c r="B128" s="172" t="s">
        <v>256</v>
      </c>
      <c r="C128" s="189">
        <v>111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2445</v>
      </c>
      <c r="C138" s="189">
        <v>1389</v>
      </c>
      <c r="D138" s="174">
        <f>C111-B138-C138</f>
        <v>1450</v>
      </c>
      <c r="E138" s="175">
        <f>SUM(B138:D138)</f>
        <v>5284</v>
      </c>
    </row>
    <row r="139" spans="1:6" ht="12.6" customHeight="1" x14ac:dyDescent="0.25">
      <c r="A139" s="173" t="s">
        <v>215</v>
      </c>
      <c r="B139" s="174">
        <v>9812</v>
      </c>
      <c r="C139" s="189">
        <v>4062</v>
      </c>
      <c r="D139" s="174">
        <f>D111-B139-C139</f>
        <v>3868</v>
      </c>
      <c r="E139" s="175">
        <f>SUM(B139:D139)</f>
        <v>17742</v>
      </c>
    </row>
    <row r="140" spans="1:6" ht="12.6" customHeight="1" x14ac:dyDescent="0.25">
      <c r="A140" s="173" t="s">
        <v>298</v>
      </c>
      <c r="B140" s="174">
        <v>21219</v>
      </c>
      <c r="C140" s="174">
        <v>20625</v>
      </c>
      <c r="D140" s="174">
        <v>23992</v>
      </c>
      <c r="E140" s="175">
        <f>SUM(B140:D140)</f>
        <v>65836</v>
      </c>
    </row>
    <row r="141" spans="1:6" ht="12.6" customHeight="1" x14ac:dyDescent="0.25">
      <c r="A141" s="173" t="s">
        <v>245</v>
      </c>
      <c r="B141" s="174">
        <v>93894575.840000004</v>
      </c>
      <c r="C141" s="189">
        <v>37125970.210000001</v>
      </c>
      <c r="D141" s="174">
        <v>45736842.799999997</v>
      </c>
      <c r="E141" s="175">
        <f>SUM(B141:D141)</f>
        <v>176757388.85000002</v>
      </c>
      <c r="F141" s="199"/>
    </row>
    <row r="142" spans="1:6" ht="12.6" customHeight="1" x14ac:dyDescent="0.25">
      <c r="A142" s="173" t="s">
        <v>246</v>
      </c>
      <c r="B142" s="174">
        <v>108026377.11</v>
      </c>
      <c r="C142" s="189">
        <v>64740402.869999997</v>
      </c>
      <c r="D142" s="174">
        <v>115967018.98</v>
      </c>
      <c r="E142" s="175">
        <f>SUM(B142:D142)</f>
        <v>288733798.95999998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4473436.28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415142.94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836620.34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7281361.43+888282.16</f>
        <v>8169643.5899999999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205845.35+364395.26</f>
        <v>570240.61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2156264.9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360396.41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16981745.07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442389.3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1573840.79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2016230.09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1830227.42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103255.05+141979.55</f>
        <v>245234.59999999998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2075462.02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81367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3556748.54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3638115.54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11136797.26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11136797.26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1580987</v>
      </c>
      <c r="C195" s="189"/>
      <c r="D195" s="174">
        <v>1355853.31</v>
      </c>
      <c r="E195" s="175">
        <f t="shared" ref="E195:E203" si="15">SUM(B195:C195)-D195</f>
        <v>225133.68999999994</v>
      </c>
    </row>
    <row r="196" spans="1:8" ht="12.6" customHeight="1" x14ac:dyDescent="0.25">
      <c r="A196" s="173" t="s">
        <v>333</v>
      </c>
      <c r="B196" s="174">
        <v>2501845</v>
      </c>
      <c r="C196" s="189"/>
      <c r="D196" s="174">
        <v>2501845</v>
      </c>
      <c r="E196" s="175">
        <f t="shared" si="15"/>
        <v>0</v>
      </c>
    </row>
    <row r="197" spans="1:8" ht="12.6" customHeight="1" x14ac:dyDescent="0.25">
      <c r="A197" s="173" t="s">
        <v>334</v>
      </c>
      <c r="B197" s="174">
        <v>209077992</v>
      </c>
      <c r="C197" s="189">
        <f>1000000+189457.27</f>
        <v>1189457.27</v>
      </c>
      <c r="D197" s="174">
        <v>209029099.08000001</v>
      </c>
      <c r="E197" s="175">
        <f t="shared" si="15"/>
        <v>1238350.1899999976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5"/>
        <v>0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5"/>
        <v>0</v>
      </c>
    </row>
    <row r="200" spans="1:8" ht="12.6" customHeight="1" x14ac:dyDescent="0.25">
      <c r="A200" s="173" t="s">
        <v>337</v>
      </c>
      <c r="B200" s="174">
        <v>79605301</v>
      </c>
      <c r="C200" s="189">
        <f>212222.07+16681083.73+531</f>
        <v>16893836.800000001</v>
      </c>
      <c r="D200" s="174">
        <f>492490.07+17728.42+79244980.67</f>
        <v>79755199.159999996</v>
      </c>
      <c r="E200" s="175">
        <f t="shared" si="15"/>
        <v>16743938.640000001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5"/>
        <v>0</v>
      </c>
    </row>
    <row r="202" spans="1:8" ht="12.6" customHeight="1" x14ac:dyDescent="0.25">
      <c r="A202" s="173" t="s">
        <v>339</v>
      </c>
      <c r="B202" s="174">
        <v>17396197</v>
      </c>
      <c r="C202" s="189">
        <f>40104.51+6483.42</f>
        <v>46587.93</v>
      </c>
      <c r="D202" s="174">
        <f>14349+17335972.05</f>
        <v>17350321.050000001</v>
      </c>
      <c r="E202" s="175">
        <f t="shared" si="15"/>
        <v>92463.879999998957</v>
      </c>
    </row>
    <row r="203" spans="1:8" ht="12.6" customHeight="1" x14ac:dyDescent="0.25">
      <c r="A203" s="173" t="s">
        <v>340</v>
      </c>
      <c r="B203" s="174">
        <v>704454</v>
      </c>
      <c r="C203" s="189">
        <v>423431</v>
      </c>
      <c r="D203" s="174">
        <v>704454</v>
      </c>
      <c r="E203" s="175">
        <f t="shared" si="15"/>
        <v>423431</v>
      </c>
    </row>
    <row r="204" spans="1:8" ht="12.6" customHeight="1" x14ac:dyDescent="0.25">
      <c r="A204" s="173" t="s">
        <v>203</v>
      </c>
      <c r="B204" s="175">
        <f>SUM(B195:B203)</f>
        <v>310866776</v>
      </c>
      <c r="C204" s="191">
        <f>SUM(C195:C203)</f>
        <v>18553313</v>
      </c>
      <c r="D204" s="175">
        <f>SUM(D195:D203)</f>
        <v>310696771.60000002</v>
      </c>
      <c r="E204" s="175">
        <f>SUM(E195:E203)</f>
        <v>18723317.399999999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2473093</v>
      </c>
      <c r="C209" s="189">
        <f>3191.3+7300.78</f>
        <v>10492.08</v>
      </c>
      <c r="D209" s="174">
        <v>2483585.38</v>
      </c>
      <c r="E209" s="175">
        <f t="shared" ref="E209:E216" si="16">SUM(B209:C209)-D209</f>
        <v>-0.29999999981373549</v>
      </c>
      <c r="H209" s="258"/>
    </row>
    <row r="210" spans="1:8" ht="12.6" customHeight="1" x14ac:dyDescent="0.25">
      <c r="A210" s="173" t="s">
        <v>334</v>
      </c>
      <c r="B210" s="174">
        <v>61533500</v>
      </c>
      <c r="C210" s="189">
        <f>1000000+3579180.92+299518.51</f>
        <v>4878699.43</v>
      </c>
      <c r="D210" s="174">
        <f>65173852.6+238346.83</f>
        <v>65412199.43</v>
      </c>
      <c r="E210" s="175">
        <f t="shared" si="16"/>
        <v>1000000</v>
      </c>
      <c r="H210" s="258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6"/>
        <v>0</v>
      </c>
      <c r="H211" s="258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6"/>
        <v>0</v>
      </c>
      <c r="H212" s="258"/>
    </row>
    <row r="213" spans="1:8" ht="12.6" customHeight="1" x14ac:dyDescent="0.25">
      <c r="A213" s="173" t="s">
        <v>337</v>
      </c>
      <c r="B213" s="174">
        <v>62623268</v>
      </c>
      <c r="C213" s="189">
        <f>1377425.12+97868.95+2964970.72+6517.36-635</f>
        <v>4446147.1500000004</v>
      </c>
      <c r="D213" s="174">
        <f>367606.5+17728.42+65191227.72-272572.67</f>
        <v>65303989.969999999</v>
      </c>
      <c r="E213" s="175">
        <f t="shared" si="16"/>
        <v>1765425.1799999997</v>
      </c>
      <c r="H213" s="258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6"/>
        <v>0</v>
      </c>
      <c r="H214" s="258"/>
    </row>
    <row r="215" spans="1:8" ht="12.6" customHeight="1" x14ac:dyDescent="0.25">
      <c r="A215" s="173" t="s">
        <v>339</v>
      </c>
      <c r="B215" s="174">
        <v>4311099</v>
      </c>
      <c r="C215" s="189">
        <f>73895.42+545715.54</f>
        <v>619610.96000000008</v>
      </c>
      <c r="D215" s="174">
        <f>11615.76+4885502.79+33591.41</f>
        <v>4930709.96</v>
      </c>
      <c r="E215" s="175">
        <f t="shared" si="16"/>
        <v>0</v>
      </c>
      <c r="H215" s="258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6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130940960</v>
      </c>
      <c r="C217" s="191">
        <f>SUM(C208:C216)</f>
        <v>9954949.620000001</v>
      </c>
      <c r="D217" s="175">
        <f>SUM(D208:D216)</f>
        <v>138130484.74000001</v>
      </c>
      <c r="E217" s="175">
        <f>SUM(E208:E216)</f>
        <v>2765424.88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8" t="s">
        <v>1255</v>
      </c>
      <c r="C220" s="298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9655700.4499999993</v>
      </c>
      <c r="D221" s="172">
        <f>C221</f>
        <v>9655700.4499999993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143727735.25999999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85726930.25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6438887.8600000003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1653412.34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69245557.900000006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306792523.61000001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1119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638665.26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945887.51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1584552.77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3205479.11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3205479.11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321238255.94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945549.73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52308143.68+985.67+983.31+7974977-1931.8-6447.63+172360.39+270986.56+1071712.36+981895.33+4392449.33+3023659.31+62103.62-552.35-525580.18+215816.98</f>
        <v>69941561.580000013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270986.56+778029.12+3029592+245+2249441.34+915309.27+541878.1+894646.78+1755948.45+981955.53+13167702+1728203+7554189+12456698.91+182019.6+310407.56+1871325.85+19733+1346314.47+14535.31</f>
        <v>50069160.850000009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1689999.99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934249.29+606694.11</f>
        <v>1540943.4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3309277.12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1044602.71+347840.52-1</f>
        <v>1392442.23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28750613.20000001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f>31908.89+695637</f>
        <v>727545.89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9170.83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736716.72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225133.5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1000000+238350.3</f>
        <v>1238350.3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16681083.73+62855.71</f>
        <v>16743939.440000001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92463.51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154188.88+251936.69+17304.95</f>
        <v>423430.52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18723317.270000003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1000000+1377425.12+388000</f>
        <v>2765425.12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15957892.150000002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6788838.5599999996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300000.02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7088838.5800000001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f>-18210949.51</f>
        <v>-18210949.510000002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-18210949.510000002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34323111.140000001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9675745.24+8702.29</f>
        <v>9684447.5299999993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2134569.67+2656353.74+924538.83+227918.89</f>
        <v>5943381.1299999999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985874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16613702.66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576089.75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576089.75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434646.33+58996.49</f>
        <v>493642.82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-16408.259999999998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20091742.649999999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20568977.209999997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985874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19583103.209999997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1295116.61+24566447.96</f>
        <v>25861564.57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-5898949.04-22412400</f>
        <v>-28311349.039999999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34323111.149999999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34323111.140000001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f>105850205.26+70907183.39</f>
        <v>176757388.65000001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175165335.7+113568463.26</f>
        <v>288733798.95999998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465491187.61000001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f>5882110.96+3773589.49</f>
        <v>9655700.4499999993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122898592.17+187099410.55-3205479.11</f>
        <v>306792523.61000001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920188.09+664364.68</f>
        <v>1584552.77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3205479.11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321238255.94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144252931.67000002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f>88818.97+996122.87+168633.08+3507150.23</f>
        <v>4760725.1500000004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806525.79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5567250.9400000004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149820182.61000001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f>44832830.99+29894096.07</f>
        <v>74726927.060000002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10352039.56+6629705.51</f>
        <v>16981745.07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7435051.24+1956843.34+1527778.41+994312.08</f>
        <v>11913985.07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11121648.29+17392463.32</f>
        <v>28514111.609999999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1463742.3+774298.8</f>
        <v>2238041.1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8823760.05+4507000</f>
        <v>13330760.050000001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2377425.12+7577526</f>
        <v>9954951.120000001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1579607.99+436622.1</f>
        <v>2016230.0899999999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988733.99+1086728.03</f>
        <v>2075462.02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1508494.25+2129621.29</f>
        <v>3638115.54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10143336.11+993461.15</f>
        <v>11136797.26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668103.94+325502.07</f>
        <v>993606.01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177520732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-27700549.389999986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-1879982.43+1033035.14+164204+71943.97</f>
        <v>-610799.31999999995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-28311348.709999986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-28311348.709999986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RCCH Trios Health LLC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5284</v>
      </c>
      <c r="C414" s="194">
        <f>E138</f>
        <v>5284</v>
      </c>
      <c r="D414" s="179"/>
    </row>
    <row r="415" spans="1:5" ht="12.6" customHeight="1" x14ac:dyDescent="0.25">
      <c r="A415" s="179" t="s">
        <v>464</v>
      </c>
      <c r="B415" s="179">
        <f>D111</f>
        <v>17742</v>
      </c>
      <c r="C415" s="179">
        <f>E139</f>
        <v>17742</v>
      </c>
      <c r="D415" s="194">
        <f>SUM(C59:H59)+N59</f>
        <v>17742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1391</v>
      </c>
    </row>
    <row r="424" spans="1:7" ht="12.6" customHeight="1" x14ac:dyDescent="0.25">
      <c r="A424" s="179" t="s">
        <v>1244</v>
      </c>
      <c r="B424" s="179">
        <f>D114</f>
        <v>3358</v>
      </c>
      <c r="D424" s="179">
        <f>J59</f>
        <v>3358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7">C378</f>
        <v>74726927.060000002</v>
      </c>
      <c r="C427" s="179">
        <f t="shared" ref="C427:C434" si="18">CE61</f>
        <v>74726926.50999999</v>
      </c>
      <c r="D427" s="179"/>
    </row>
    <row r="428" spans="1:7" ht="12.6" customHeight="1" x14ac:dyDescent="0.25">
      <c r="A428" s="179" t="s">
        <v>3</v>
      </c>
      <c r="B428" s="179">
        <f t="shared" si="17"/>
        <v>16981745.07</v>
      </c>
      <c r="C428" s="179">
        <f t="shared" si="18"/>
        <v>16981743</v>
      </c>
      <c r="D428" s="179">
        <f>D173</f>
        <v>16981745.07</v>
      </c>
    </row>
    <row r="429" spans="1:7" ht="12.6" customHeight="1" x14ac:dyDescent="0.25">
      <c r="A429" s="179" t="s">
        <v>236</v>
      </c>
      <c r="B429" s="179">
        <f t="shared" si="17"/>
        <v>11913985.07</v>
      </c>
      <c r="C429" s="179">
        <f t="shared" si="18"/>
        <v>11913984.57</v>
      </c>
      <c r="D429" s="179"/>
    </row>
    <row r="430" spans="1:7" ht="12.6" customHeight="1" x14ac:dyDescent="0.25">
      <c r="A430" s="179" t="s">
        <v>237</v>
      </c>
      <c r="B430" s="179">
        <f t="shared" si="17"/>
        <v>28514111.609999999</v>
      </c>
      <c r="C430" s="179">
        <f t="shared" si="18"/>
        <v>28514111.730000004</v>
      </c>
      <c r="D430" s="179"/>
    </row>
    <row r="431" spans="1:7" ht="12.6" customHeight="1" x14ac:dyDescent="0.25">
      <c r="A431" s="179" t="s">
        <v>444</v>
      </c>
      <c r="B431" s="179">
        <f t="shared" si="17"/>
        <v>2238041.1</v>
      </c>
      <c r="C431" s="179">
        <f t="shared" si="18"/>
        <v>2238041.1</v>
      </c>
      <c r="D431" s="179"/>
    </row>
    <row r="432" spans="1:7" ht="12.6" customHeight="1" x14ac:dyDescent="0.25">
      <c r="A432" s="179" t="s">
        <v>445</v>
      </c>
      <c r="B432" s="179">
        <f t="shared" si="17"/>
        <v>13330760.050000001</v>
      </c>
      <c r="C432" s="179">
        <f t="shared" si="18"/>
        <v>13330759.979999995</v>
      </c>
      <c r="D432" s="179"/>
    </row>
    <row r="433" spans="1:7" ht="12.6" customHeight="1" x14ac:dyDescent="0.25">
      <c r="A433" s="179" t="s">
        <v>6</v>
      </c>
      <c r="B433" s="179">
        <f t="shared" si="17"/>
        <v>9954951.120000001</v>
      </c>
      <c r="C433" s="179">
        <f t="shared" si="18"/>
        <v>9954950</v>
      </c>
      <c r="D433" s="179">
        <f>C217</f>
        <v>9954949.620000001</v>
      </c>
    </row>
    <row r="434" spans="1:7" ht="12.6" customHeight="1" x14ac:dyDescent="0.25">
      <c r="A434" s="179" t="s">
        <v>474</v>
      </c>
      <c r="B434" s="179">
        <f t="shared" si="17"/>
        <v>2016230.0899999999</v>
      </c>
      <c r="C434" s="179">
        <f t="shared" si="18"/>
        <v>2016230.0700000003</v>
      </c>
      <c r="D434" s="179">
        <f>D177</f>
        <v>2016230.09</v>
      </c>
    </row>
    <row r="435" spans="1:7" ht="12.6" customHeight="1" x14ac:dyDescent="0.25">
      <c r="A435" s="179" t="s">
        <v>447</v>
      </c>
      <c r="B435" s="179">
        <f t="shared" si="17"/>
        <v>2075462.02</v>
      </c>
      <c r="C435" s="179"/>
      <c r="D435" s="179">
        <f>D181</f>
        <v>2075462.02</v>
      </c>
    </row>
    <row r="436" spans="1:7" ht="12.6" customHeight="1" x14ac:dyDescent="0.25">
      <c r="A436" s="179" t="s">
        <v>475</v>
      </c>
      <c r="B436" s="179">
        <f t="shared" si="17"/>
        <v>3638115.54</v>
      </c>
      <c r="C436" s="179"/>
      <c r="D436" s="179">
        <f>D186</f>
        <v>3638115.54</v>
      </c>
    </row>
    <row r="437" spans="1:7" ht="12.6" customHeight="1" x14ac:dyDescent="0.25">
      <c r="A437" s="194" t="s">
        <v>449</v>
      </c>
      <c r="B437" s="194">
        <f t="shared" si="17"/>
        <v>11136797.26</v>
      </c>
      <c r="C437" s="194"/>
      <c r="D437" s="194">
        <f>D190</f>
        <v>11136797.26</v>
      </c>
    </row>
    <row r="438" spans="1:7" ht="12.6" customHeight="1" x14ac:dyDescent="0.25">
      <c r="A438" s="194" t="s">
        <v>476</v>
      </c>
      <c r="B438" s="194">
        <f>C386+C387+C388</f>
        <v>16850374.82</v>
      </c>
      <c r="C438" s="194">
        <f>CD69</f>
        <v>16850374.82</v>
      </c>
      <c r="D438" s="194">
        <f>D181+D186+D190</f>
        <v>16850374.82</v>
      </c>
    </row>
    <row r="439" spans="1:7" ht="12.6" customHeight="1" x14ac:dyDescent="0.25">
      <c r="A439" s="179" t="s">
        <v>451</v>
      </c>
      <c r="B439" s="194">
        <f>C389</f>
        <v>993606.01</v>
      </c>
      <c r="C439" s="194">
        <f>SUM(C69:CC69)</f>
        <v>993605.92</v>
      </c>
      <c r="D439" s="179"/>
    </row>
    <row r="440" spans="1:7" ht="12.6" customHeight="1" x14ac:dyDescent="0.25">
      <c r="A440" s="179" t="s">
        <v>477</v>
      </c>
      <c r="B440" s="194">
        <f>B438+B439</f>
        <v>17843980.830000002</v>
      </c>
      <c r="C440" s="194">
        <f>CE69</f>
        <v>17843980.740000002</v>
      </c>
      <c r="D440" s="179"/>
    </row>
    <row r="441" spans="1:7" ht="12.6" customHeight="1" x14ac:dyDescent="0.25">
      <c r="A441" s="179" t="s">
        <v>478</v>
      </c>
      <c r="B441" s="179">
        <f>D390</f>
        <v>177520732</v>
      </c>
      <c r="C441" s="179">
        <f>SUM(C427:C437)+C440</f>
        <v>177520727.69999999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9655700.4499999993</v>
      </c>
      <c r="C444" s="179">
        <f>C363</f>
        <v>9655700.4499999993</v>
      </c>
      <c r="D444" s="179"/>
    </row>
    <row r="445" spans="1:7" ht="12.6" customHeight="1" x14ac:dyDescent="0.25">
      <c r="A445" s="179" t="s">
        <v>343</v>
      </c>
      <c r="B445" s="179">
        <f>D229</f>
        <v>306792523.61000001</v>
      </c>
      <c r="C445" s="179">
        <f>C364</f>
        <v>306792523.61000001</v>
      </c>
      <c r="D445" s="179"/>
    </row>
    <row r="446" spans="1:7" ht="12.6" customHeight="1" x14ac:dyDescent="0.25">
      <c r="A446" s="179" t="s">
        <v>351</v>
      </c>
      <c r="B446" s="179">
        <f>D236</f>
        <v>1584552.77</v>
      </c>
      <c r="C446" s="179">
        <f>C365</f>
        <v>1584552.77</v>
      </c>
      <c r="D446" s="179"/>
    </row>
    <row r="447" spans="1:7" ht="12.6" customHeight="1" x14ac:dyDescent="0.25">
      <c r="A447" s="179" t="s">
        <v>356</v>
      </c>
      <c r="B447" s="179">
        <f>D240</f>
        <v>3205479.11</v>
      </c>
      <c r="C447" s="179">
        <f>C366</f>
        <v>3205479.11</v>
      </c>
      <c r="D447" s="179"/>
    </row>
    <row r="448" spans="1:7" ht="12.6" customHeight="1" x14ac:dyDescent="0.25">
      <c r="A448" s="179" t="s">
        <v>358</v>
      </c>
      <c r="B448" s="179">
        <f>D242</f>
        <v>321238255.94</v>
      </c>
      <c r="C448" s="179">
        <f>D367</f>
        <v>321238255.94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1119</v>
      </c>
    </row>
    <row r="454" spans="1:7" ht="12.6" customHeight="1" x14ac:dyDescent="0.25">
      <c r="A454" s="179" t="s">
        <v>168</v>
      </c>
      <c r="B454" s="179">
        <f>C233</f>
        <v>638665.26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945887.51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4760725.1500000004</v>
      </c>
      <c r="C458" s="194">
        <f>CE70</f>
        <v>4760725.16</v>
      </c>
      <c r="D458" s="194"/>
    </row>
    <row r="459" spans="1:7" ht="12.6" customHeight="1" x14ac:dyDescent="0.25">
      <c r="A459" s="179" t="s">
        <v>244</v>
      </c>
      <c r="B459" s="194">
        <f>C371</f>
        <v>806525.79</v>
      </c>
      <c r="C459" s="194">
        <f>CE72</f>
        <v>806525.79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176757388.65000001</v>
      </c>
      <c r="C463" s="194">
        <f>CE73</f>
        <v>176757388.26000002</v>
      </c>
      <c r="D463" s="194">
        <f>E141+E147+E153</f>
        <v>176757388.85000002</v>
      </c>
    </row>
    <row r="464" spans="1:7" ht="12.6" customHeight="1" x14ac:dyDescent="0.25">
      <c r="A464" s="179" t="s">
        <v>246</v>
      </c>
      <c r="B464" s="194">
        <f>C360</f>
        <v>288733798.95999998</v>
      </c>
      <c r="C464" s="194">
        <f>CE74</f>
        <v>288733798.43000001</v>
      </c>
      <c r="D464" s="194">
        <f>E142+E148+E154</f>
        <v>288733798.95999998</v>
      </c>
    </row>
    <row r="465" spans="1:7" ht="12.6" customHeight="1" x14ac:dyDescent="0.25">
      <c r="A465" s="179" t="s">
        <v>247</v>
      </c>
      <c r="B465" s="194">
        <f>D361</f>
        <v>465491187.61000001</v>
      </c>
      <c r="C465" s="194">
        <f>CE75</f>
        <v>465491186.69000006</v>
      </c>
      <c r="D465" s="194">
        <f>D463+D464</f>
        <v>465491187.81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9">C267</f>
        <v>225133.5</v>
      </c>
      <c r="C468" s="179">
        <f>E195</f>
        <v>225133.68999999994</v>
      </c>
      <c r="D468" s="179"/>
    </row>
    <row r="469" spans="1:7" ht="12.6" customHeight="1" x14ac:dyDescent="0.25">
      <c r="A469" s="179" t="s">
        <v>333</v>
      </c>
      <c r="B469" s="179">
        <f t="shared" si="19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9"/>
        <v>1238350.3</v>
      </c>
      <c r="C470" s="179">
        <f>E197</f>
        <v>1238350.1899999976</v>
      </c>
      <c r="D470" s="179"/>
    </row>
    <row r="471" spans="1:7" ht="12.6" customHeight="1" x14ac:dyDescent="0.25">
      <c r="A471" s="179" t="s">
        <v>494</v>
      </c>
      <c r="B471" s="179">
        <f t="shared" si="19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9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9"/>
        <v>16743939.440000001</v>
      </c>
      <c r="C473" s="179">
        <f>SUM(E200:E201)</f>
        <v>16743938.640000001</v>
      </c>
      <c r="D473" s="179"/>
    </row>
    <row r="474" spans="1:7" ht="12.6" customHeight="1" x14ac:dyDescent="0.25">
      <c r="A474" s="179" t="s">
        <v>339</v>
      </c>
      <c r="B474" s="179">
        <f t="shared" si="19"/>
        <v>92463.51</v>
      </c>
      <c r="C474" s="179">
        <f>E202</f>
        <v>92463.879999998957</v>
      </c>
      <c r="D474" s="179"/>
    </row>
    <row r="475" spans="1:7" ht="12.6" customHeight="1" x14ac:dyDescent="0.25">
      <c r="A475" s="179" t="s">
        <v>340</v>
      </c>
      <c r="B475" s="179">
        <f t="shared" si="19"/>
        <v>423430.52</v>
      </c>
      <c r="C475" s="179">
        <f>E203</f>
        <v>423431</v>
      </c>
      <c r="D475" s="179"/>
    </row>
    <row r="476" spans="1:7" ht="12.6" customHeight="1" x14ac:dyDescent="0.25">
      <c r="A476" s="179" t="s">
        <v>203</v>
      </c>
      <c r="B476" s="179">
        <f>D275</f>
        <v>18723317.270000003</v>
      </c>
      <c r="C476" s="179">
        <f>E204</f>
        <v>18723317.399999999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2765425.12</v>
      </c>
      <c r="C478" s="179">
        <f>E217</f>
        <v>2765424.88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34323111.140000001</v>
      </c>
    </row>
    <row r="482" spans="1:12" ht="12.6" customHeight="1" x14ac:dyDescent="0.25">
      <c r="A482" s="180" t="s">
        <v>499</v>
      </c>
      <c r="C482" s="180">
        <f>D339</f>
        <v>34323111.149999999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039</v>
      </c>
      <c r="B493" s="260" t="s">
        <v>1276</v>
      </c>
      <c r="C493" s="260" t="str">
        <f>RIGHT(C82,4)</f>
        <v>2018</v>
      </c>
      <c r="D493" s="260" t="s">
        <v>1276</v>
      </c>
      <c r="E493" s="260" t="str">
        <f>RIGHT(C82,4)</f>
        <v>2018</v>
      </c>
      <c r="F493" s="260" t="s">
        <v>1276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3077169.62</v>
      </c>
      <c r="C496" s="239">
        <f>C71</f>
        <v>3451207.8699999996</v>
      </c>
      <c r="D496" s="239">
        <v>1861</v>
      </c>
      <c r="E496" s="180">
        <f>C59</f>
        <v>2703</v>
      </c>
      <c r="F496" s="262">
        <f t="shared" ref="F496:G511" si="20">IF(B496=0,"",IF(D496=0,"",B496/D496))</f>
        <v>1653.5032885545406</v>
      </c>
      <c r="G496" s="263">
        <f t="shared" si="20"/>
        <v>1276.8064631890491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369</v>
      </c>
      <c r="C497" s="239">
        <f>D71</f>
        <v>1527.23</v>
      </c>
      <c r="D497" s="239">
        <v>0</v>
      </c>
      <c r="E497" s="180">
        <f>D59</f>
        <v>0</v>
      </c>
      <c r="F497" s="262" t="str">
        <f t="shared" si="20"/>
        <v/>
      </c>
      <c r="G497" s="262" t="str">
        <f t="shared" si="20"/>
        <v/>
      </c>
      <c r="H497" s="264" t="str">
        <f t="shared" ref="H497:H550" si="21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8844932.2399999984</v>
      </c>
      <c r="C498" s="239">
        <f>E71</f>
        <v>7704800.4600000009</v>
      </c>
      <c r="D498" s="239">
        <v>13559</v>
      </c>
      <c r="E498" s="180">
        <f>E59</f>
        <v>11996</v>
      </c>
      <c r="F498" s="262">
        <f t="shared" si="20"/>
        <v>652.32924551958092</v>
      </c>
      <c r="G498" s="262">
        <f t="shared" si="20"/>
        <v>642.28079859953323</v>
      </c>
      <c r="H498" s="264" t="str">
        <f t="shared" si="21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6539062.9700000007</v>
      </c>
      <c r="C499" s="239">
        <f>F71</f>
        <v>6335658.4100000001</v>
      </c>
      <c r="D499" s="239">
        <v>3325</v>
      </c>
      <c r="E499" s="180">
        <f>F59</f>
        <v>3043</v>
      </c>
      <c r="F499" s="262">
        <f t="shared" si="20"/>
        <v>1966.6354796992484</v>
      </c>
      <c r="G499" s="262">
        <f t="shared" si="20"/>
        <v>2082.0435129806115</v>
      </c>
      <c r="H499" s="264" t="str">
        <f t="shared" si="21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20"/>
        <v/>
      </c>
      <c r="G500" s="262" t="str">
        <f t="shared" si="20"/>
        <v/>
      </c>
      <c r="H500" s="264" t="str">
        <f t="shared" si="21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20"/>
        <v/>
      </c>
      <c r="G501" s="262" t="str">
        <f t="shared" si="20"/>
        <v/>
      </c>
      <c r="H501" s="264" t="str">
        <f t="shared" si="21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20"/>
        <v/>
      </c>
      <c r="G502" s="262" t="str">
        <f t="shared" si="20"/>
        <v/>
      </c>
      <c r="H502" s="264" t="str">
        <f t="shared" si="21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1805852.88</v>
      </c>
      <c r="C503" s="239">
        <f>J71</f>
        <v>1778083.0400000003</v>
      </c>
      <c r="D503" s="239">
        <v>3574</v>
      </c>
      <c r="E503" s="180">
        <f>J59</f>
        <v>3358</v>
      </c>
      <c r="F503" s="262">
        <f t="shared" si="20"/>
        <v>505.27500839395634</v>
      </c>
      <c r="G503" s="262">
        <f t="shared" si="20"/>
        <v>529.5065634306136</v>
      </c>
      <c r="H503" s="264" t="str">
        <f t="shared" si="21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20"/>
        <v/>
      </c>
      <c r="G504" s="262" t="str">
        <f t="shared" si="20"/>
        <v/>
      </c>
      <c r="H504" s="264" t="str">
        <f t="shared" si="21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20"/>
        <v/>
      </c>
      <c r="G505" s="262" t="str">
        <f t="shared" si="20"/>
        <v/>
      </c>
      <c r="H505" s="264" t="str">
        <f t="shared" si="21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20"/>
        <v/>
      </c>
      <c r="G506" s="262" t="str">
        <f t="shared" si="20"/>
        <v/>
      </c>
      <c r="H506" s="264" t="str">
        <f t="shared" si="21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20"/>
        <v/>
      </c>
      <c r="G507" s="262" t="str">
        <f t="shared" si="20"/>
        <v/>
      </c>
      <c r="H507" s="264" t="str">
        <f t="shared" si="21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20"/>
        <v/>
      </c>
      <c r="G508" s="262" t="str">
        <f t="shared" si="20"/>
        <v/>
      </c>
      <c r="H508" s="264" t="str">
        <f t="shared" si="21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13549209.619999999</v>
      </c>
      <c r="C509" s="239">
        <f>P71</f>
        <v>10143971.17</v>
      </c>
      <c r="D509" s="239">
        <v>328103</v>
      </c>
      <c r="E509" s="180">
        <f>P59</f>
        <v>287949</v>
      </c>
      <c r="F509" s="262">
        <f t="shared" si="20"/>
        <v>41.295598089624292</v>
      </c>
      <c r="G509" s="262">
        <f t="shared" si="20"/>
        <v>35.22836047355608</v>
      </c>
      <c r="H509" s="264" t="str">
        <f t="shared" si="21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853669.5</v>
      </c>
      <c r="C510" s="239">
        <f>Q71</f>
        <v>788875.25</v>
      </c>
      <c r="D510" s="239">
        <v>144644</v>
      </c>
      <c r="E510" s="180">
        <f>Q59</f>
        <v>130439</v>
      </c>
      <c r="F510" s="262">
        <f t="shared" si="20"/>
        <v>5.9018659605652495</v>
      </c>
      <c r="G510" s="262">
        <f t="shared" si="20"/>
        <v>6.0478480362468279</v>
      </c>
      <c r="H510" s="264" t="str">
        <f t="shared" si="21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503394.24</v>
      </c>
      <c r="C511" s="239">
        <f>R71</f>
        <v>2168341.5000000005</v>
      </c>
      <c r="D511" s="239">
        <v>0</v>
      </c>
      <c r="E511" s="180">
        <f>R59</f>
        <v>0</v>
      </c>
      <c r="F511" s="262" t="str">
        <f t="shared" si="20"/>
        <v/>
      </c>
      <c r="G511" s="262" t="str">
        <f t="shared" si="20"/>
        <v/>
      </c>
      <c r="H511" s="264" t="str">
        <f t="shared" si="21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1253302.21</v>
      </c>
      <c r="C512" s="239">
        <f>S71</f>
        <v>1371864.83</v>
      </c>
      <c r="D512" s="181" t="s">
        <v>529</v>
      </c>
      <c r="E512" s="181" t="s">
        <v>529</v>
      </c>
      <c r="F512" s="262" t="str">
        <f t="shared" ref="F512:G527" si="22">IF(B512=0,"",IF(D512=0,"",B512/D512))</f>
        <v/>
      </c>
      <c r="G512" s="262" t="str">
        <f t="shared" si="22"/>
        <v/>
      </c>
      <c r="H512" s="264" t="str">
        <f t="shared" si="21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1092347.19</v>
      </c>
      <c r="C513" s="239">
        <f>T71</f>
        <v>898628.87</v>
      </c>
      <c r="D513" s="181" t="s">
        <v>529</v>
      </c>
      <c r="E513" s="181" t="s">
        <v>529</v>
      </c>
      <c r="F513" s="262" t="str">
        <f t="shared" si="22"/>
        <v/>
      </c>
      <c r="G513" s="262" t="str">
        <f t="shared" si="22"/>
        <v/>
      </c>
      <c r="H513" s="264" t="str">
        <f t="shared" si="21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6291311.8200000003</v>
      </c>
      <c r="C514" s="239">
        <f>U71</f>
        <v>6012126.6000000006</v>
      </c>
      <c r="D514" s="239">
        <v>445324</v>
      </c>
      <c r="E514" s="180">
        <f>U59</f>
        <v>339878</v>
      </c>
      <c r="F514" s="262">
        <f t="shared" si="22"/>
        <v>14.127493285787427</v>
      </c>
      <c r="G514" s="262">
        <f t="shared" si="22"/>
        <v>17.689072549561903</v>
      </c>
      <c r="H514" s="264">
        <f t="shared" si="21"/>
        <v>0.25210270440245086</v>
      </c>
      <c r="I514" s="266" t="s">
        <v>221</v>
      </c>
      <c r="K514" s="260"/>
      <c r="L514" s="260"/>
    </row>
    <row r="515" spans="1:12" ht="12.6" customHeight="1" x14ac:dyDescent="0.25">
      <c r="A515" s="180" t="s">
        <v>531</v>
      </c>
      <c r="B515" s="239">
        <v>132652.5</v>
      </c>
      <c r="C515" s="239">
        <f>V71</f>
        <v>106165.33000000002</v>
      </c>
      <c r="D515" s="239">
        <v>794</v>
      </c>
      <c r="E515" s="180">
        <f>V59</f>
        <v>466</v>
      </c>
      <c r="F515" s="262">
        <f t="shared" si="22"/>
        <v>167.06863979848868</v>
      </c>
      <c r="G515" s="262">
        <f t="shared" si="22"/>
        <v>227.82259656652363</v>
      </c>
      <c r="H515" s="264">
        <f t="shared" si="21"/>
        <v>0.36364668343091733</v>
      </c>
      <c r="I515" s="266" t="s">
        <v>221</v>
      </c>
      <c r="K515" s="260"/>
      <c r="L515" s="260"/>
    </row>
    <row r="516" spans="1:12" ht="12.6" customHeight="1" x14ac:dyDescent="0.25">
      <c r="A516" s="180" t="s">
        <v>532</v>
      </c>
      <c r="B516" s="239">
        <v>595014.83000000007</v>
      </c>
      <c r="C516" s="239">
        <f>W71</f>
        <v>772745.05999999994</v>
      </c>
      <c r="D516" s="239">
        <v>3286</v>
      </c>
      <c r="E516" s="180">
        <f>W59</f>
        <v>2645</v>
      </c>
      <c r="F516" s="262">
        <f t="shared" si="22"/>
        <v>181.07572428484482</v>
      </c>
      <c r="G516" s="262">
        <f t="shared" si="22"/>
        <v>292.15314177693762</v>
      </c>
      <c r="H516" s="264">
        <f t="shared" si="21"/>
        <v>0.61343075075795483</v>
      </c>
      <c r="I516" s="266" t="s">
        <v>221</v>
      </c>
      <c r="K516" s="260"/>
      <c r="L516" s="260"/>
    </row>
    <row r="517" spans="1:12" ht="12.6" customHeight="1" x14ac:dyDescent="0.25">
      <c r="A517" s="180" t="s">
        <v>533</v>
      </c>
      <c r="B517" s="239">
        <v>1322822.6900000002</v>
      </c>
      <c r="C517" s="239">
        <f>X71</f>
        <v>1432146.73</v>
      </c>
      <c r="D517" s="239">
        <v>12179</v>
      </c>
      <c r="E517" s="180">
        <f>X59</f>
        <v>11519</v>
      </c>
      <c r="F517" s="262">
        <f t="shared" si="22"/>
        <v>108.61504967567126</v>
      </c>
      <c r="G517" s="262">
        <f t="shared" si="22"/>
        <v>124.3290849900165</v>
      </c>
      <c r="H517" s="264" t="str">
        <f t="shared" si="21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10028947.159999998</v>
      </c>
      <c r="C518" s="239">
        <f>Y71</f>
        <v>7122032.5</v>
      </c>
      <c r="D518" s="239">
        <v>66506</v>
      </c>
      <c r="E518" s="180">
        <f>Y59</f>
        <v>51196</v>
      </c>
      <c r="F518" s="262">
        <f t="shared" si="22"/>
        <v>150.79762968754696</v>
      </c>
      <c r="G518" s="262">
        <f t="shared" si="22"/>
        <v>139.11306547386513</v>
      </c>
      <c r="H518" s="264" t="str">
        <f t="shared" si="21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7286595.1399999997</v>
      </c>
      <c r="C519" s="239">
        <f>Z71</f>
        <v>7259632.2200000007</v>
      </c>
      <c r="D519" s="239">
        <v>0</v>
      </c>
      <c r="E519" s="180">
        <f>Z59</f>
        <v>468114</v>
      </c>
      <c r="F519" s="262" t="str">
        <f t="shared" si="22"/>
        <v/>
      </c>
      <c r="G519" s="262">
        <f t="shared" si="22"/>
        <v>15.5082570057721</v>
      </c>
      <c r="H519" s="264" t="str">
        <f t="shared" si="21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893963.3600000001</v>
      </c>
      <c r="C520" s="239">
        <f>AA71</f>
        <v>959376.82</v>
      </c>
      <c r="D520" s="239">
        <v>1503</v>
      </c>
      <c r="E520" s="180">
        <f>AA59</f>
        <v>1847</v>
      </c>
      <c r="F520" s="262">
        <f t="shared" si="22"/>
        <v>594.78600133067209</v>
      </c>
      <c r="G520" s="262">
        <f t="shared" si="22"/>
        <v>519.42437466161346</v>
      </c>
      <c r="H520" s="264" t="str">
        <f t="shared" si="21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4244642.459999999</v>
      </c>
      <c r="C521" s="239">
        <f>AB71</f>
        <v>4207757.67</v>
      </c>
      <c r="D521" s="181" t="s">
        <v>529</v>
      </c>
      <c r="E521" s="181" t="s">
        <v>529</v>
      </c>
      <c r="F521" s="262" t="str">
        <f t="shared" si="22"/>
        <v/>
      </c>
      <c r="G521" s="262" t="str">
        <f t="shared" si="22"/>
        <v/>
      </c>
      <c r="H521" s="264" t="str">
        <f t="shared" si="21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1989083.2000000002</v>
      </c>
      <c r="C522" s="239">
        <f>AC71</f>
        <v>1852455.19</v>
      </c>
      <c r="D522" s="239">
        <v>49974</v>
      </c>
      <c r="E522" s="180">
        <f>AC59</f>
        <v>63081</v>
      </c>
      <c r="F522" s="262">
        <f t="shared" si="22"/>
        <v>39.802361227838482</v>
      </c>
      <c r="G522" s="262">
        <f t="shared" si="22"/>
        <v>29.366293971243323</v>
      </c>
      <c r="H522" s="264">
        <f t="shared" si="21"/>
        <v>-0.26219718968069627</v>
      </c>
      <c r="I522" s="266" t="s">
        <v>221</v>
      </c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22"/>
        <v/>
      </c>
      <c r="G523" s="262" t="str">
        <f t="shared" si="22"/>
        <v/>
      </c>
      <c r="H523" s="264" t="str">
        <f t="shared" si="21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1409325.5199999998</v>
      </c>
      <c r="C524" s="239">
        <f>AE71</f>
        <v>939590.59000000008</v>
      </c>
      <c r="D524" s="239">
        <v>32011</v>
      </c>
      <c r="E524" s="180">
        <f>AE59</f>
        <v>21158</v>
      </c>
      <c r="F524" s="262">
        <f t="shared" si="22"/>
        <v>44.02628846334072</v>
      </c>
      <c r="G524" s="262">
        <f t="shared" si="22"/>
        <v>44.40828953587296</v>
      </c>
      <c r="H524" s="264" t="str">
        <f t="shared" si="21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22"/>
        <v/>
      </c>
      <c r="G525" s="262" t="str">
        <f t="shared" si="22"/>
        <v/>
      </c>
      <c r="H525" s="264" t="str">
        <f t="shared" si="21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11042830.870000001</v>
      </c>
      <c r="C526" s="239">
        <f>AG71</f>
        <v>9453097.5099999998</v>
      </c>
      <c r="D526" s="239">
        <v>29126</v>
      </c>
      <c r="E526" s="180">
        <f>AG59</f>
        <v>27043</v>
      </c>
      <c r="F526" s="262">
        <f t="shared" si="22"/>
        <v>379.13997356313951</v>
      </c>
      <c r="G526" s="262">
        <f t="shared" si="22"/>
        <v>349.55801908072328</v>
      </c>
      <c r="H526" s="264" t="str">
        <f t="shared" si="21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22"/>
        <v/>
      </c>
      <c r="G527" s="262" t="str">
        <f t="shared" si="22"/>
        <v/>
      </c>
      <c r="H527" s="264" t="str">
        <f t="shared" si="21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3645931.5500000003</v>
      </c>
      <c r="C528" s="239">
        <f>AI71</f>
        <v>3080480.23</v>
      </c>
      <c r="D528" s="239">
        <v>19924</v>
      </c>
      <c r="E528" s="180">
        <f>AI59</f>
        <v>27095</v>
      </c>
      <c r="F528" s="262">
        <f t="shared" ref="F528:G540" si="23">IF(B528=0,"",IF(D528=0,"",B528/D528))</f>
        <v>182.99194689821323</v>
      </c>
      <c r="G528" s="262">
        <f t="shared" si="23"/>
        <v>113.69183354862521</v>
      </c>
      <c r="H528" s="264">
        <f t="shared" si="21"/>
        <v>-0.37870580932250131</v>
      </c>
      <c r="I528" s="266" t="s">
        <v>221</v>
      </c>
      <c r="K528" s="260"/>
      <c r="L528" s="260"/>
    </row>
    <row r="529" spans="1:12" ht="12.6" customHeight="1" x14ac:dyDescent="0.25">
      <c r="A529" s="180" t="s">
        <v>545</v>
      </c>
      <c r="B529" s="239">
        <v>2106249.8200000003</v>
      </c>
      <c r="C529" s="239">
        <f>AJ71</f>
        <v>1778483.7899999998</v>
      </c>
      <c r="D529" s="239">
        <v>10434</v>
      </c>
      <c r="E529" s="180">
        <f>AJ59</f>
        <v>8787</v>
      </c>
      <c r="F529" s="262">
        <f t="shared" si="23"/>
        <v>201.86408088940007</v>
      </c>
      <c r="G529" s="262">
        <f t="shared" si="23"/>
        <v>202.39942983953566</v>
      </c>
      <c r="H529" s="264" t="str">
        <f t="shared" si="21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23"/>
        <v/>
      </c>
      <c r="G530" s="262" t="str">
        <f t="shared" si="23"/>
        <v/>
      </c>
      <c r="H530" s="264" t="str">
        <f t="shared" si="21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211923.12</v>
      </c>
      <c r="C531" s="239">
        <f>AL71</f>
        <v>155782.21000000002</v>
      </c>
      <c r="D531" s="239">
        <v>5702</v>
      </c>
      <c r="E531" s="180">
        <f>AL59</f>
        <v>3311</v>
      </c>
      <c r="F531" s="262">
        <f t="shared" si="23"/>
        <v>37.166453875833042</v>
      </c>
      <c r="G531" s="262">
        <f t="shared" si="23"/>
        <v>47.049897311990343</v>
      </c>
      <c r="H531" s="264">
        <f t="shared" si="21"/>
        <v>0.26592376741607482</v>
      </c>
      <c r="I531" s="266" t="s">
        <v>221</v>
      </c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23"/>
        <v/>
      </c>
      <c r="G532" s="262" t="str">
        <f t="shared" si="23"/>
        <v/>
      </c>
      <c r="H532" s="264" t="str">
        <f t="shared" si="21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23"/>
        <v/>
      </c>
      <c r="G533" s="262" t="str">
        <f t="shared" si="23"/>
        <v/>
      </c>
      <c r="H533" s="264" t="str">
        <f t="shared" si="21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23"/>
        <v/>
      </c>
      <c r="G534" s="262" t="str">
        <f t="shared" si="23"/>
        <v/>
      </c>
      <c r="H534" s="264" t="str">
        <f t="shared" si="21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43881133.43</v>
      </c>
      <c r="C535" s="239">
        <f>AP71</f>
        <v>35858127.950000003</v>
      </c>
      <c r="D535" s="239">
        <v>206548</v>
      </c>
      <c r="E535" s="180">
        <f>AP59</f>
        <v>208416</v>
      </c>
      <c r="F535" s="262">
        <f t="shared" si="23"/>
        <v>212.45005243333267</v>
      </c>
      <c r="G535" s="262">
        <f t="shared" si="23"/>
        <v>172.05074442461233</v>
      </c>
      <c r="H535" s="264" t="str">
        <f t="shared" si="21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126548.88</v>
      </c>
      <c r="D536" s="239">
        <v>0</v>
      </c>
      <c r="E536" s="180">
        <f>AQ59</f>
        <v>0</v>
      </c>
      <c r="F536" s="262" t="str">
        <f t="shared" si="23"/>
        <v/>
      </c>
      <c r="G536" s="262" t="str">
        <f t="shared" si="23"/>
        <v/>
      </c>
      <c r="H536" s="264" t="str">
        <f t="shared" si="21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2619118.52</v>
      </c>
      <c r="C537" s="239">
        <f>AR71</f>
        <v>1373927.5100000005</v>
      </c>
      <c r="D537" s="239">
        <v>12874</v>
      </c>
      <c r="E537" s="180">
        <f>AR59</f>
        <v>11432</v>
      </c>
      <c r="F537" s="262">
        <f t="shared" si="23"/>
        <v>203.44248252291439</v>
      </c>
      <c r="G537" s="262">
        <f t="shared" si="23"/>
        <v>120.18260234429675</v>
      </c>
      <c r="H537" s="264">
        <f t="shared" si="21"/>
        <v>-0.40925513268468794</v>
      </c>
      <c r="I537" s="266" t="s">
        <v>221</v>
      </c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23"/>
        <v/>
      </c>
      <c r="G538" s="262" t="str">
        <f t="shared" si="23"/>
        <v/>
      </c>
      <c r="H538" s="264" t="str">
        <f t="shared" si="21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23"/>
        <v/>
      </c>
      <c r="G539" s="262" t="str">
        <f t="shared" si="23"/>
        <v/>
      </c>
      <c r="H539" s="264" t="str">
        <f t="shared" si="21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23"/>
        <v/>
      </c>
      <c r="G540" s="262" t="str">
        <f t="shared" si="23"/>
        <v/>
      </c>
      <c r="H540" s="264" t="str">
        <f t="shared" si="21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75795.81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2699246.57</v>
      </c>
      <c r="C542" s="239">
        <f>AW71</f>
        <v>2492426.1399999997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1859575.8099999998</v>
      </c>
      <c r="C544" s="239">
        <f>AY71</f>
        <v>1456286.75</v>
      </c>
      <c r="D544" s="239">
        <v>378225</v>
      </c>
      <c r="E544" s="180">
        <f>AY59</f>
        <v>333727</v>
      </c>
      <c r="F544" s="262">
        <f t="shared" ref="F544:G550" si="24">IF(B544=0,"",IF(D544=0,"",B544/D544))</f>
        <v>4.9165861854716102</v>
      </c>
      <c r="G544" s="262">
        <f t="shared" si="24"/>
        <v>4.3637067123726876</v>
      </c>
      <c r="H544" s="264" t="str">
        <f t="shared" si="21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0</v>
      </c>
      <c r="C545" s="239">
        <f>AZ71</f>
        <v>0</v>
      </c>
      <c r="D545" s="239">
        <v>0</v>
      </c>
      <c r="E545" s="180">
        <f>AZ59</f>
        <v>0</v>
      </c>
      <c r="F545" s="262" t="str">
        <f t="shared" si="24"/>
        <v/>
      </c>
      <c r="G545" s="262" t="str">
        <f t="shared" si="24"/>
        <v/>
      </c>
      <c r="H545" s="264" t="str">
        <f t="shared" si="21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326529.88</v>
      </c>
      <c r="C546" s="239">
        <f>BA71</f>
        <v>317973.09000000003</v>
      </c>
      <c r="D546" s="239">
        <v>0</v>
      </c>
      <c r="E546" s="180">
        <f>BA59</f>
        <v>0</v>
      </c>
      <c r="F546" s="262" t="str">
        <f t="shared" si="24"/>
        <v/>
      </c>
      <c r="G546" s="262" t="str">
        <f t="shared" si="24"/>
        <v/>
      </c>
      <c r="H546" s="264" t="str">
        <f t="shared" si="21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803292.51999999979</v>
      </c>
      <c r="C549" s="239">
        <f>BD71</f>
        <v>980867.34000000008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4838993.2300000004</v>
      </c>
      <c r="C550" s="239">
        <f>BE71</f>
        <v>4202322.74</v>
      </c>
      <c r="D550" s="239">
        <v>633750</v>
      </c>
      <c r="E550" s="180">
        <f>BE59</f>
        <v>602427</v>
      </c>
      <c r="F550" s="262">
        <f t="shared" si="24"/>
        <v>7.6354922761341228</v>
      </c>
      <c r="G550" s="262">
        <f t="shared" si="24"/>
        <v>6.9756547100312574</v>
      </c>
      <c r="H550" s="264" t="str">
        <f t="shared" si="21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2401204.3200000003</v>
      </c>
      <c r="C551" s="239">
        <f>BF71</f>
        <v>2255668.5499999998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533309.66</v>
      </c>
      <c r="C552" s="239">
        <f>BG71</f>
        <v>395400.93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4261265.4499999993</v>
      </c>
      <c r="C553" s="239">
        <f>BH71</f>
        <v>4717422.2599999988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1035289.4700000001</v>
      </c>
      <c r="C555" s="239">
        <f>BJ71</f>
        <v>910425.51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2616225.33</v>
      </c>
      <c r="C556" s="239">
        <f>BK71</f>
        <v>1883177.7899999998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1397100.65</v>
      </c>
      <c r="C557" s="239">
        <f>BL71</f>
        <v>1048655.21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4479904.03</v>
      </c>
      <c r="C559" s="239">
        <f>BN71</f>
        <v>7418740.0999999996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218809.20999999996</v>
      </c>
      <c r="C560" s="239">
        <f>BO71</f>
        <v>235689.38999999998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808262.19000000006</v>
      </c>
      <c r="C561" s="239">
        <f>BP71</f>
        <v>441682.19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906147.96</v>
      </c>
      <c r="C563" s="239">
        <f>BR71</f>
        <v>848790.95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489288.38000000006</v>
      </c>
      <c r="C564" s="239">
        <f>BS71</f>
        <v>436864.36999999994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17911.289999999997</v>
      </c>
      <c r="C565" s="239">
        <f>BT71</f>
        <v>14092.47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1506567.65</v>
      </c>
      <c r="C567" s="239">
        <f>BV71</f>
        <v>1663256.7600000002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585937.64</v>
      </c>
      <c r="C568" s="239">
        <f>BW71</f>
        <v>539802.10000000009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1789152.9400000002</v>
      </c>
      <c r="C569" s="239">
        <f>BX71</f>
        <v>1889174.8899999997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1992050.92</v>
      </c>
      <c r="C570" s="239">
        <f>BY71</f>
        <v>1756871.8900000001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332303.58999999997</v>
      </c>
      <c r="C572" s="239">
        <f>CA71</f>
        <v>306998.94999999995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398697.39</v>
      </c>
      <c r="C573" s="239">
        <f>CB71</f>
        <v>251114.75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3334697.06</v>
      </c>
      <c r="C574" s="239">
        <f>CC71</f>
        <v>3463323.1700000004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20763581.469999999</v>
      </c>
      <c r="C575" s="239">
        <f>CD71</f>
        <v>15699538.83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551373</v>
      </c>
      <c r="E612" s="180">
        <f>SUM(C624:D647)+SUM(C668:D713)</f>
        <v>154009459.12835854</v>
      </c>
      <c r="F612" s="180">
        <f>CE64-(AX64+BD64+BE64+BG64+BJ64+BN64+BP64+BQ64+CB64+CC64+CD64)</f>
        <v>28448659.880000003</v>
      </c>
      <c r="G612" s="180">
        <f>CE77-(AX77+AY77+BD77+BE77+BG77+BJ77+BN77+BP77+BQ77+CB77+CC77+CD77)</f>
        <v>333727</v>
      </c>
      <c r="H612" s="197">
        <f>CE60-(AX60+AY60+AZ60+BD60+BE60+BG60+BJ60+BN60+BO60+BP60+BQ60+BR60+CB60+CC60+CD60)</f>
        <v>718.84000000000026</v>
      </c>
      <c r="I612" s="180">
        <f>CE78-(AX78+AY78+AZ78+BD78+BE78+BF78+BG78+BJ78+BN78+BO78+BP78+BQ78+BR78+CB78+CC78+CD78)</f>
        <v>49635.82088179978</v>
      </c>
      <c r="J612" s="180">
        <f>CE79-(AX79+AY79+AZ79+BA79+BD79+BE79+BF79+BG79+BJ79+BN79+BO79+BP79+BQ79+BR79+CB79+CC79+CD79)</f>
        <v>652556</v>
      </c>
      <c r="K612" s="180">
        <f>CE75-(AW75+AX75+AY75+AZ75+BA75+BB75+BC75+BD75+BE75+BF75+BG75+BH75+BI75+BJ75+BK75+BL75+BM75+BN75+BO75+BP75+BQ75+BR75+BS75+BT75+BU75+BV75+BW75+BX75+CB75+CC75+CD75)</f>
        <v>465491186.69000006</v>
      </c>
      <c r="L612" s="197">
        <f>CE80-(AW80+AX80+AY80+AZ80+BA80+BB80+BC80+BD80+BE80+BF80+BG80+BH80+BI80+BJ80+BK80+BL80+BM80+BN80+BO80+BP80+BQ80+BR80+BS80+BT80+BU80+BV80+BW80+BX80+BY80+BZ80+CA80+CB80+CC80+CD80)</f>
        <v>207.55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4202322.74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15699538.83</v>
      </c>
      <c r="D615" s="265">
        <f>SUM(C614:C615)</f>
        <v>19901861.57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910425.51</v>
      </c>
      <c r="D617" s="180">
        <f>(D615/D612)*BJ76</f>
        <v>92042.495739726102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395400.93</v>
      </c>
      <c r="D618" s="180">
        <f>(D615/D612)*BG76</f>
        <v>60748.047188219229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7418740.0999999996</v>
      </c>
      <c r="D619" s="180">
        <f>(D615/D612)*BN76</f>
        <v>199497.59762881027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3463323.1700000004</v>
      </c>
      <c r="D620" s="180">
        <f>(D615/D612)*CC76</f>
        <v>5458841.8992931284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441682.19</v>
      </c>
      <c r="D621" s="180">
        <f>(D615/D612)*BP76</f>
        <v>47573.33701370941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251114.75</v>
      </c>
      <c r="D622" s="180">
        <f>(D615/D612)*CB76</f>
        <v>11153.384777872692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18750543.411641467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980867.34000000008</v>
      </c>
      <c r="D624" s="180">
        <f>(D615/D612)*BD76</f>
        <v>286378.49458783801</v>
      </c>
      <c r="E624" s="180">
        <f>(E623/E612)*SUM(C624:D624)</f>
        <v>154286.28974572994</v>
      </c>
      <c r="F624" s="180">
        <f>SUM(C624:E624)</f>
        <v>1421532.1243335679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1456286.75</v>
      </c>
      <c r="D625" s="180">
        <f>(D615/D612)*AY76</f>
        <v>375352.90713623987</v>
      </c>
      <c r="E625" s="180">
        <f>(E623/E612)*SUM(C625:D625)</f>
        <v>223000.84098726104</v>
      </c>
      <c r="F625" s="180">
        <f>(F624/F612)*AY64</f>
        <v>27253.110345865494</v>
      </c>
      <c r="G625" s="180">
        <f>SUM(C625:F625)</f>
        <v>2081893.6084693666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848790.95</v>
      </c>
      <c r="D626" s="180">
        <f>(D615/D612)*BR76</f>
        <v>123084.27861665333</v>
      </c>
      <c r="E626" s="180">
        <f>(E623/E612)*SUM(C626:D626)</f>
        <v>118325.12605402693</v>
      </c>
      <c r="F626" s="180">
        <f>(F624/F612)*BR64</f>
        <v>387.00724132562198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235689.38999999998</v>
      </c>
      <c r="D627" s="180">
        <f>(D615/D612)*BO76</f>
        <v>7616.0653337577287</v>
      </c>
      <c r="E627" s="180">
        <f>(E623/E612)*SUM(C627:D627)</f>
        <v>29622.268192777348</v>
      </c>
      <c r="F627" s="180">
        <f>(F624/F612)*BO64</f>
        <v>449.95385007767987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1718773.8634029354</v>
      </c>
      <c r="H628" s="180">
        <f>SUM(C626:G628)</f>
        <v>3082738.9026915543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2255668.5499999998</v>
      </c>
      <c r="D629" s="180">
        <f>(D615/D612)*BF76</f>
        <v>100524.84338632831</v>
      </c>
      <c r="E629" s="180">
        <f>(E623/E612)*SUM(C629:D629)</f>
        <v>286864.88972142682</v>
      </c>
      <c r="F629" s="180">
        <f>(F624/F612)*BF64</f>
        <v>7876.007226231889</v>
      </c>
      <c r="G629" s="180">
        <f>(G625/G612)*BF77</f>
        <v>0</v>
      </c>
      <c r="H629" s="180">
        <f>(H628/H612)*BF60</f>
        <v>160389.56507799245</v>
      </c>
      <c r="I629" s="180">
        <f>SUM(C629:H629)</f>
        <v>2811323.8554119794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317973.09000000003</v>
      </c>
      <c r="D630" s="180">
        <f>(D615/D612)*BA76</f>
        <v>61722.614790169268</v>
      </c>
      <c r="E630" s="180">
        <f>(E623/E612)*SUM(C630:D630)</f>
        <v>46227.685209569856</v>
      </c>
      <c r="F630" s="180">
        <f>(F624/F612)*BA64</f>
        <v>3661.0148995851473</v>
      </c>
      <c r="G630" s="180">
        <f>(G625/G612)*BA77</f>
        <v>0</v>
      </c>
      <c r="H630" s="180">
        <f>(H628/H612)*BA60</f>
        <v>0</v>
      </c>
      <c r="I630" s="180">
        <f>(I629/I612)*BA78</f>
        <v>13206.608004006695</v>
      </c>
      <c r="J630" s="180">
        <f>SUM(C630:I630)</f>
        <v>442791.01290333102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2492426.1399999997</v>
      </c>
      <c r="D631" s="180">
        <f>(D615/D612)*AW76</f>
        <v>50352.659434085457</v>
      </c>
      <c r="E631" s="180">
        <f>(E623/E612)*SUM(C631:D631)</f>
        <v>309581.53177625895</v>
      </c>
      <c r="F631" s="180">
        <f>(F624/F612)*AW64</f>
        <v>1512.3750603047058</v>
      </c>
      <c r="G631" s="180">
        <f>(G625/G612)*AW77</f>
        <v>0</v>
      </c>
      <c r="H631" s="180">
        <f>(H628/H612)*AW60</f>
        <v>114502.71089792509</v>
      </c>
      <c r="I631" s="180">
        <f>(I629/I612)*AW78</f>
        <v>10773.811792742305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1883177.7899999998</v>
      </c>
      <c r="D635" s="180">
        <f>(D615/D612)*BK76</f>
        <v>215632.10570553871</v>
      </c>
      <c r="E635" s="180">
        <f>(E623/E612)*SUM(C635:D635)</f>
        <v>255528.6297668906</v>
      </c>
      <c r="F635" s="180">
        <f>(F624/F612)*BK64</f>
        <v>314.74553584366271</v>
      </c>
      <c r="G635" s="180">
        <f>(G625/G612)*BK77</f>
        <v>0</v>
      </c>
      <c r="H635" s="180">
        <f>(H628/H612)*BK60</f>
        <v>75048.593285156894</v>
      </c>
      <c r="I635" s="180">
        <f>(I629/I612)*BK78</f>
        <v>46138.173225693565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4717422.2599999988</v>
      </c>
      <c r="D636" s="180">
        <f>(D615/D612)*BH76</f>
        <v>290854.2865375345</v>
      </c>
      <c r="E636" s="180">
        <f>(E623/E612)*SUM(C636:D636)</f>
        <v>609754.14974407956</v>
      </c>
      <c r="F636" s="180">
        <f>(F624/F612)*BH64</f>
        <v>4410.7992376419461</v>
      </c>
      <c r="G636" s="180">
        <f>(G625/G612)*BH77</f>
        <v>0</v>
      </c>
      <c r="H636" s="180">
        <f>(H628/H612)*BH60</f>
        <v>84054.424479375739</v>
      </c>
      <c r="I636" s="180">
        <f>(I629/I612)*BH78</f>
        <v>62233.244032915762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1048655.21</v>
      </c>
      <c r="D637" s="180">
        <f>(D615/D612)*BL76</f>
        <v>211372.88433405335</v>
      </c>
      <c r="E637" s="180">
        <f>(E623/E612)*SUM(C637:D637)</f>
        <v>153407.53494243085</v>
      </c>
      <c r="F637" s="180">
        <f>(F624/F612)*BL64</f>
        <v>1341.5398239729934</v>
      </c>
      <c r="G637" s="180">
        <f>(G625/G612)*BL77</f>
        <v>0</v>
      </c>
      <c r="H637" s="180">
        <f>(H628/H612)*BL60</f>
        <v>81781.524225596688</v>
      </c>
      <c r="I637" s="180">
        <f>(I629/I612)*BL78</f>
        <v>45226.840041791344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436864.36999999994</v>
      </c>
      <c r="D639" s="180">
        <f>(D615/D612)*BS76</f>
        <v>174231.03017084624</v>
      </c>
      <c r="E639" s="180">
        <f>(E623/E612)*SUM(C639:D639)</f>
        <v>74400.435495380414</v>
      </c>
      <c r="F639" s="180">
        <f>(F624/F612)*BS64</f>
        <v>699.63012236247096</v>
      </c>
      <c r="G639" s="180">
        <f>(G625/G612)*BS77</f>
        <v>0</v>
      </c>
      <c r="H639" s="180">
        <f>(H628/H612)*BS60</f>
        <v>4288.4910448661085</v>
      </c>
      <c r="I639" s="180">
        <f>(I629/I612)*BS78</f>
        <v>37279.705751661008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14092.47</v>
      </c>
      <c r="D640" s="180">
        <f>(D615/D612)*BT76</f>
        <v>31150.068166032794</v>
      </c>
      <c r="E640" s="180">
        <f>(E623/E612)*SUM(C640:D640)</f>
        <v>5508.2472254383629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6665.0893026068879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1663256.7600000002</v>
      </c>
      <c r="D642" s="180">
        <f>(D615/D612)*BV76</f>
        <v>32485.586731668034</v>
      </c>
      <c r="E642" s="180">
        <f>(E623/E612)*SUM(C642:D642)</f>
        <v>206455.43895359445</v>
      </c>
      <c r="F642" s="180">
        <f>(F624/F612)*BV64</f>
        <v>223.67874773467278</v>
      </c>
      <c r="G642" s="180">
        <f>(G625/G612)*BV77</f>
        <v>0</v>
      </c>
      <c r="H642" s="180">
        <f>(H628/H612)*BV60</f>
        <v>21442.455224330544</v>
      </c>
      <c r="I642" s="180">
        <f>(I629/I612)*BV78</f>
        <v>6950.8463178982611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539802.10000000009</v>
      </c>
      <c r="D643" s="180">
        <f>(D615/D612)*BW76</f>
        <v>136692.1299475854</v>
      </c>
      <c r="E643" s="180">
        <f>(E623/E612)*SUM(C643:D643)</f>
        <v>82362.697058660604</v>
      </c>
      <c r="F643" s="180">
        <f>(F624/F612)*BW64</f>
        <v>2655.1458504729867</v>
      </c>
      <c r="G643" s="180">
        <f>(G625/G612)*BW77</f>
        <v>0</v>
      </c>
      <c r="H643" s="180">
        <f>(H628/H612)*BW60</f>
        <v>8576.982089732217</v>
      </c>
      <c r="I643" s="180">
        <f>(I629/I612)*BW78</f>
        <v>29247.616673200799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1889174.8899999997</v>
      </c>
      <c r="D644" s="180">
        <f>(D615/D612)*BX76</f>
        <v>25555.328228912189</v>
      </c>
      <c r="E644" s="180">
        <f>(E623/E612)*SUM(C644:D644)</f>
        <v>233117.05840457752</v>
      </c>
      <c r="F644" s="180">
        <f>(F624/F612)*BX64</f>
        <v>205.16398112524061</v>
      </c>
      <c r="G644" s="180">
        <f>(G625/G612)*BX77</f>
        <v>0</v>
      </c>
      <c r="H644" s="180">
        <f>(H628/H612)*BX60</f>
        <v>34307.928358928868</v>
      </c>
      <c r="I644" s="180">
        <f>(I629/I612)*BX78</f>
        <v>5467.9991034132991</v>
      </c>
      <c r="J644" s="180">
        <f>(J630/J612)*BX79</f>
        <v>0</v>
      </c>
      <c r="K644" s="180">
        <f>SUM(C631:J644)</f>
        <v>18468663.306830864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1756871.8900000001</v>
      </c>
      <c r="D645" s="180">
        <f>(D615/D612)*BY76</f>
        <v>117345.15829405865</v>
      </c>
      <c r="E645" s="180">
        <f>(E623/E612)*SUM(C645:D645)</f>
        <v>228184.6084375041</v>
      </c>
      <c r="F645" s="180">
        <f>(F624/F612)*BY64</f>
        <v>46.641441849718468</v>
      </c>
      <c r="G645" s="180">
        <f>(G625/G612)*BY77</f>
        <v>0</v>
      </c>
      <c r="H645" s="180">
        <f>(H628/H612)*BY60</f>
        <v>63898.516568505016</v>
      </c>
      <c r="I645" s="180">
        <f>(I629/I612)*BY78</f>
        <v>25108.001532763603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306998.94999999995</v>
      </c>
      <c r="D647" s="180">
        <f>(D615/D612)*CA76</f>
        <v>79481.402203481121</v>
      </c>
      <c r="E647" s="180">
        <f>(E623/E612)*SUM(C647:D647)</f>
        <v>47053.711263917306</v>
      </c>
      <c r="F647" s="180">
        <f>(F624/F612)*CA64</f>
        <v>602.29780491670215</v>
      </c>
      <c r="G647" s="180">
        <f>(G625/G612)*CA77</f>
        <v>0</v>
      </c>
      <c r="H647" s="180">
        <f>(H628/H612)*CA60</f>
        <v>8576.982089732217</v>
      </c>
      <c r="I647" s="180">
        <f>(I629/I612)*CA78</f>
        <v>17006.403991124414</v>
      </c>
      <c r="J647" s="180">
        <f>(J630/J612)*CA79</f>
        <v>0</v>
      </c>
      <c r="K647" s="180">
        <v>0</v>
      </c>
      <c r="L647" s="180">
        <f>SUM(C645:K647)</f>
        <v>2651174.5636278535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55626567.120000005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3451207.8699999996</v>
      </c>
      <c r="D668" s="180">
        <f>(D615/D612)*C76</f>
        <v>297134.83330565697</v>
      </c>
      <c r="E668" s="180">
        <f>(E623/E612)*SUM(C668:D668)</f>
        <v>456358.08980709937</v>
      </c>
      <c r="F668" s="180">
        <f>(F624/F612)*C64</f>
        <v>16460.1966551037</v>
      </c>
      <c r="G668" s="180">
        <f>(G625/G612)*C77</f>
        <v>37267.684116046934</v>
      </c>
      <c r="H668" s="180">
        <f>(H628/H612)*C60</f>
        <v>122650.84388317069</v>
      </c>
      <c r="I668" s="180">
        <f>(I629/I612)*C78</f>
        <v>63577.074321042761</v>
      </c>
      <c r="J668" s="180">
        <f>(J630/J612)*C79</f>
        <v>46461.585267037437</v>
      </c>
      <c r="K668" s="180">
        <f>(K644/K612)*C75</f>
        <v>323887.3824737618</v>
      </c>
      <c r="L668" s="180">
        <f>(L647/L612)*C80</f>
        <v>240017.20091817569</v>
      </c>
      <c r="M668" s="180">
        <f t="shared" ref="M668:M713" si="25">ROUND(SUM(D668:L668),0)</f>
        <v>1603815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1527.23</v>
      </c>
      <c r="D669" s="180">
        <f>(D615/D612)*D76</f>
        <v>0</v>
      </c>
      <c r="E669" s="180">
        <f>(E623/E612)*SUM(C669:D669)</f>
        <v>185.93917916882182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106033.60776146811</v>
      </c>
      <c r="L669" s="180">
        <f>(L647/L612)*D80</f>
        <v>0</v>
      </c>
      <c r="M669" s="180">
        <f t="shared" si="25"/>
        <v>106220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7704800.4600000009</v>
      </c>
      <c r="D670" s="180">
        <f>(D615/D612)*E76</f>
        <v>1200775.5708915561</v>
      </c>
      <c r="E670" s="180">
        <f>(E623/E612)*SUM(C670:D670)</f>
        <v>1084247.6229575835</v>
      </c>
      <c r="F670" s="180">
        <f>(F624/F612)*E64</f>
        <v>27055.608009314848</v>
      </c>
      <c r="G670" s="180">
        <f>(G625/G612)*E77</f>
        <v>255608.65232187934</v>
      </c>
      <c r="H670" s="180">
        <f>(H628/H612)*E60</f>
        <v>262670.07649804914</v>
      </c>
      <c r="I670" s="180">
        <f>(I629/I612)*E78</f>
        <v>256926.44939724603</v>
      </c>
      <c r="J670" s="180">
        <f>(J630/J612)*E79</f>
        <v>91024.591325388537</v>
      </c>
      <c r="K670" s="180">
        <f>(K644/K612)*E75</f>
        <v>745889.43484301632</v>
      </c>
      <c r="L670" s="180">
        <f>(L647/L612)*E80</f>
        <v>606238.23073851084</v>
      </c>
      <c r="M670" s="180">
        <f t="shared" si="25"/>
        <v>4530436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6335658.4100000001</v>
      </c>
      <c r="D671" s="180">
        <f>(D615/D612)*F76</f>
        <v>476527.46225720155</v>
      </c>
      <c r="E671" s="180">
        <f>(E623/E612)*SUM(C671:D671)</f>
        <v>829378.84237013978</v>
      </c>
      <c r="F671" s="180">
        <f>(F624/F612)*F64</f>
        <v>25560.536982899019</v>
      </c>
      <c r="G671" s="180">
        <f>(G625/G612)*F77</f>
        <v>53768.02299903056</v>
      </c>
      <c r="H671" s="180">
        <f>(H628/H612)*F60</f>
        <v>199329.06376537672</v>
      </c>
      <c r="I671" s="180">
        <f>(I629/I612)*F78</f>
        <v>101961.19232099205</v>
      </c>
      <c r="J671" s="180">
        <f>(J630/J612)*F79</f>
        <v>52740.87475852541</v>
      </c>
      <c r="K671" s="180">
        <f>(K644/K612)*F75</f>
        <v>666019.22964484175</v>
      </c>
      <c r="L671" s="180">
        <f>(L647/L612)*F80</f>
        <v>496512.43212823261</v>
      </c>
      <c r="M671" s="180">
        <f t="shared" si="25"/>
        <v>2901798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5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5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5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1778083.0400000003</v>
      </c>
      <c r="D675" s="180">
        <f>(D615/D612)*J76</f>
        <v>122217.99630380885</v>
      </c>
      <c r="E675" s="180">
        <f>(E623/E612)*SUM(C675:D675)</f>
        <v>231360.31564596802</v>
      </c>
      <c r="F675" s="180">
        <f>(F624/F612)*J64</f>
        <v>6337.8025349776044</v>
      </c>
      <c r="G675" s="180">
        <f>(G625/G612)*J77</f>
        <v>3973.8056213461496</v>
      </c>
      <c r="H675" s="180">
        <f>(H628/H612)*J60</f>
        <v>55321.534478772803</v>
      </c>
      <c r="I675" s="180">
        <f>(I629/I612)*J78</f>
        <v>26150.628480448348</v>
      </c>
      <c r="J675" s="180">
        <f>(J630/J612)*J79</f>
        <v>26581.466018970157</v>
      </c>
      <c r="K675" s="180">
        <f>(K644/K612)*J75</f>
        <v>145496.91119126967</v>
      </c>
      <c r="L675" s="180">
        <f>(L647/L612)*J80</f>
        <v>160692.72951307346</v>
      </c>
      <c r="M675" s="180">
        <f t="shared" si="25"/>
        <v>778133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5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5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5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5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5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10143971.17</v>
      </c>
      <c r="D681" s="180">
        <f>(D615/D612)*P76</f>
        <v>810659.76934059151</v>
      </c>
      <c r="E681" s="180">
        <f>(E623/E612)*SUM(C681:D681)</f>
        <v>1333718.6179936023</v>
      </c>
      <c r="F681" s="180">
        <f>(F624/F612)*P64</f>
        <v>360008.7491202238</v>
      </c>
      <c r="G681" s="180">
        <f>(G625/G612)*P77</f>
        <v>0</v>
      </c>
      <c r="H681" s="180">
        <f>(H628/H612)*P60</f>
        <v>115789.25821138493</v>
      </c>
      <c r="I681" s="180">
        <f>(I629/I612)*P78</f>
        <v>173454.50828186338</v>
      </c>
      <c r="J681" s="180">
        <f>(J630/J612)*P79</f>
        <v>28770.464063009513</v>
      </c>
      <c r="K681" s="180">
        <f>(K644/K612)*P75</f>
        <v>1832401.9060175973</v>
      </c>
      <c r="L681" s="180">
        <f>(L647/L612)*P80</f>
        <v>171550.3463720649</v>
      </c>
      <c r="M681" s="180">
        <f t="shared" si="25"/>
        <v>4826354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788875.25</v>
      </c>
      <c r="D682" s="180">
        <f>(D615/D612)*Q76</f>
        <v>121279.52379822732</v>
      </c>
      <c r="E682" s="180">
        <f>(E623/E612)*SUM(C682:D682)</f>
        <v>110810.70405677408</v>
      </c>
      <c r="F682" s="180">
        <f>(F624/F612)*Q64</f>
        <v>1065.4328016866932</v>
      </c>
      <c r="G682" s="180">
        <f>(G625/G612)*Q77</f>
        <v>0</v>
      </c>
      <c r="H682" s="180">
        <f>(H628/H612)*Q60</f>
        <v>25730.946269196651</v>
      </c>
      <c r="I682" s="180">
        <f>(I629/I612)*Q78</f>
        <v>25949.826253486841</v>
      </c>
      <c r="J682" s="180">
        <f>(J630/J612)*Q79</f>
        <v>0</v>
      </c>
      <c r="K682" s="180">
        <f>(K644/K612)*Q75</f>
        <v>114078.15356326499</v>
      </c>
      <c r="L682" s="180">
        <f>(L647/L612)*Q80</f>
        <v>99123.655089145468</v>
      </c>
      <c r="M682" s="180">
        <f t="shared" si="25"/>
        <v>498038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2168341.5000000005</v>
      </c>
      <c r="D683" s="180">
        <f>(D615/D612)*R76</f>
        <v>22595.530326693544</v>
      </c>
      <c r="E683" s="180">
        <f>(E623/E612)*SUM(C683:D683)</f>
        <v>266745.04366043198</v>
      </c>
      <c r="F683" s="180">
        <f>(F624/F612)*R64</f>
        <v>15301.479470667568</v>
      </c>
      <c r="G683" s="180">
        <f>(G625/G612)*R77</f>
        <v>0</v>
      </c>
      <c r="H683" s="180">
        <f>(H628/H612)*R60</f>
        <v>4288.4910448661085</v>
      </c>
      <c r="I683" s="180">
        <f>(I629/I612)*R78</f>
        <v>4834.6997722270125</v>
      </c>
      <c r="J683" s="180">
        <f>(J630/J612)*R79</f>
        <v>0</v>
      </c>
      <c r="K683" s="180">
        <f>(K644/K612)*R75</f>
        <v>302814.88180511747</v>
      </c>
      <c r="L683" s="180">
        <f>(L647/L612)*R80</f>
        <v>12901.40356186043</v>
      </c>
      <c r="M683" s="180">
        <f t="shared" si="25"/>
        <v>629482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1371864.83</v>
      </c>
      <c r="D684" s="180">
        <f>(D615/D612)*S76</f>
        <v>175602.64383284998</v>
      </c>
      <c r="E684" s="180">
        <f>(E623/E612)*SUM(C684:D684)</f>
        <v>188403.07738515508</v>
      </c>
      <c r="F684" s="180">
        <f>(F624/F612)*S64</f>
        <v>36160.066727156714</v>
      </c>
      <c r="G684" s="180">
        <f>(G625/G612)*S77</f>
        <v>0</v>
      </c>
      <c r="H684" s="180">
        <f>(H628/H612)*S60</f>
        <v>30019.437314062758</v>
      </c>
      <c r="I684" s="180">
        <f>(I629/I612)*S78</f>
        <v>37573.185929527826</v>
      </c>
      <c r="J684" s="180">
        <f>(J630/J612)*S79</f>
        <v>8478.4657657382995</v>
      </c>
      <c r="K684" s="180">
        <f>(K644/K612)*S75</f>
        <v>354877.03093514836</v>
      </c>
      <c r="L684" s="180">
        <f>(L647/L612)*S80</f>
        <v>1021.8933514344894</v>
      </c>
      <c r="M684" s="180">
        <f t="shared" si="25"/>
        <v>832136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898628.87</v>
      </c>
      <c r="D685" s="180">
        <f>(D615/D612)*T76</f>
        <v>0</v>
      </c>
      <c r="E685" s="180">
        <f>(E623/E612)*SUM(C685:D685)</f>
        <v>109407.43336969931</v>
      </c>
      <c r="F685" s="180">
        <f>(F624/F612)*T64</f>
        <v>44229.637785893276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375972.15783090889</v>
      </c>
      <c r="L685" s="180">
        <f>(L647/L612)*T80</f>
        <v>0</v>
      </c>
      <c r="M685" s="180">
        <f t="shared" si="25"/>
        <v>529609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6012126.6000000006</v>
      </c>
      <c r="D686" s="180">
        <f>(D615/D612)*U76</f>
        <v>560268.085832168</v>
      </c>
      <c r="E686" s="180">
        <f>(E623/E612)*SUM(C686:D686)</f>
        <v>800184.4339471854</v>
      </c>
      <c r="F686" s="180">
        <f>(F624/F612)*U64</f>
        <v>91453.186736013638</v>
      </c>
      <c r="G686" s="180">
        <f>(G625/G612)*U77</f>
        <v>0</v>
      </c>
      <c r="H686" s="180">
        <f>(H628/H612)*U60</f>
        <v>119005.62649503451</v>
      </c>
      <c r="I686" s="180">
        <f>(I629/I612)*U78</f>
        <v>119878.9294960187</v>
      </c>
      <c r="J686" s="180">
        <f>(J630/J612)*U79</f>
        <v>0</v>
      </c>
      <c r="K686" s="180">
        <f>(K644/K612)*U75</f>
        <v>1635772.0961311858</v>
      </c>
      <c r="L686" s="180">
        <f>(L647/L612)*U80</f>
        <v>0</v>
      </c>
      <c r="M686" s="180">
        <f t="shared" si="25"/>
        <v>3326562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106165.33000000002</v>
      </c>
      <c r="D687" s="180">
        <f>(D615/D612)*V76</f>
        <v>9853.9613086059708</v>
      </c>
      <c r="E687" s="180">
        <f>(E623/E612)*SUM(C687:D687)</f>
        <v>14125.267178925649</v>
      </c>
      <c r="F687" s="180">
        <f>(F624/F612)*V64</f>
        <v>47.960605853952977</v>
      </c>
      <c r="G687" s="180">
        <f>(G625/G612)*V77</f>
        <v>0</v>
      </c>
      <c r="H687" s="180">
        <f>(H628/H612)*V60</f>
        <v>4288.4910448661085</v>
      </c>
      <c r="I687" s="180">
        <f>(I629/I612)*V78</f>
        <v>2108.4233830958055</v>
      </c>
      <c r="J687" s="180">
        <f>(J630/J612)*V79</f>
        <v>126.21005461603229</v>
      </c>
      <c r="K687" s="180">
        <f>(K644/K612)*V75</f>
        <v>16985.659622257976</v>
      </c>
      <c r="L687" s="180">
        <f>(L647/L612)*V80</f>
        <v>0</v>
      </c>
      <c r="M687" s="180">
        <f t="shared" si="25"/>
        <v>47536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772745.05999999994</v>
      </c>
      <c r="D688" s="180">
        <f>(D615/D612)*W76</f>
        <v>229961.85896384116</v>
      </c>
      <c r="E688" s="180">
        <f>(E623/E612)*SUM(C688:D688)</f>
        <v>122078.86268540754</v>
      </c>
      <c r="F688" s="180">
        <f>(F624/F612)*W64</f>
        <v>343.46283678584496</v>
      </c>
      <c r="G688" s="180">
        <f>(G625/G612)*W77</f>
        <v>0</v>
      </c>
      <c r="H688" s="180">
        <f>(H628/H612)*W60</f>
        <v>12865.473134598325</v>
      </c>
      <c r="I688" s="180">
        <f>(I629/I612)*W78</f>
        <v>49204.268768144248</v>
      </c>
      <c r="J688" s="180">
        <f>(J630/J612)*W79</f>
        <v>1331.3125115949213</v>
      </c>
      <c r="K688" s="180">
        <f>(K644/K612)*W75</f>
        <v>339031.84536227048</v>
      </c>
      <c r="L688" s="180">
        <f>(L647/L612)*W80</f>
        <v>0</v>
      </c>
      <c r="M688" s="180">
        <f t="shared" si="25"/>
        <v>754817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1432146.73</v>
      </c>
      <c r="D689" s="180">
        <f>(D615/D612)*X76</f>
        <v>131927.57722694075</v>
      </c>
      <c r="E689" s="180">
        <f>(E623/E612)*SUM(C689:D689)</f>
        <v>190424.94767966907</v>
      </c>
      <c r="F689" s="180">
        <f>(F624/F612)*X64</f>
        <v>17512.774103632459</v>
      </c>
      <c r="G689" s="180">
        <f>(G625/G612)*X77</f>
        <v>0</v>
      </c>
      <c r="H689" s="180">
        <f>(H628/H612)*X60</f>
        <v>21442.455224330544</v>
      </c>
      <c r="I689" s="180">
        <f>(I629/I612)*X78</f>
        <v>28228.159213242383</v>
      </c>
      <c r="J689" s="180">
        <f>(J630/J612)*X79</f>
        <v>4561.882780556909</v>
      </c>
      <c r="K689" s="180">
        <f>(K644/K612)*X75</f>
        <v>1365716.1942309958</v>
      </c>
      <c r="L689" s="180">
        <f>(L647/L612)*X80</f>
        <v>0</v>
      </c>
      <c r="M689" s="180">
        <f t="shared" si="25"/>
        <v>1759814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7122032.5</v>
      </c>
      <c r="D690" s="180">
        <f>(D615/D612)*Y76</f>
        <v>863683.46590594749</v>
      </c>
      <c r="E690" s="180">
        <f>(E623/E612)*SUM(C690:D690)</f>
        <v>972255.30651958578</v>
      </c>
      <c r="F690" s="180">
        <f>(F624/F612)*Y64</f>
        <v>45264.384534298137</v>
      </c>
      <c r="G690" s="180">
        <f>(G625/G612)*Y77</f>
        <v>0</v>
      </c>
      <c r="H690" s="180">
        <f>(H628/H612)*Y60</f>
        <v>136802.86433122886</v>
      </c>
      <c r="I690" s="180">
        <f>(I629/I612)*Y78</f>
        <v>184799.83410518843</v>
      </c>
      <c r="J690" s="180">
        <f>(J630/J612)*Y79</f>
        <v>47522.156855020548</v>
      </c>
      <c r="K690" s="180">
        <f>(K644/K612)*Y75</f>
        <v>1492850.0018162581</v>
      </c>
      <c r="L690" s="180">
        <f>(L647/L612)*Y80</f>
        <v>64634.754478231465</v>
      </c>
      <c r="M690" s="180">
        <f t="shared" si="25"/>
        <v>3807813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7259632.2200000007</v>
      </c>
      <c r="D691" s="180">
        <f>(D615/D612)*Z76</f>
        <v>0</v>
      </c>
      <c r="E691" s="180">
        <f>(E623/E612)*SUM(C691:D691)</f>
        <v>883855.1207443095</v>
      </c>
      <c r="F691" s="180">
        <f>(F624/F612)*Z64</f>
        <v>362686.30277016875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1406041.6803845318</v>
      </c>
      <c r="L691" s="180">
        <f>(L647/L612)*Z80</f>
        <v>0</v>
      </c>
      <c r="M691" s="180">
        <f t="shared" si="25"/>
        <v>2652583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959376.82</v>
      </c>
      <c r="D692" s="180">
        <f>(D615/D612)*AA76</f>
        <v>229095.57665099669</v>
      </c>
      <c r="E692" s="180">
        <f>(E623/E612)*SUM(C692:D692)</f>
        <v>144695.67903857882</v>
      </c>
      <c r="F692" s="180">
        <f>(F624/F612)*AA64</f>
        <v>21439.113358819297</v>
      </c>
      <c r="G692" s="180">
        <f>(G625/G612)*AA77</f>
        <v>0</v>
      </c>
      <c r="H692" s="180">
        <f>(H628/H612)*AA60</f>
        <v>12865.473134598325</v>
      </c>
      <c r="I692" s="180">
        <f>(I629/I612)*AA78</f>
        <v>49018.912866333623</v>
      </c>
      <c r="J692" s="180">
        <f>(J630/J612)*AA79</f>
        <v>9356.5077586046737</v>
      </c>
      <c r="K692" s="180">
        <f>(K644/K612)*AA75</f>
        <v>159198.77713152635</v>
      </c>
      <c r="L692" s="180">
        <f>(L647/L612)*AA80</f>
        <v>17883.133650103566</v>
      </c>
      <c r="M692" s="180">
        <f t="shared" si="25"/>
        <v>643553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4207757.67</v>
      </c>
      <c r="D693" s="180">
        <f>(D615/D612)*AB76</f>
        <v>254939.66565085703</v>
      </c>
      <c r="E693" s="180">
        <f>(E623/E612)*SUM(C693:D693)</f>
        <v>543330.26424952911</v>
      </c>
      <c r="F693" s="180">
        <f>(F624/F612)*AB64</f>
        <v>184093.34075348743</v>
      </c>
      <c r="G693" s="180">
        <f>(G625/G612)*AB77</f>
        <v>0</v>
      </c>
      <c r="H693" s="180">
        <f>(H628/H612)*AB60</f>
        <v>56822.506344475936</v>
      </c>
      <c r="I693" s="180">
        <f>(I629/I612)*AB78</f>
        <v>54548.697270350465</v>
      </c>
      <c r="J693" s="180">
        <f>(J630/J612)*AB79</f>
        <v>0</v>
      </c>
      <c r="K693" s="180">
        <f>(K644/K612)*AB75</f>
        <v>1381504.2556029945</v>
      </c>
      <c r="L693" s="180">
        <f>(L647/L612)*AB80</f>
        <v>0</v>
      </c>
      <c r="M693" s="180">
        <f t="shared" si="25"/>
        <v>2475239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1852455.19</v>
      </c>
      <c r="D694" s="180">
        <f>(D615/D612)*AC76</f>
        <v>173075.9870870536</v>
      </c>
      <c r="E694" s="180">
        <f>(E623/E612)*SUM(C694:D694)</f>
        <v>246606.99727508248</v>
      </c>
      <c r="F694" s="180">
        <f>(F624/F612)*AC64</f>
        <v>10699.826682929648</v>
      </c>
      <c r="G694" s="180">
        <f>(G625/G612)*AC77</f>
        <v>0</v>
      </c>
      <c r="H694" s="180">
        <f>(H628/H612)*AC60</f>
        <v>57894.629105692467</v>
      </c>
      <c r="I694" s="180">
        <f>(I629/I612)*AC78</f>
        <v>37032.564549246854</v>
      </c>
      <c r="J694" s="180">
        <f>(J630/J612)*AC79</f>
        <v>0</v>
      </c>
      <c r="K694" s="180">
        <f>(K644/K612)*AC75</f>
        <v>729502.99570124294</v>
      </c>
      <c r="L694" s="180">
        <f>(L647/L612)*AC80</f>
        <v>127.73666892931118</v>
      </c>
      <c r="M694" s="180">
        <f t="shared" si="25"/>
        <v>1254941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5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939590.59000000008</v>
      </c>
      <c r="D696" s="180">
        <f>(D615/D612)*AE76</f>
        <v>323736.91932925623</v>
      </c>
      <c r="E696" s="180">
        <f>(E623/E612)*SUM(C696:D696)</f>
        <v>153809.23639928107</v>
      </c>
      <c r="F696" s="180">
        <f>(F624/F612)*AE64</f>
        <v>16.079809718282664</v>
      </c>
      <c r="G696" s="180">
        <f>(G625/G612)*AE77</f>
        <v>0</v>
      </c>
      <c r="H696" s="180">
        <f>(H628/H612)*AE60</f>
        <v>30877.135523035977</v>
      </c>
      <c r="I696" s="180">
        <f>(I629/I612)*AE78</f>
        <v>69269.045139143884</v>
      </c>
      <c r="J696" s="180">
        <f>(J630/J612)*AE79</f>
        <v>5203.7898325287724</v>
      </c>
      <c r="K696" s="180">
        <f>(K644/K612)*AE75</f>
        <v>123147.476851623</v>
      </c>
      <c r="L696" s="180">
        <f>(L647/L612)*AE80</f>
        <v>18905.027001538056</v>
      </c>
      <c r="M696" s="180">
        <f t="shared" si="25"/>
        <v>724965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5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9453097.5099999998</v>
      </c>
      <c r="D698" s="180">
        <f>(D615/D612)*AG76</f>
        <v>451621.84576292272</v>
      </c>
      <c r="E698" s="180">
        <f>(E623/E612)*SUM(C698:D698)</f>
        <v>1205892.620566712</v>
      </c>
      <c r="F698" s="180">
        <f>(F624/F612)*AG64</f>
        <v>26769.302450162471</v>
      </c>
      <c r="G698" s="180">
        <f>(G625/G612)*AG77</f>
        <v>3044.2969281270348</v>
      </c>
      <c r="H698" s="180">
        <f>(H628/H612)*AG60</f>
        <v>193968.44995929411</v>
      </c>
      <c r="I698" s="180">
        <f>(I629/I612)*AG78</f>
        <v>96632.210143936711</v>
      </c>
      <c r="J698" s="180">
        <f>(J630/J612)*AG79</f>
        <v>51554.771664606997</v>
      </c>
      <c r="K698" s="180">
        <f>(K644/K612)*AG75</f>
        <v>1661459.1021097712</v>
      </c>
      <c r="L698" s="180">
        <f>(L647/L612)*AG80</f>
        <v>316403.72893790377</v>
      </c>
      <c r="M698" s="180">
        <f t="shared" si="25"/>
        <v>4007346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5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3080480.23</v>
      </c>
      <c r="D700" s="180">
        <f>(D615/D612)*AI76</f>
        <v>913494.69889450516</v>
      </c>
      <c r="E700" s="180">
        <f>(E623/E612)*SUM(C700:D700)</f>
        <v>486263.64064318914</v>
      </c>
      <c r="F700" s="180">
        <f>(F624/F612)*AI64</f>
        <v>29981.82357437463</v>
      </c>
      <c r="G700" s="180">
        <f>(G625/G612)*AI77</f>
        <v>9457.283080001198</v>
      </c>
      <c r="H700" s="180">
        <f>(H628/H612)*AI60</f>
        <v>84611.928315208323</v>
      </c>
      <c r="I700" s="180">
        <f>(I629/I612)*AI78</f>
        <v>195457.79845929908</v>
      </c>
      <c r="J700" s="180">
        <f>(J630/J612)*AI79</f>
        <v>57479.18019607247</v>
      </c>
      <c r="K700" s="180">
        <f>(K644/K612)*AI75</f>
        <v>366075.37197619403</v>
      </c>
      <c r="L700" s="180">
        <f>(L647/L612)*AI80</f>
        <v>193010.1067521892</v>
      </c>
      <c r="M700" s="180">
        <f t="shared" si="25"/>
        <v>2335832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1778483.7899999998</v>
      </c>
      <c r="D701" s="180">
        <f>(D615/D612)*AJ76</f>
        <v>329006.80339906015</v>
      </c>
      <c r="E701" s="180">
        <f>(E623/E612)*SUM(C701:D701)</f>
        <v>256585.49861031698</v>
      </c>
      <c r="F701" s="180">
        <f>(F624/F612)*AJ64</f>
        <v>6.9625875890164899</v>
      </c>
      <c r="G701" s="180">
        <f>(G625/G612)*AJ77</f>
        <v>0</v>
      </c>
      <c r="H701" s="180">
        <f>(H628/H612)*AJ60</f>
        <v>51890.741642879919</v>
      </c>
      <c r="I701" s="180">
        <f>(I629/I612)*AJ78</f>
        <v>70396.626875158501</v>
      </c>
      <c r="J701" s="180">
        <f>(J630/J612)*AJ79</f>
        <v>11597.754051060345</v>
      </c>
      <c r="K701" s="180">
        <f>(K644/K612)*AJ75</f>
        <v>307440.00273076881</v>
      </c>
      <c r="L701" s="180">
        <f>(L647/L612)*AJ80</f>
        <v>162864.25288487176</v>
      </c>
      <c r="M701" s="180">
        <f t="shared" si="25"/>
        <v>1189789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5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155782.21000000002</v>
      </c>
      <c r="D703" s="180">
        <f>(D615/D612)*AL76</f>
        <v>7219.0192737040079</v>
      </c>
      <c r="E703" s="180">
        <f>(E623/E612)*SUM(C703:D703)</f>
        <v>19845.285107456937</v>
      </c>
      <c r="F703" s="180">
        <f>(F624/F612)*AL64</f>
        <v>17.247569672031162</v>
      </c>
      <c r="G703" s="180">
        <f>(G625/G612)*AL77</f>
        <v>0</v>
      </c>
      <c r="H703" s="180">
        <f>(H628/H612)*AL60</f>
        <v>0</v>
      </c>
      <c r="I703" s="180">
        <f>(I629/I612)*AL78</f>
        <v>1544.6325150885025</v>
      </c>
      <c r="J703" s="180">
        <f>(J630/J612)*AL79</f>
        <v>0</v>
      </c>
      <c r="K703" s="180">
        <f>(K644/K612)*AL75</f>
        <v>24438.279707751863</v>
      </c>
      <c r="L703" s="180">
        <f>(L647/L612)*AL80</f>
        <v>0</v>
      </c>
      <c r="M703" s="180">
        <f t="shared" si="25"/>
        <v>53064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5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5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5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35858127.950000003</v>
      </c>
      <c r="D707" s="180">
        <f>(D615/D612)*AP76</f>
        <v>3854487.0559051493</v>
      </c>
      <c r="E707" s="180">
        <f>(E623/E612)*SUM(C707:D707)</f>
        <v>4834982.9671008559</v>
      </c>
      <c r="F707" s="180">
        <f>(F624/F612)*AP64</f>
        <v>45813.813343961789</v>
      </c>
      <c r="G707" s="180">
        <f>(G625/G612)*AP77</f>
        <v>0</v>
      </c>
      <c r="H707" s="180">
        <f>(H628/H612)*AP60</f>
        <v>826735.30362928845</v>
      </c>
      <c r="I707" s="180">
        <f>(I629/I612)*AP78</f>
        <v>824733.36194377951</v>
      </c>
      <c r="J707" s="180">
        <f>(J630/J612)*AP79</f>
        <v>0</v>
      </c>
      <c r="K707" s="180">
        <f>(K644/K612)*AP75</f>
        <v>2447069.5337001164</v>
      </c>
      <c r="L707" s="180">
        <f>(L647/L612)*AP80</f>
        <v>13540.086906506986</v>
      </c>
      <c r="M707" s="180">
        <f t="shared" si="25"/>
        <v>12847362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126548.88</v>
      </c>
      <c r="D708" s="180">
        <f>(D615/D612)*AQ76</f>
        <v>0</v>
      </c>
      <c r="E708" s="180">
        <f>(E623/E612)*SUM(C708:D708)</f>
        <v>15407.23720194976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5"/>
        <v>15407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1373927.5100000005</v>
      </c>
      <c r="D709" s="180">
        <f>(D615/D612)*AR76</f>
        <v>153007.11350615646</v>
      </c>
      <c r="E709" s="180">
        <f>(E623/E612)*SUM(C709:D709)</f>
        <v>185903.21728828584</v>
      </c>
      <c r="F709" s="180">
        <f>(F624/F612)*AR64</f>
        <v>1567.9213588663422</v>
      </c>
      <c r="G709" s="180">
        <f>(G625/G612)*AR77</f>
        <v>0</v>
      </c>
      <c r="H709" s="180">
        <f>(H628/H612)*AR60</f>
        <v>0</v>
      </c>
      <c r="I709" s="180">
        <f>(I629/I612)*AR78</f>
        <v>32738.486157300809</v>
      </c>
      <c r="J709" s="180">
        <f>(J630/J612)*AR79</f>
        <v>0</v>
      </c>
      <c r="K709" s="180">
        <f>(K644/K612)*AR75</f>
        <v>44959.337704979866</v>
      </c>
      <c r="L709" s="180">
        <f>(L647/L612)*AR80</f>
        <v>75747.84467508152</v>
      </c>
      <c r="M709" s="180">
        <f t="shared" si="25"/>
        <v>493924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5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5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5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5"/>
        <v>0</v>
      </c>
      <c r="N713" s="199" t="s">
        <v>741</v>
      </c>
    </row>
    <row r="715" spans="1:83" ht="12.6" customHeight="1" x14ac:dyDescent="0.25">
      <c r="C715" s="180">
        <f>SUM(C614:C647)+SUM(C668:C713)</f>
        <v>172760002.54000002</v>
      </c>
      <c r="D715" s="180">
        <f>SUM(D616:D647)+SUM(D668:D713)</f>
        <v>19901861.569999997</v>
      </c>
      <c r="E715" s="180">
        <f>SUM(E624:E647)+SUM(E668:E713)</f>
        <v>18750543.411641467</v>
      </c>
      <c r="F715" s="180">
        <f>SUM(F625:F648)+SUM(F668:F713)</f>
        <v>1421532.1243335677</v>
      </c>
      <c r="G715" s="180">
        <f>SUM(G626:G647)+SUM(G668:G713)</f>
        <v>2081893.6084693666</v>
      </c>
      <c r="H715" s="180">
        <f>SUM(H629:H647)+SUM(H668:H713)</f>
        <v>3082738.9026915538</v>
      </c>
      <c r="I715" s="180">
        <f>SUM(I630:I647)+SUM(I668:I713)</f>
        <v>2811323.8554119798</v>
      </c>
      <c r="J715" s="180">
        <f>SUM(J631:J647)+SUM(J668:J713)</f>
        <v>442791.01290333102</v>
      </c>
      <c r="K715" s="180">
        <f>SUM(K668:K713)</f>
        <v>18468663.306830864</v>
      </c>
      <c r="L715" s="180">
        <f>SUM(L668:L713)</f>
        <v>2651174.563627854</v>
      </c>
      <c r="M715" s="180">
        <f>SUM(M668:M713)</f>
        <v>55626568</v>
      </c>
      <c r="N715" s="198" t="s">
        <v>742</v>
      </c>
    </row>
    <row r="716" spans="1:83" ht="12.6" customHeight="1" x14ac:dyDescent="0.25">
      <c r="C716" s="180">
        <f>CE71</f>
        <v>172760002.53999999</v>
      </c>
      <c r="D716" s="180">
        <f>D615</f>
        <v>19901861.57</v>
      </c>
      <c r="E716" s="180">
        <f>E623</f>
        <v>18750543.411641467</v>
      </c>
      <c r="F716" s="180">
        <f>F624</f>
        <v>1421532.1243335679</v>
      </c>
      <c r="G716" s="180">
        <f>G625</f>
        <v>2081893.6084693666</v>
      </c>
      <c r="H716" s="180">
        <f>H628</f>
        <v>3082738.9026915543</v>
      </c>
      <c r="I716" s="180">
        <f>I629</f>
        <v>2811323.8554119794</v>
      </c>
      <c r="J716" s="180">
        <f>J630</f>
        <v>442791.01290333102</v>
      </c>
      <c r="K716" s="180">
        <f>K644</f>
        <v>18468663.306830864</v>
      </c>
      <c r="L716" s="180">
        <f>L647</f>
        <v>2651174.5636278535</v>
      </c>
      <c r="M716" s="180">
        <f>C648</f>
        <v>55626567.120000005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039*2018*A</v>
      </c>
      <c r="B722" s="274">
        <f>ROUND(C165,0)</f>
        <v>4473436</v>
      </c>
      <c r="C722" s="274">
        <f>ROUND(C166,0)</f>
        <v>415143</v>
      </c>
      <c r="D722" s="274">
        <f>ROUND(C167,0)</f>
        <v>836620</v>
      </c>
      <c r="E722" s="274">
        <f>ROUND(C168,0)</f>
        <v>8169644</v>
      </c>
      <c r="F722" s="274">
        <f>ROUND(C169,0)</f>
        <v>570241</v>
      </c>
      <c r="G722" s="274">
        <f>ROUND(C170,0)</f>
        <v>2156265</v>
      </c>
      <c r="H722" s="274">
        <f>ROUND(C171+C172,0)</f>
        <v>360396</v>
      </c>
      <c r="I722" s="274">
        <f>ROUND(C175,0)</f>
        <v>442389</v>
      </c>
      <c r="J722" s="274">
        <f>ROUND(C176,0)</f>
        <v>1573841</v>
      </c>
      <c r="K722" s="274">
        <f>ROUND(C179,0)</f>
        <v>1830227</v>
      </c>
      <c r="L722" s="274">
        <f>ROUND(C180,0)</f>
        <v>245235</v>
      </c>
      <c r="M722" s="274">
        <f>ROUND(C183,0)</f>
        <v>81367</v>
      </c>
      <c r="N722" s="274">
        <f>ROUND(C184,0)</f>
        <v>3556749</v>
      </c>
      <c r="O722" s="274">
        <f>ROUND(C185,0)</f>
        <v>0</v>
      </c>
      <c r="P722" s="274">
        <f>ROUND(C188,0)</f>
        <v>0</v>
      </c>
      <c r="Q722" s="274">
        <f>ROUND(C189,0)</f>
        <v>11136797</v>
      </c>
      <c r="R722" s="274">
        <f>ROUND(B195,0)</f>
        <v>1580987</v>
      </c>
      <c r="S722" s="274">
        <f>ROUND(C195,0)</f>
        <v>0</v>
      </c>
      <c r="T722" s="274">
        <f>ROUND(D195,0)</f>
        <v>1355853</v>
      </c>
      <c r="U722" s="274">
        <f>ROUND(B196,0)</f>
        <v>2501845</v>
      </c>
      <c r="V722" s="274">
        <f>ROUND(C196,0)</f>
        <v>0</v>
      </c>
      <c r="W722" s="274">
        <f>ROUND(D196,0)</f>
        <v>2501845</v>
      </c>
      <c r="X722" s="274">
        <f>ROUND(B197,0)</f>
        <v>209077992</v>
      </c>
      <c r="Y722" s="274">
        <f>ROUND(C197,0)</f>
        <v>1189457</v>
      </c>
      <c r="Z722" s="274">
        <f>ROUND(D197,0)</f>
        <v>209029099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79605301</v>
      </c>
      <c r="AH722" s="274">
        <f>ROUND(C200,0)</f>
        <v>16893837</v>
      </c>
      <c r="AI722" s="274">
        <f>ROUND(D200,0)</f>
        <v>79755199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17396197</v>
      </c>
      <c r="AN722" s="274">
        <f>ROUND(C202,0)</f>
        <v>46588</v>
      </c>
      <c r="AO722" s="274">
        <f>ROUND(D202,0)</f>
        <v>17350321</v>
      </c>
      <c r="AP722" s="274">
        <f>ROUND(B203,0)</f>
        <v>704454</v>
      </c>
      <c r="AQ722" s="274">
        <f>ROUND(C203,0)</f>
        <v>423431</v>
      </c>
      <c r="AR722" s="274">
        <f>ROUND(D203,0)</f>
        <v>704454</v>
      </c>
      <c r="AS722" s="274"/>
      <c r="AT722" s="274"/>
      <c r="AU722" s="274"/>
      <c r="AV722" s="274">
        <f>ROUND(B209,0)</f>
        <v>2473093</v>
      </c>
      <c r="AW722" s="274">
        <f>ROUND(C209,0)</f>
        <v>10492</v>
      </c>
      <c r="AX722" s="274">
        <f>ROUND(D209,0)</f>
        <v>2483585</v>
      </c>
      <c r="AY722" s="274">
        <f>ROUND(B210,0)</f>
        <v>61533500</v>
      </c>
      <c r="AZ722" s="274">
        <f>ROUND(C210,0)</f>
        <v>4878699</v>
      </c>
      <c r="BA722" s="274">
        <f>ROUND(D210,0)</f>
        <v>65412199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62623268</v>
      </c>
      <c r="BI722" s="274">
        <f>ROUND(C213,0)</f>
        <v>4446147</v>
      </c>
      <c r="BJ722" s="274">
        <f>ROUND(D213,0)</f>
        <v>65303990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4311099</v>
      </c>
      <c r="BO722" s="274">
        <f>ROUND(C215,0)</f>
        <v>619611</v>
      </c>
      <c r="BP722" s="274">
        <f>ROUND(D215,0)</f>
        <v>4930710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143727735</v>
      </c>
      <c r="BU722" s="274">
        <f>ROUND(C224,0)</f>
        <v>85726930</v>
      </c>
      <c r="BV722" s="274">
        <f>ROUND(C225,0)</f>
        <v>6438888</v>
      </c>
      <c r="BW722" s="274">
        <f>ROUND(C226,0)</f>
        <v>1653412</v>
      </c>
      <c r="BX722" s="274">
        <f>ROUND(C227,0)</f>
        <v>69245558</v>
      </c>
      <c r="BY722" s="274">
        <f>ROUND(C228,0)</f>
        <v>0</v>
      </c>
      <c r="BZ722" s="274">
        <f>ROUND(C231,0)</f>
        <v>1119</v>
      </c>
      <c r="CA722" s="274">
        <f>ROUND(C233,0)</f>
        <v>638665</v>
      </c>
      <c r="CB722" s="274">
        <f>ROUND(C234,0)</f>
        <v>945888</v>
      </c>
      <c r="CC722" s="274">
        <f>ROUND(C238+C239,0)</f>
        <v>3205479</v>
      </c>
      <c r="CD722" s="274">
        <f>D221</f>
        <v>9655700.4499999993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039*2018*A</v>
      </c>
      <c r="B726" s="274">
        <f>ROUND(C111,0)</f>
        <v>5284</v>
      </c>
      <c r="C726" s="274">
        <f>ROUND(C112,0)</f>
        <v>0</v>
      </c>
      <c r="D726" s="274">
        <f>ROUND(C113,0)</f>
        <v>0</v>
      </c>
      <c r="E726" s="274">
        <f>ROUND(C114,0)</f>
        <v>1391</v>
      </c>
      <c r="F726" s="274">
        <f>ROUND(D111,0)</f>
        <v>17742</v>
      </c>
      <c r="G726" s="274">
        <f>ROUND(D112,0)</f>
        <v>0</v>
      </c>
      <c r="H726" s="274">
        <f>ROUND(D113,0)</f>
        <v>0</v>
      </c>
      <c r="I726" s="274">
        <f>ROUND(D114,0)</f>
        <v>3358</v>
      </c>
      <c r="J726" s="274">
        <f>ROUND(C116,0)</f>
        <v>14</v>
      </c>
      <c r="K726" s="274">
        <f>ROUND(C117,0)</f>
        <v>0</v>
      </c>
      <c r="L726" s="274">
        <f>ROUND(C118,0)</f>
        <v>60</v>
      </c>
      <c r="M726" s="274">
        <f>ROUND(C119,0)</f>
        <v>7</v>
      </c>
      <c r="N726" s="274">
        <f>ROUND(C120,0)</f>
        <v>20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10</v>
      </c>
      <c r="V726" s="274">
        <f>ROUND(C128,0)</f>
        <v>111</v>
      </c>
      <c r="W726" s="274">
        <f>ROUND(C129,0)</f>
        <v>10</v>
      </c>
      <c r="X726" s="274">
        <f>ROUND(B138,0)</f>
        <v>2445</v>
      </c>
      <c r="Y726" s="274">
        <f>ROUND(B139,0)</f>
        <v>9812</v>
      </c>
      <c r="Z726" s="274">
        <f>ROUND(B140,0)</f>
        <v>21219</v>
      </c>
      <c r="AA726" s="274">
        <f>ROUND(B141,0)</f>
        <v>93894576</v>
      </c>
      <c r="AB726" s="274">
        <f>ROUND(B142,0)</f>
        <v>108026377</v>
      </c>
      <c r="AC726" s="274">
        <f>ROUND(C138,0)</f>
        <v>1389</v>
      </c>
      <c r="AD726" s="274">
        <f>ROUND(C139,0)</f>
        <v>4062</v>
      </c>
      <c r="AE726" s="274">
        <f>ROUND(C140,0)</f>
        <v>20625</v>
      </c>
      <c r="AF726" s="274">
        <f>ROUND(C141,0)</f>
        <v>37125970</v>
      </c>
      <c r="AG726" s="274">
        <f>ROUND(C142,0)</f>
        <v>64740403</v>
      </c>
      <c r="AH726" s="274">
        <f>ROUND(D138,0)</f>
        <v>1450</v>
      </c>
      <c r="AI726" s="274">
        <f>ROUND(D139,0)</f>
        <v>3868</v>
      </c>
      <c r="AJ726" s="274">
        <f>ROUND(D140,0)</f>
        <v>23992</v>
      </c>
      <c r="AK726" s="274">
        <f>ROUND(D141,0)</f>
        <v>45736843</v>
      </c>
      <c r="AL726" s="274">
        <f>ROUND(D142,0)</f>
        <v>115967019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039*2018*A</v>
      </c>
      <c r="B730" s="274">
        <f>ROUND(C250,0)</f>
        <v>945550</v>
      </c>
      <c r="C730" s="274">
        <f>ROUND(C251,0)</f>
        <v>0</v>
      </c>
      <c r="D730" s="274">
        <f>ROUND(C252,0)</f>
        <v>69941562</v>
      </c>
      <c r="E730" s="274">
        <f>ROUND(C253,0)</f>
        <v>50069161</v>
      </c>
      <c r="F730" s="274">
        <f>ROUND(C254,0)</f>
        <v>1690000</v>
      </c>
      <c r="G730" s="274">
        <f>ROUND(C255,0)</f>
        <v>1540943</v>
      </c>
      <c r="H730" s="274">
        <f>ROUND(C256,0)</f>
        <v>0</v>
      </c>
      <c r="I730" s="274">
        <f>ROUND(C257,0)</f>
        <v>3309277</v>
      </c>
      <c r="J730" s="274">
        <f>ROUND(C258,0)</f>
        <v>1392442</v>
      </c>
      <c r="K730" s="274">
        <f>ROUND(C259,0)</f>
        <v>0</v>
      </c>
      <c r="L730" s="274">
        <f>ROUND(C262,0)</f>
        <v>727546</v>
      </c>
      <c r="M730" s="274">
        <f>ROUND(C263,0)</f>
        <v>9171</v>
      </c>
      <c r="N730" s="274">
        <f>ROUND(C264,0)</f>
        <v>0</v>
      </c>
      <c r="O730" s="274">
        <f>ROUND(C267,0)</f>
        <v>225134</v>
      </c>
      <c r="P730" s="274">
        <f>ROUND(C268,0)</f>
        <v>0</v>
      </c>
      <c r="Q730" s="274">
        <f>ROUND(C269,0)</f>
        <v>1238350</v>
      </c>
      <c r="R730" s="274">
        <f>ROUND(C270,0)</f>
        <v>0</v>
      </c>
      <c r="S730" s="274">
        <f>ROUND(C271,0)</f>
        <v>0</v>
      </c>
      <c r="T730" s="274">
        <f>ROUND(C272,0)</f>
        <v>16743939</v>
      </c>
      <c r="U730" s="274">
        <f>ROUND(C273,0)</f>
        <v>92464</v>
      </c>
      <c r="V730" s="274">
        <f>ROUND(C274,0)</f>
        <v>423431</v>
      </c>
      <c r="W730" s="274">
        <f>ROUND(C275,0)</f>
        <v>0</v>
      </c>
      <c r="X730" s="274">
        <f>ROUND(C276,0)</f>
        <v>2765425</v>
      </c>
      <c r="Y730" s="274">
        <f>ROUND(C279,0)</f>
        <v>0</v>
      </c>
      <c r="Z730" s="274">
        <f>ROUND(C280,0)</f>
        <v>0</v>
      </c>
      <c r="AA730" s="274">
        <f>ROUND(C281,0)</f>
        <v>6788839</v>
      </c>
      <c r="AB730" s="274">
        <f>ROUND(C282,0)</f>
        <v>300000</v>
      </c>
      <c r="AC730" s="274">
        <f>ROUND(C286,0)</f>
        <v>-18210950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9684448</v>
      </c>
      <c r="AI730" s="274">
        <f>ROUND(C306,0)</f>
        <v>5943381</v>
      </c>
      <c r="AJ730" s="274">
        <f>ROUND(C307,0)</f>
        <v>0</v>
      </c>
      <c r="AK730" s="274">
        <f>ROUND(C308,0)</f>
        <v>0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985874</v>
      </c>
      <c r="AQ730" s="274">
        <f>ROUND(C316,0)</f>
        <v>0</v>
      </c>
      <c r="AR730" s="274">
        <f>ROUND(C317,0)</f>
        <v>0</v>
      </c>
      <c r="AS730" s="274">
        <f>ROUND(C318,0)</f>
        <v>576090</v>
      </c>
      <c r="AT730" s="274">
        <f>ROUND(C321,0)</f>
        <v>0</v>
      </c>
      <c r="AU730" s="274">
        <f>ROUND(C322,0)</f>
        <v>0</v>
      </c>
      <c r="AV730" s="274">
        <f>ROUND(C323,0)</f>
        <v>493643</v>
      </c>
      <c r="AW730" s="274">
        <f>ROUND(C324,0)</f>
        <v>-16408</v>
      </c>
      <c r="AX730" s="274">
        <f>ROUND(C325,0)</f>
        <v>0</v>
      </c>
      <c r="AY730" s="274">
        <f>ROUND(C326,0)</f>
        <v>20091743</v>
      </c>
      <c r="AZ730" s="274">
        <f>ROUND(C327,0)</f>
        <v>0</v>
      </c>
      <c r="BA730" s="274">
        <f>ROUND(C328,0)</f>
        <v>0</v>
      </c>
      <c r="BB730" s="274">
        <f>ROUND(C332,0)</f>
        <v>25861565</v>
      </c>
      <c r="BC730" s="274"/>
      <c r="BD730" s="274"/>
      <c r="BE730" s="274">
        <f>ROUND(C337,0)</f>
        <v>-28311349</v>
      </c>
      <c r="BF730" s="274">
        <f>ROUND(C336,0)</f>
        <v>0</v>
      </c>
      <c r="BG730" s="274"/>
      <c r="BH730" s="274"/>
      <c r="BI730" s="274">
        <f>ROUND(CE60,2)</f>
        <v>775.02</v>
      </c>
      <c r="BJ730" s="274">
        <f>ROUND(C359,0)</f>
        <v>176757389</v>
      </c>
      <c r="BK730" s="274">
        <f>ROUND(C360,0)</f>
        <v>288733799</v>
      </c>
      <c r="BL730" s="274">
        <f>ROUND(C364,0)</f>
        <v>306792524</v>
      </c>
      <c r="BM730" s="274">
        <f>ROUND(C365,0)</f>
        <v>1584553</v>
      </c>
      <c r="BN730" s="274">
        <f>ROUND(C366,0)</f>
        <v>3205479</v>
      </c>
      <c r="BO730" s="274">
        <f>ROUND(C370,0)</f>
        <v>4760725</v>
      </c>
      <c r="BP730" s="274">
        <f>ROUND(C371,0)</f>
        <v>806526</v>
      </c>
      <c r="BQ730" s="274">
        <f>ROUND(C378,0)</f>
        <v>74726927</v>
      </c>
      <c r="BR730" s="274">
        <f>ROUND(C379,0)</f>
        <v>16981745</v>
      </c>
      <c r="BS730" s="274">
        <f>ROUND(C380,0)</f>
        <v>11913985</v>
      </c>
      <c r="BT730" s="274">
        <f>ROUND(C381,0)</f>
        <v>28514112</v>
      </c>
      <c r="BU730" s="274">
        <f>ROUND(C382,0)</f>
        <v>2238041</v>
      </c>
      <c r="BV730" s="274">
        <f>ROUND(C383,0)</f>
        <v>13330760</v>
      </c>
      <c r="BW730" s="274">
        <f>ROUND(C384,0)</f>
        <v>9954951</v>
      </c>
      <c r="BX730" s="274">
        <f>ROUND(C385,0)</f>
        <v>2016230</v>
      </c>
      <c r="BY730" s="274">
        <f>ROUND(C386,0)</f>
        <v>2075462</v>
      </c>
      <c r="BZ730" s="274">
        <f>ROUND(C387,0)</f>
        <v>3638116</v>
      </c>
      <c r="CA730" s="274">
        <f>ROUND(C388,0)</f>
        <v>11136797</v>
      </c>
      <c r="CB730" s="274">
        <f>C363</f>
        <v>9655700.4499999993</v>
      </c>
      <c r="CC730" s="274">
        <f>ROUND(C389,0)</f>
        <v>993606</v>
      </c>
      <c r="CD730" s="274">
        <f>ROUND(C392,0)</f>
        <v>-610799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039*2018*6010*A</v>
      </c>
      <c r="B734" s="274">
        <f>ROUND(C59,0)</f>
        <v>2703</v>
      </c>
      <c r="C734" s="274">
        <f>ROUND(C60,2)</f>
        <v>28.6</v>
      </c>
      <c r="D734" s="274">
        <f>ROUND(C61,0)</f>
        <v>2363466</v>
      </c>
      <c r="E734" s="274">
        <f>ROUND(C62,0)</f>
        <v>537099</v>
      </c>
      <c r="F734" s="274">
        <f>ROUND(C63,0)</f>
        <v>68622</v>
      </c>
      <c r="G734" s="274">
        <f>ROUND(C64,0)</f>
        <v>329413</v>
      </c>
      <c r="H734" s="274">
        <f>ROUND(C65,0)</f>
        <v>759</v>
      </c>
      <c r="I734" s="274">
        <f>ROUND(C66,0)</f>
        <v>9917</v>
      </c>
      <c r="J734" s="274">
        <f>ROUND(C67,0)</f>
        <v>136032</v>
      </c>
      <c r="K734" s="274">
        <f>ROUND(C68,0)</f>
        <v>3574</v>
      </c>
      <c r="L734" s="274">
        <f>ROUND(C69,0)</f>
        <v>2326</v>
      </c>
      <c r="M734" s="274">
        <f>ROUND(C70,0)</f>
        <v>0</v>
      </c>
      <c r="N734" s="274">
        <f>ROUND(C75,0)</f>
        <v>8163380</v>
      </c>
      <c r="O734" s="274">
        <f>ROUND(C73,0)</f>
        <v>7821554</v>
      </c>
      <c r="P734" s="274">
        <f>IF(C76&gt;0,ROUND(C76,0),0)</f>
        <v>8232</v>
      </c>
      <c r="Q734" s="274">
        <f>IF(C77&gt;0,ROUND(C77,0),0)</f>
        <v>5974</v>
      </c>
      <c r="R734" s="274">
        <f>IF(C78&gt;0,ROUND(C78,0),0)</f>
        <v>1122</v>
      </c>
      <c r="S734" s="274">
        <f>IF(C79&gt;0,ROUND(C79,0),0)</f>
        <v>68472</v>
      </c>
      <c r="T734" s="274">
        <f>IF(C80&gt;0,ROUND(C80,2),0)</f>
        <v>18.79</v>
      </c>
      <c r="U734" s="274"/>
      <c r="V734" s="274"/>
      <c r="W734" s="274"/>
      <c r="X734" s="274"/>
      <c r="Y734" s="274">
        <f>IF(M668&lt;&gt;0,ROUND(M668,0),0)</f>
        <v>1603815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039*2018*6030*A</v>
      </c>
      <c r="B735" s="274">
        <f>ROUND(D59,0)</f>
        <v>0</v>
      </c>
      <c r="C735" s="276">
        <f>ROUND(D60,2)</f>
        <v>0</v>
      </c>
      <c r="D735" s="274">
        <f>ROUND(D61,0)</f>
        <v>1244</v>
      </c>
      <c r="E735" s="274">
        <f>ROUND(D62,0)</f>
        <v>283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2672511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6">IF(M669&lt;&gt;0,ROUND(M669,0),0)</f>
        <v>106220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039*2018*6070*A</v>
      </c>
      <c r="B736" s="274">
        <f>ROUND(E59,0)</f>
        <v>11996</v>
      </c>
      <c r="C736" s="276">
        <f>ROUND(E60,2)</f>
        <v>61.25</v>
      </c>
      <c r="D736" s="274">
        <f>ROUND(E61,0)</f>
        <v>4913622</v>
      </c>
      <c r="E736" s="274">
        <f>ROUND(E62,0)</f>
        <v>1116624</v>
      </c>
      <c r="F736" s="274">
        <f>ROUND(E63,0)</f>
        <v>59231</v>
      </c>
      <c r="G736" s="274">
        <f>ROUND(E64,0)</f>
        <v>541455</v>
      </c>
      <c r="H736" s="274">
        <f>ROUND(E65,0)</f>
        <v>759</v>
      </c>
      <c r="I736" s="274">
        <f>ROUND(E66,0)</f>
        <v>507043</v>
      </c>
      <c r="J736" s="274">
        <f>ROUND(E67,0)</f>
        <v>549729</v>
      </c>
      <c r="K736" s="274">
        <f>ROUND(E68,0)</f>
        <v>15358</v>
      </c>
      <c r="L736" s="274">
        <f>ROUND(E69,0)</f>
        <v>980</v>
      </c>
      <c r="M736" s="274">
        <f>ROUND(E70,0)</f>
        <v>0</v>
      </c>
      <c r="N736" s="274">
        <f>ROUND(E75,0)</f>
        <v>18799680</v>
      </c>
      <c r="O736" s="274">
        <f>ROUND(E73,0)</f>
        <v>18799680</v>
      </c>
      <c r="P736" s="274">
        <f>IF(E76&gt;0,ROUND(E76,0),0)</f>
        <v>33267</v>
      </c>
      <c r="Q736" s="274">
        <f>IF(E77&gt;0,ROUND(E77,0),0)</f>
        <v>40974</v>
      </c>
      <c r="R736" s="274">
        <f>IF(E78&gt;0,ROUND(E78,0),0)</f>
        <v>4536</v>
      </c>
      <c r="S736" s="274">
        <f>IF(E79&gt;0,ROUND(E79,0),0)</f>
        <v>134146</v>
      </c>
      <c r="T736" s="276">
        <f>IF(E80&gt;0,ROUND(E80,2),0)</f>
        <v>47.46</v>
      </c>
      <c r="U736" s="274"/>
      <c r="V736" s="275"/>
      <c r="W736" s="274"/>
      <c r="X736" s="274"/>
      <c r="Y736" s="274">
        <f t="shared" si="26"/>
        <v>4530436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039*2018*6100*A</v>
      </c>
      <c r="B737" s="274">
        <f>ROUND(F59,0)</f>
        <v>3043</v>
      </c>
      <c r="C737" s="276">
        <f>ROUND(F60,2)</f>
        <v>46.48</v>
      </c>
      <c r="D737" s="274">
        <f>ROUND(F61,0)</f>
        <v>4363464</v>
      </c>
      <c r="E737" s="274">
        <f>ROUND(F62,0)</f>
        <v>991600</v>
      </c>
      <c r="F737" s="274">
        <f>ROUND(F63,0)</f>
        <v>229539</v>
      </c>
      <c r="G737" s="274">
        <f>ROUND(F64,0)</f>
        <v>511535</v>
      </c>
      <c r="H737" s="274">
        <f>ROUND(F65,0)</f>
        <v>1518</v>
      </c>
      <c r="I737" s="274">
        <f>ROUND(F66,0)</f>
        <v>7213</v>
      </c>
      <c r="J737" s="274">
        <f>ROUND(F67,0)</f>
        <v>218160</v>
      </c>
      <c r="K737" s="274">
        <f>ROUND(F68,0)</f>
        <v>13578</v>
      </c>
      <c r="L737" s="274">
        <f>ROUND(F69,0)</f>
        <v>8111</v>
      </c>
      <c r="M737" s="274">
        <f>ROUND(F70,0)</f>
        <v>9060</v>
      </c>
      <c r="N737" s="274">
        <f>ROUND(F75,0)</f>
        <v>16786601</v>
      </c>
      <c r="O737" s="274">
        <f>ROUND(F73,0)</f>
        <v>15383660</v>
      </c>
      <c r="P737" s="274">
        <f>IF(F76&gt;0,ROUND(F76,0),0)</f>
        <v>13202</v>
      </c>
      <c r="Q737" s="274">
        <f>IF(F77&gt;0,ROUND(F77,0),0)</f>
        <v>8619</v>
      </c>
      <c r="R737" s="274">
        <f>IF(F78&gt;0,ROUND(F78,0),0)</f>
        <v>1800</v>
      </c>
      <c r="S737" s="274">
        <f>IF(F79&gt;0,ROUND(F79,0),0)</f>
        <v>77726</v>
      </c>
      <c r="T737" s="276">
        <f>IF(F80&gt;0,ROUND(F80,2),0)</f>
        <v>38.869999999999997</v>
      </c>
      <c r="U737" s="274"/>
      <c r="V737" s="275"/>
      <c r="W737" s="274"/>
      <c r="X737" s="274"/>
      <c r="Y737" s="274">
        <f t="shared" si="26"/>
        <v>2901798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039*2018*6120*A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6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039*2018*6140*A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6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039*2018*6150*A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6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039*2018*6170*A</v>
      </c>
      <c r="B741" s="274">
        <f>ROUND(J59,0)</f>
        <v>3358</v>
      </c>
      <c r="C741" s="276">
        <f>ROUND(J60,2)</f>
        <v>12.9</v>
      </c>
      <c r="D741" s="274">
        <f>ROUND(J61,0)</f>
        <v>1171513</v>
      </c>
      <c r="E741" s="274">
        <f>ROUND(J62,0)</f>
        <v>266227</v>
      </c>
      <c r="F741" s="274">
        <f>ROUND(J63,0)</f>
        <v>155217</v>
      </c>
      <c r="G741" s="274">
        <f>ROUND(J64,0)</f>
        <v>126836</v>
      </c>
      <c r="H741" s="274">
        <f>ROUND(J65,0)</f>
        <v>0</v>
      </c>
      <c r="I741" s="274">
        <f>ROUND(J66,0)</f>
        <v>375</v>
      </c>
      <c r="J741" s="274">
        <f>ROUND(J67,0)</f>
        <v>55953</v>
      </c>
      <c r="K741" s="274">
        <f>ROUND(J68,0)</f>
        <v>1179</v>
      </c>
      <c r="L741" s="274">
        <f>ROUND(J69,0)</f>
        <v>783</v>
      </c>
      <c r="M741" s="274">
        <f>ROUND(J70,0)</f>
        <v>0</v>
      </c>
      <c r="N741" s="274">
        <f>ROUND(J75,0)</f>
        <v>3667159</v>
      </c>
      <c r="O741" s="274">
        <f>ROUND(J73,0)</f>
        <v>3667159</v>
      </c>
      <c r="P741" s="274">
        <f>IF(J76&gt;0,ROUND(J76,0),0)</f>
        <v>3386</v>
      </c>
      <c r="Q741" s="274">
        <f>IF(J77&gt;0,ROUND(J77,0),0)</f>
        <v>637</v>
      </c>
      <c r="R741" s="274">
        <f>IF(J78&gt;0,ROUND(J78,0),0)</f>
        <v>462</v>
      </c>
      <c r="S741" s="274">
        <f>IF(J79&gt;0,ROUND(J79,0),0)</f>
        <v>39174</v>
      </c>
      <c r="T741" s="276">
        <f>IF(J80&gt;0,ROUND(J80,2),0)</f>
        <v>12.58</v>
      </c>
      <c r="U741" s="274"/>
      <c r="V741" s="275"/>
      <c r="W741" s="274"/>
      <c r="X741" s="274"/>
      <c r="Y741" s="274">
        <f t="shared" si="26"/>
        <v>778133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039*2018*6200*A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6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039*2018*6210*A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6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039*2018*6330*A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6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039*2018*6400*A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6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039*2018*7010*A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6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039*2018*7020*A</v>
      </c>
      <c r="B747" s="274">
        <f>ROUND(P59,0)</f>
        <v>287949</v>
      </c>
      <c r="C747" s="276">
        <f>ROUND(P60,2)</f>
        <v>27</v>
      </c>
      <c r="D747" s="274">
        <f>ROUND(P61,0)</f>
        <v>1702635</v>
      </c>
      <c r="E747" s="274">
        <f>ROUND(P62,0)</f>
        <v>386925</v>
      </c>
      <c r="F747" s="274">
        <f>ROUND(P63,0)</f>
        <v>0</v>
      </c>
      <c r="G747" s="274">
        <f>ROUND(P64,0)</f>
        <v>7204738</v>
      </c>
      <c r="H747" s="274">
        <f>ROUND(P65,0)</f>
        <v>0</v>
      </c>
      <c r="I747" s="274">
        <f>ROUND(P66,0)</f>
        <v>472106</v>
      </c>
      <c r="J747" s="274">
        <f>ROUND(P67,0)</f>
        <v>371129</v>
      </c>
      <c r="K747" s="274">
        <f>ROUND(P68,0)</f>
        <v>6438</v>
      </c>
      <c r="L747" s="274">
        <f>ROUND(P69,0)</f>
        <v>0</v>
      </c>
      <c r="M747" s="274">
        <f>ROUND(P70,0)</f>
        <v>0</v>
      </c>
      <c r="N747" s="274">
        <f>ROUND(P75,0)</f>
        <v>46184552</v>
      </c>
      <c r="O747" s="274">
        <f>ROUND(P73,0)</f>
        <v>22230477</v>
      </c>
      <c r="P747" s="274">
        <f>IF(P76&gt;0,ROUND(P76,0),0)</f>
        <v>22459</v>
      </c>
      <c r="Q747" s="274">
        <f>IF(P77&gt;0,ROUND(P77,0),0)</f>
        <v>0</v>
      </c>
      <c r="R747" s="274">
        <f>IF(P78&gt;0,ROUND(P78,0),0)</f>
        <v>3062</v>
      </c>
      <c r="S747" s="274">
        <f>IF(P79&gt;0,ROUND(P79,0),0)</f>
        <v>42400</v>
      </c>
      <c r="T747" s="276">
        <f>IF(P80&gt;0,ROUND(P80,2),0)</f>
        <v>13.43</v>
      </c>
      <c r="U747" s="274"/>
      <c r="V747" s="275"/>
      <c r="W747" s="274"/>
      <c r="X747" s="274"/>
      <c r="Y747" s="274">
        <f t="shared" si="26"/>
        <v>4826354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039*2018*7030*A</v>
      </c>
      <c r="B748" s="274">
        <f>ROUND(Q59,0)</f>
        <v>130439</v>
      </c>
      <c r="C748" s="276">
        <f>ROUND(Q60,2)</f>
        <v>6</v>
      </c>
      <c r="D748" s="274">
        <f>ROUND(Q61,0)</f>
        <v>579608</v>
      </c>
      <c r="E748" s="274">
        <f>ROUND(Q62,0)</f>
        <v>131716</v>
      </c>
      <c r="F748" s="274">
        <f>ROUND(Q63,0)</f>
        <v>0</v>
      </c>
      <c r="G748" s="274">
        <f>ROUND(Q64,0)</f>
        <v>21322</v>
      </c>
      <c r="H748" s="274">
        <f>ROUND(Q65,0)</f>
        <v>0</v>
      </c>
      <c r="I748" s="274">
        <f>ROUND(Q66,0)</f>
        <v>482</v>
      </c>
      <c r="J748" s="274">
        <f>ROUND(Q67,0)</f>
        <v>55523</v>
      </c>
      <c r="K748" s="274">
        <f>ROUND(Q68,0)</f>
        <v>47</v>
      </c>
      <c r="L748" s="274">
        <f>ROUND(Q69,0)</f>
        <v>178</v>
      </c>
      <c r="M748" s="274">
        <f>ROUND(Q70,0)</f>
        <v>0</v>
      </c>
      <c r="N748" s="274">
        <f>ROUND(Q75,0)</f>
        <v>2875269</v>
      </c>
      <c r="O748" s="274">
        <f>ROUND(Q73,0)</f>
        <v>1072854</v>
      </c>
      <c r="P748" s="274">
        <f>IF(Q76&gt;0,ROUND(Q76,0),0)</f>
        <v>3360</v>
      </c>
      <c r="Q748" s="274">
        <f>IF(Q77&gt;0,ROUND(Q77,0),0)</f>
        <v>0</v>
      </c>
      <c r="R748" s="274">
        <f>IF(Q78&gt;0,ROUND(Q78,0),0)</f>
        <v>458</v>
      </c>
      <c r="S748" s="274">
        <f>IF(Q79&gt;0,ROUND(Q79,0),0)</f>
        <v>0</v>
      </c>
      <c r="T748" s="276">
        <f>IF(Q80&gt;0,ROUND(Q80,2),0)</f>
        <v>7.76</v>
      </c>
      <c r="U748" s="274"/>
      <c r="V748" s="275"/>
      <c r="W748" s="274"/>
      <c r="X748" s="274"/>
      <c r="Y748" s="274">
        <f t="shared" si="26"/>
        <v>498038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039*2018*7040*A</v>
      </c>
      <c r="B749" s="274">
        <f>ROUND(R59,0)</f>
        <v>0</v>
      </c>
      <c r="C749" s="276">
        <f>ROUND(R60,2)</f>
        <v>1</v>
      </c>
      <c r="D749" s="274">
        <f>ROUND(R61,0)</f>
        <v>128814</v>
      </c>
      <c r="E749" s="274">
        <f>ROUND(R62,0)</f>
        <v>29273</v>
      </c>
      <c r="F749" s="274">
        <f>ROUND(R63,0)</f>
        <v>1692831</v>
      </c>
      <c r="G749" s="274">
        <f>ROUND(R64,0)</f>
        <v>306224</v>
      </c>
      <c r="H749" s="274">
        <f>ROUND(R65,0)</f>
        <v>0</v>
      </c>
      <c r="I749" s="274">
        <f>ROUND(R66,0)</f>
        <v>569</v>
      </c>
      <c r="J749" s="274">
        <f>ROUND(R67,0)</f>
        <v>10344</v>
      </c>
      <c r="K749" s="274">
        <f>ROUND(R68,0)</f>
        <v>0</v>
      </c>
      <c r="L749" s="274">
        <f>ROUND(R69,0)</f>
        <v>286</v>
      </c>
      <c r="M749" s="274">
        <f>ROUND(R70,0)</f>
        <v>0</v>
      </c>
      <c r="N749" s="274">
        <f>ROUND(R75,0)</f>
        <v>7632261</v>
      </c>
      <c r="O749" s="274">
        <f>ROUND(R73,0)</f>
        <v>2940982</v>
      </c>
      <c r="P749" s="274">
        <f>IF(R76&gt;0,ROUND(R76,0),0)</f>
        <v>626</v>
      </c>
      <c r="Q749" s="274">
        <f>IF(R77&gt;0,ROUND(R77,0),0)</f>
        <v>0</v>
      </c>
      <c r="R749" s="274">
        <f>IF(R78&gt;0,ROUND(R78,0),0)</f>
        <v>85</v>
      </c>
      <c r="S749" s="274">
        <f>IF(R79&gt;0,ROUND(R79,0),0)</f>
        <v>0</v>
      </c>
      <c r="T749" s="276">
        <f>IF(R80&gt;0,ROUND(R80,2),0)</f>
        <v>1.01</v>
      </c>
      <c r="U749" s="274"/>
      <c r="V749" s="275"/>
      <c r="W749" s="274"/>
      <c r="X749" s="274"/>
      <c r="Y749" s="274">
        <f t="shared" si="26"/>
        <v>629482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039*2018*7050*A</v>
      </c>
      <c r="B750" s="274"/>
      <c r="C750" s="276">
        <f>ROUND(S60,2)</f>
        <v>7</v>
      </c>
      <c r="D750" s="274">
        <f>ROUND(S61,0)</f>
        <v>336338</v>
      </c>
      <c r="E750" s="274">
        <f>ROUND(S62,0)</f>
        <v>76433</v>
      </c>
      <c r="F750" s="274">
        <f>ROUND(S63,0)</f>
        <v>60950</v>
      </c>
      <c r="G750" s="274">
        <f>ROUND(S64,0)</f>
        <v>723660</v>
      </c>
      <c r="H750" s="274">
        <f>ROUND(S65,0)</f>
        <v>0</v>
      </c>
      <c r="I750" s="274">
        <f>ROUND(S66,0)</f>
        <v>75133</v>
      </c>
      <c r="J750" s="274">
        <f>ROUND(S67,0)</f>
        <v>80393</v>
      </c>
      <c r="K750" s="274">
        <f>ROUND(S68,0)</f>
        <v>5792</v>
      </c>
      <c r="L750" s="274">
        <f>ROUND(S69,0)</f>
        <v>13166</v>
      </c>
      <c r="M750" s="274">
        <f>ROUND(S70,0)</f>
        <v>0</v>
      </c>
      <c r="N750" s="274">
        <f>ROUND(S75,0)</f>
        <v>8944455</v>
      </c>
      <c r="O750" s="274">
        <f>ROUND(S73,0)</f>
        <v>4400195</v>
      </c>
      <c r="P750" s="274">
        <f>IF(S76&gt;0,ROUND(S76,0),0)</f>
        <v>4865</v>
      </c>
      <c r="Q750" s="274">
        <f>IF(S77&gt;0,ROUND(S77,0),0)</f>
        <v>0</v>
      </c>
      <c r="R750" s="274">
        <f>IF(S78&gt;0,ROUND(S78,0),0)</f>
        <v>663</v>
      </c>
      <c r="S750" s="274">
        <f>IF(S79&gt;0,ROUND(S79,0),0)</f>
        <v>12495</v>
      </c>
      <c r="T750" s="276">
        <f>IF(S80&gt;0,ROUND(S80,2),0)</f>
        <v>0.08</v>
      </c>
      <c r="U750" s="274"/>
      <c r="V750" s="275"/>
      <c r="W750" s="274"/>
      <c r="X750" s="274"/>
      <c r="Y750" s="274">
        <f t="shared" si="26"/>
        <v>832136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039*2018*7060*A</v>
      </c>
      <c r="B751" s="274"/>
      <c r="C751" s="276">
        <f>ROUND(T60,2)</f>
        <v>0</v>
      </c>
      <c r="D751" s="274">
        <f>ROUND(T61,0)</f>
        <v>1258</v>
      </c>
      <c r="E751" s="274">
        <f>ROUND(T62,0)</f>
        <v>286</v>
      </c>
      <c r="F751" s="274">
        <f>ROUND(T63,0)</f>
        <v>0</v>
      </c>
      <c r="G751" s="274">
        <f>ROUND(T64,0)</f>
        <v>885153</v>
      </c>
      <c r="H751" s="274">
        <f>ROUND(T65,0)</f>
        <v>0</v>
      </c>
      <c r="I751" s="274">
        <f>ROUND(T66,0)</f>
        <v>11932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9476145</v>
      </c>
      <c r="O751" s="274">
        <f>ROUND(T73,0)</f>
        <v>4057133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6"/>
        <v>529609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039*2018*7070*A</v>
      </c>
      <c r="B752" s="274">
        <f>ROUND(U59,0)</f>
        <v>339878</v>
      </c>
      <c r="C752" s="276">
        <f>ROUND(U60,2)</f>
        <v>27.75</v>
      </c>
      <c r="D752" s="274">
        <f>ROUND(U61,0)</f>
        <v>1573960</v>
      </c>
      <c r="E752" s="274">
        <f>ROUND(U62,0)</f>
        <v>357683</v>
      </c>
      <c r="F752" s="274">
        <f>ROUND(U63,0)</f>
        <v>655766</v>
      </c>
      <c r="G752" s="274">
        <f>ROUND(U64,0)</f>
        <v>1830223</v>
      </c>
      <c r="H752" s="274">
        <f>ROUND(U65,0)</f>
        <v>0</v>
      </c>
      <c r="I752" s="274">
        <f>ROUND(U66,0)</f>
        <v>1295793</v>
      </c>
      <c r="J752" s="274">
        <f>ROUND(U67,0)</f>
        <v>256497</v>
      </c>
      <c r="K752" s="274">
        <f>ROUND(U68,0)</f>
        <v>152472</v>
      </c>
      <c r="L752" s="274">
        <f>ROUND(U69,0)</f>
        <v>346</v>
      </c>
      <c r="M752" s="274">
        <f>ROUND(U70,0)</f>
        <v>110614</v>
      </c>
      <c r="N752" s="274">
        <f>ROUND(U75,0)</f>
        <v>41228620</v>
      </c>
      <c r="O752" s="274">
        <f>ROUND(U73,0)</f>
        <v>21991145</v>
      </c>
      <c r="P752" s="274">
        <f>IF(U76&gt;0,ROUND(U76,0),0)</f>
        <v>15522</v>
      </c>
      <c r="Q752" s="274">
        <f>IF(U77&gt;0,ROUND(U77,0),0)</f>
        <v>0</v>
      </c>
      <c r="R752" s="274">
        <f>IF(U78&gt;0,ROUND(U78,0),0)</f>
        <v>2117</v>
      </c>
      <c r="S752" s="274">
        <f>IF(U79&gt;0,ROUND(U79,0),0)</f>
        <v>0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6"/>
        <v>3326562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039*2018*7110*A</v>
      </c>
      <c r="B753" s="274">
        <f>ROUND(V59,0)</f>
        <v>466</v>
      </c>
      <c r="C753" s="276">
        <f>ROUND(V60,2)</f>
        <v>1</v>
      </c>
      <c r="D753" s="274">
        <f>ROUND(V61,0)</f>
        <v>56104</v>
      </c>
      <c r="E753" s="274">
        <f>ROUND(V62,0)</f>
        <v>12750</v>
      </c>
      <c r="F753" s="274">
        <f>ROUND(V63,0)</f>
        <v>26600</v>
      </c>
      <c r="G753" s="274">
        <f>ROUND(V64,0)</f>
        <v>960</v>
      </c>
      <c r="H753" s="274">
        <f>ROUND(V65,0)</f>
        <v>0</v>
      </c>
      <c r="I753" s="274">
        <f>ROUND(V66,0)</f>
        <v>5241</v>
      </c>
      <c r="J753" s="274">
        <f>ROUND(V67,0)</f>
        <v>4511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428113</v>
      </c>
      <c r="O753" s="274">
        <f>ROUND(V73,0)</f>
        <v>209105</v>
      </c>
      <c r="P753" s="274">
        <f>IF(V76&gt;0,ROUND(V76,0),0)</f>
        <v>273</v>
      </c>
      <c r="Q753" s="274">
        <f>IF(V77&gt;0,ROUND(V77,0),0)</f>
        <v>0</v>
      </c>
      <c r="R753" s="274">
        <f>IF(V78&gt;0,ROUND(V78,0),0)</f>
        <v>37</v>
      </c>
      <c r="S753" s="274">
        <f>IF(V79&gt;0,ROUND(V79,0),0)</f>
        <v>186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6"/>
        <v>47536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039*2018*7120*A</v>
      </c>
      <c r="B754" s="274">
        <f>ROUND(W59,0)</f>
        <v>2645</v>
      </c>
      <c r="C754" s="276">
        <f>ROUND(W60,2)</f>
        <v>3</v>
      </c>
      <c r="D754" s="274">
        <f>ROUND(W61,0)</f>
        <v>307679</v>
      </c>
      <c r="E754" s="274">
        <f>ROUND(W62,0)</f>
        <v>69920</v>
      </c>
      <c r="F754" s="274">
        <f>ROUND(W63,0)</f>
        <v>0</v>
      </c>
      <c r="G754" s="274">
        <f>ROUND(W64,0)</f>
        <v>6874</v>
      </c>
      <c r="H754" s="274">
        <f>ROUND(W65,0)</f>
        <v>0</v>
      </c>
      <c r="I754" s="274">
        <f>ROUND(W66,0)</f>
        <v>282814</v>
      </c>
      <c r="J754" s="274">
        <f>ROUND(W67,0)</f>
        <v>105279</v>
      </c>
      <c r="K754" s="274">
        <f>ROUND(W68,0)</f>
        <v>179</v>
      </c>
      <c r="L754" s="274">
        <f>ROUND(W69,0)</f>
        <v>0</v>
      </c>
      <c r="M754" s="274">
        <f>ROUND(W70,0)</f>
        <v>0</v>
      </c>
      <c r="N754" s="274">
        <f>ROUND(W75,0)</f>
        <v>8545087</v>
      </c>
      <c r="O754" s="274">
        <f>ROUND(W73,0)</f>
        <v>1320883</v>
      </c>
      <c r="P754" s="274">
        <f>IF(W76&gt;0,ROUND(W76,0),0)</f>
        <v>6371</v>
      </c>
      <c r="Q754" s="274">
        <f>IF(W77&gt;0,ROUND(W77,0),0)</f>
        <v>0</v>
      </c>
      <c r="R754" s="274">
        <f>IF(W78&gt;0,ROUND(W78,0),0)</f>
        <v>869</v>
      </c>
      <c r="S754" s="274">
        <f>IF(W79&gt;0,ROUND(W79,0),0)</f>
        <v>1962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6"/>
        <v>754817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039*2018*7130*A</v>
      </c>
      <c r="B755" s="274">
        <f>ROUND(X59,0)</f>
        <v>11519</v>
      </c>
      <c r="C755" s="276">
        <f>ROUND(X60,2)</f>
        <v>5</v>
      </c>
      <c r="D755" s="274">
        <f>ROUND(X61,0)</f>
        <v>495115</v>
      </c>
      <c r="E755" s="274">
        <f>ROUND(X62,0)</f>
        <v>112515</v>
      </c>
      <c r="F755" s="274">
        <f>ROUND(X63,0)</f>
        <v>0</v>
      </c>
      <c r="G755" s="274">
        <f>ROUND(X64,0)</f>
        <v>350477</v>
      </c>
      <c r="H755" s="274">
        <f>ROUND(X65,0)</f>
        <v>0</v>
      </c>
      <c r="I755" s="274">
        <f>ROUND(X66,0)</f>
        <v>264117</v>
      </c>
      <c r="J755" s="274">
        <f>ROUND(X67,0)</f>
        <v>60398</v>
      </c>
      <c r="K755" s="274">
        <f>ROUND(X68,0)</f>
        <v>149524</v>
      </c>
      <c r="L755" s="274">
        <f>ROUND(X69,0)</f>
        <v>0</v>
      </c>
      <c r="M755" s="274">
        <f>ROUND(X70,0)</f>
        <v>0</v>
      </c>
      <c r="N755" s="274">
        <f>ROUND(X75,0)</f>
        <v>34422028</v>
      </c>
      <c r="O755" s="274">
        <f>ROUND(X73,0)</f>
        <v>7551158</v>
      </c>
      <c r="P755" s="274">
        <f>IF(X76&gt;0,ROUND(X76,0),0)</f>
        <v>3655</v>
      </c>
      <c r="Q755" s="274">
        <f>IF(X77&gt;0,ROUND(X77,0),0)</f>
        <v>0</v>
      </c>
      <c r="R755" s="274">
        <f>IF(X78&gt;0,ROUND(X78,0),0)</f>
        <v>498</v>
      </c>
      <c r="S755" s="274">
        <f>IF(X79&gt;0,ROUND(X79,0),0)</f>
        <v>6723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6"/>
        <v>1759814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039*2018*7140*A</v>
      </c>
      <c r="B756" s="274">
        <f>ROUND(Y59,0)</f>
        <v>51196</v>
      </c>
      <c r="C756" s="276">
        <f>ROUND(Y60,2)</f>
        <v>31.9</v>
      </c>
      <c r="D756" s="274">
        <f>ROUND(Y61,0)</f>
        <v>3049596</v>
      </c>
      <c r="E756" s="274">
        <f>ROUND(Y62,0)</f>
        <v>693023</v>
      </c>
      <c r="F756" s="274">
        <f>ROUND(Y63,0)</f>
        <v>1144529</v>
      </c>
      <c r="G756" s="274">
        <f>ROUND(Y64,0)</f>
        <v>905861</v>
      </c>
      <c r="H756" s="274">
        <f>ROUND(Y65,0)</f>
        <v>0</v>
      </c>
      <c r="I756" s="274">
        <f>ROUND(Y66,0)</f>
        <v>889041</v>
      </c>
      <c r="J756" s="274">
        <f>ROUND(Y67,0)</f>
        <v>395404</v>
      </c>
      <c r="K756" s="274">
        <f>ROUND(Y68,0)</f>
        <v>15454</v>
      </c>
      <c r="L756" s="274">
        <f>ROUND(Y69,0)</f>
        <v>29124</v>
      </c>
      <c r="M756" s="274">
        <f>ROUND(Y70,0)</f>
        <v>0</v>
      </c>
      <c r="N756" s="274">
        <f>ROUND(Y75,0)</f>
        <v>37626357</v>
      </c>
      <c r="O756" s="274">
        <f>ROUND(Y73,0)</f>
        <v>11648145</v>
      </c>
      <c r="P756" s="274">
        <f>IF(Y76&gt;0,ROUND(Y76,0),0)</f>
        <v>23928</v>
      </c>
      <c r="Q756" s="274">
        <f>IF(Y77&gt;0,ROUND(Y77,0),0)</f>
        <v>0</v>
      </c>
      <c r="R756" s="274">
        <f>IF(Y78&gt;0,ROUND(Y78,0),0)</f>
        <v>3263</v>
      </c>
      <c r="S756" s="274">
        <f>IF(Y79&gt;0,ROUND(Y79,0),0)</f>
        <v>70035</v>
      </c>
      <c r="T756" s="276">
        <f>IF(Y80&gt;0,ROUND(Y80,2),0)</f>
        <v>5.0599999999999996</v>
      </c>
      <c r="U756" s="274"/>
      <c r="V756" s="275"/>
      <c r="W756" s="274"/>
      <c r="X756" s="274"/>
      <c r="Y756" s="274">
        <f t="shared" si="26"/>
        <v>3807813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039*2018*7150*A</v>
      </c>
      <c r="B757" s="274">
        <f>ROUND(Z59,0)</f>
        <v>468114</v>
      </c>
      <c r="C757" s="276">
        <f>ROUND(Z60,2)</f>
        <v>0</v>
      </c>
      <c r="D757" s="274">
        <f>ROUND(Z61,0)</f>
        <v>662</v>
      </c>
      <c r="E757" s="274">
        <f>ROUND(Z62,0)</f>
        <v>150</v>
      </c>
      <c r="F757" s="274">
        <f>ROUND(Z63,0)</f>
        <v>0</v>
      </c>
      <c r="G757" s="274">
        <f>ROUND(Z64,0)</f>
        <v>7258323</v>
      </c>
      <c r="H757" s="274">
        <f>ROUND(Z65,0)</f>
        <v>0</v>
      </c>
      <c r="I757" s="274">
        <f>ROUND(Z66,0)</f>
        <v>497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35438407</v>
      </c>
      <c r="O757" s="274">
        <f>ROUND(Z73,0)</f>
        <v>1106287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6"/>
        <v>2652583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039*2018*7160*A</v>
      </c>
      <c r="B758" s="274">
        <f>ROUND(AA59,0)</f>
        <v>1847</v>
      </c>
      <c r="C758" s="276">
        <f>ROUND(AA60,2)</f>
        <v>3</v>
      </c>
      <c r="D758" s="274">
        <f>ROUND(AA61,0)</f>
        <v>300176</v>
      </c>
      <c r="E758" s="274">
        <f>ROUND(AA62,0)</f>
        <v>68215</v>
      </c>
      <c r="F758" s="274">
        <f>ROUND(AA63,0)</f>
        <v>0</v>
      </c>
      <c r="G758" s="274">
        <f>ROUND(AA64,0)</f>
        <v>429054</v>
      </c>
      <c r="H758" s="274">
        <f>ROUND(AA65,0)</f>
        <v>0</v>
      </c>
      <c r="I758" s="274">
        <f>ROUND(AA66,0)</f>
        <v>55957</v>
      </c>
      <c r="J758" s="274">
        <f>ROUND(AA67,0)</f>
        <v>104883</v>
      </c>
      <c r="K758" s="274">
        <f>ROUND(AA68,0)</f>
        <v>1040</v>
      </c>
      <c r="L758" s="274">
        <f>ROUND(AA69,0)</f>
        <v>52</v>
      </c>
      <c r="M758" s="274">
        <f>ROUND(AA70,0)</f>
        <v>0</v>
      </c>
      <c r="N758" s="274">
        <f>ROUND(AA75,0)</f>
        <v>4012506</v>
      </c>
      <c r="O758" s="274">
        <f>ROUND(AA73,0)</f>
        <v>675463</v>
      </c>
      <c r="P758" s="274">
        <f>IF(AA76&gt;0,ROUND(AA76,0),0)</f>
        <v>6347</v>
      </c>
      <c r="Q758" s="274">
        <f>IF(AA77&gt;0,ROUND(AA77,0),0)</f>
        <v>0</v>
      </c>
      <c r="R758" s="274">
        <f>IF(AA78&gt;0,ROUND(AA78,0),0)</f>
        <v>865</v>
      </c>
      <c r="S758" s="274">
        <f>IF(AA79&gt;0,ROUND(AA79,0),0)</f>
        <v>13789</v>
      </c>
      <c r="T758" s="276">
        <f>IF(AA80&gt;0,ROUND(AA80,2),0)</f>
        <v>1.4</v>
      </c>
      <c r="U758" s="274"/>
      <c r="V758" s="275"/>
      <c r="W758" s="274"/>
      <c r="X758" s="274"/>
      <c r="Y758" s="274">
        <f t="shared" si="26"/>
        <v>643553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039*2018*7170*A</v>
      </c>
      <c r="B759" s="274"/>
      <c r="C759" s="276">
        <f>ROUND(AB60,2)</f>
        <v>13.25</v>
      </c>
      <c r="D759" s="274">
        <f>ROUND(AB61,0)</f>
        <v>1741734</v>
      </c>
      <c r="E759" s="274">
        <f>ROUND(AB62,0)</f>
        <v>395810</v>
      </c>
      <c r="F759" s="274">
        <f>ROUND(AB63,0)</f>
        <v>0</v>
      </c>
      <c r="G759" s="274">
        <f>ROUND(AB64,0)</f>
        <v>3684200</v>
      </c>
      <c r="H759" s="274">
        <f>ROUND(AB65,0)</f>
        <v>0</v>
      </c>
      <c r="I759" s="274">
        <f>ROUND(AB66,0)</f>
        <v>404898</v>
      </c>
      <c r="J759" s="274">
        <f>ROUND(AB67,0)</f>
        <v>116714</v>
      </c>
      <c r="K759" s="274">
        <f>ROUND(AB68,0)</f>
        <v>102302</v>
      </c>
      <c r="L759" s="274">
        <f>ROUND(AB69,0)</f>
        <v>5355</v>
      </c>
      <c r="M759" s="274">
        <f>ROUND(AB70,0)</f>
        <v>2243254</v>
      </c>
      <c r="N759" s="274">
        <f>ROUND(AB75,0)</f>
        <v>34819957</v>
      </c>
      <c r="O759" s="274">
        <f>ROUND(AB73,0)</f>
        <v>20921449</v>
      </c>
      <c r="P759" s="274">
        <f>IF(AB76&gt;0,ROUND(AB76,0),0)</f>
        <v>7063</v>
      </c>
      <c r="Q759" s="274">
        <f>IF(AB77&gt;0,ROUND(AB77,0),0)</f>
        <v>0</v>
      </c>
      <c r="R759" s="274">
        <f>IF(AB78&gt;0,ROUND(AB78,0),0)</f>
        <v>963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6"/>
        <v>2475239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039*2018*7180*A</v>
      </c>
      <c r="B760" s="274">
        <f>ROUND(AC59,0)</f>
        <v>63081</v>
      </c>
      <c r="C760" s="276">
        <f>ROUND(AC60,2)</f>
        <v>13.5</v>
      </c>
      <c r="D760" s="274">
        <f>ROUND(AC61,0)</f>
        <v>1169776</v>
      </c>
      <c r="E760" s="274">
        <f>ROUND(AC62,0)</f>
        <v>265832</v>
      </c>
      <c r="F760" s="274">
        <f>ROUND(AC63,0)</f>
        <v>101889</v>
      </c>
      <c r="G760" s="274">
        <f>ROUND(AC64,0)</f>
        <v>214132</v>
      </c>
      <c r="H760" s="274">
        <f>ROUND(AC65,0)</f>
        <v>759</v>
      </c>
      <c r="I760" s="274">
        <f>ROUND(AC66,0)</f>
        <v>1863</v>
      </c>
      <c r="J760" s="274">
        <f>ROUND(AC67,0)</f>
        <v>79236</v>
      </c>
      <c r="K760" s="274">
        <f>ROUND(AC68,0)</f>
        <v>18968</v>
      </c>
      <c r="L760" s="274">
        <f>ROUND(AC69,0)</f>
        <v>0</v>
      </c>
      <c r="M760" s="274">
        <f>ROUND(AC70,0)</f>
        <v>0</v>
      </c>
      <c r="N760" s="274">
        <f>ROUND(AC75,0)</f>
        <v>18386670</v>
      </c>
      <c r="O760" s="274">
        <f>ROUND(AC73,0)</f>
        <v>13242710</v>
      </c>
      <c r="P760" s="274">
        <f>IF(AC76&gt;0,ROUND(AC76,0),0)</f>
        <v>4795</v>
      </c>
      <c r="Q760" s="274">
        <f>IF(AC77&gt;0,ROUND(AC77,0),0)</f>
        <v>0</v>
      </c>
      <c r="R760" s="274">
        <f>IF(AC78&gt;0,ROUND(AC78,0),0)</f>
        <v>654</v>
      </c>
      <c r="S760" s="274">
        <f>IF(AC79&gt;0,ROUND(AC79,0),0)</f>
        <v>0</v>
      </c>
      <c r="T760" s="276">
        <f>IF(AC80&gt;0,ROUND(AC80,2),0)</f>
        <v>0.01</v>
      </c>
      <c r="U760" s="274"/>
      <c r="V760" s="275"/>
      <c r="W760" s="274"/>
      <c r="X760" s="274"/>
      <c r="Y760" s="274">
        <f t="shared" si="26"/>
        <v>1254941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039*2018*7190*A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6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039*2018*7200*A</v>
      </c>
      <c r="B762" s="274">
        <f>ROUND(AE59,0)</f>
        <v>21158</v>
      </c>
      <c r="C762" s="276">
        <f>ROUND(AE60,2)</f>
        <v>7.2</v>
      </c>
      <c r="D762" s="274">
        <f>ROUND(AE61,0)</f>
        <v>636600</v>
      </c>
      <c r="E762" s="274">
        <f>ROUND(AE62,0)</f>
        <v>144668</v>
      </c>
      <c r="F762" s="274">
        <f>ROUND(AE63,0)</f>
        <v>0</v>
      </c>
      <c r="G762" s="274">
        <f>ROUND(AE64,0)</f>
        <v>322</v>
      </c>
      <c r="H762" s="274">
        <f>ROUND(AE65,0)</f>
        <v>759</v>
      </c>
      <c r="I762" s="274">
        <f>ROUND(AE66,0)</f>
        <v>5452</v>
      </c>
      <c r="J762" s="274">
        <f>ROUND(AE67,0)</f>
        <v>148210</v>
      </c>
      <c r="K762" s="274">
        <f>ROUND(AE68,0)</f>
        <v>1222</v>
      </c>
      <c r="L762" s="274">
        <f>ROUND(AE69,0)</f>
        <v>2358</v>
      </c>
      <c r="M762" s="274">
        <f>ROUND(AE70,0)</f>
        <v>0</v>
      </c>
      <c r="N762" s="274">
        <f>ROUND(AE75,0)</f>
        <v>3103856</v>
      </c>
      <c r="O762" s="274">
        <f>ROUND(AE73,0)</f>
        <v>1843624</v>
      </c>
      <c r="P762" s="274">
        <f>IF(AE76&gt;0,ROUND(AE76,0),0)</f>
        <v>8969</v>
      </c>
      <c r="Q762" s="274">
        <f>IF(AE77&gt;0,ROUND(AE77,0),0)</f>
        <v>0</v>
      </c>
      <c r="R762" s="274">
        <f>IF(AE78&gt;0,ROUND(AE78,0),0)</f>
        <v>1223</v>
      </c>
      <c r="S762" s="274">
        <f>IF(AE79&gt;0,ROUND(AE79,0),0)</f>
        <v>7669</v>
      </c>
      <c r="T762" s="276">
        <f>IF(AE80&gt;0,ROUND(AE80,2),0)</f>
        <v>1.48</v>
      </c>
      <c r="U762" s="274"/>
      <c r="V762" s="275"/>
      <c r="W762" s="274"/>
      <c r="X762" s="274"/>
      <c r="Y762" s="274">
        <f t="shared" si="26"/>
        <v>724965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039*2018*7220*A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6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039*2018*7230*A</v>
      </c>
      <c r="B764" s="274">
        <f>ROUND(AG59,0)</f>
        <v>27043</v>
      </c>
      <c r="C764" s="276">
        <f>ROUND(AG60,2)</f>
        <v>45.23</v>
      </c>
      <c r="D764" s="274">
        <f>ROUND(AG61,0)</f>
        <v>7232992</v>
      </c>
      <c r="E764" s="274">
        <f>ROUND(AG62,0)</f>
        <v>1643702</v>
      </c>
      <c r="F764" s="274">
        <f>ROUND(AG63,0)</f>
        <v>-452002</v>
      </c>
      <c r="G764" s="274">
        <f>ROUND(AG64,0)</f>
        <v>535725</v>
      </c>
      <c r="H764" s="274">
        <f>ROUND(AG65,0)</f>
        <v>7023</v>
      </c>
      <c r="I764" s="274">
        <f>ROUND(AG66,0)</f>
        <v>200854</v>
      </c>
      <c r="J764" s="274">
        <f>ROUND(AG67,0)</f>
        <v>206758</v>
      </c>
      <c r="K764" s="274">
        <f>ROUND(AG68,0)</f>
        <v>35304</v>
      </c>
      <c r="L764" s="274">
        <f>ROUND(AG69,0)</f>
        <v>66731</v>
      </c>
      <c r="M764" s="274">
        <f>ROUND(AG70,0)</f>
        <v>23990</v>
      </c>
      <c r="N764" s="274">
        <f>ROUND(AG75,0)</f>
        <v>41876045</v>
      </c>
      <c r="O764" s="274">
        <f>ROUND(AG73,0)</f>
        <v>14714398</v>
      </c>
      <c r="P764" s="274">
        <f>IF(AG76&gt;0,ROUND(AG76,0),0)</f>
        <v>12512</v>
      </c>
      <c r="Q764" s="274">
        <f>IF(AG77&gt;0,ROUND(AG77,0),0)</f>
        <v>488</v>
      </c>
      <c r="R764" s="274">
        <f>IF(AG78&gt;0,ROUND(AG78,0),0)</f>
        <v>1706</v>
      </c>
      <c r="S764" s="274">
        <f>IF(AG79&gt;0,ROUND(AG79,0),0)</f>
        <v>75978</v>
      </c>
      <c r="T764" s="276">
        <f>IF(AG80&gt;0,ROUND(AG80,2),0)</f>
        <v>24.77</v>
      </c>
      <c r="U764" s="274"/>
      <c r="V764" s="275"/>
      <c r="W764" s="274"/>
      <c r="X764" s="274"/>
      <c r="Y764" s="274">
        <f t="shared" si="26"/>
        <v>4007346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039*2018*7240*A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6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039*2018*7250*A</v>
      </c>
      <c r="B766" s="274">
        <f>ROUND(AI59,0)</f>
        <v>27095</v>
      </c>
      <c r="C766" s="276">
        <f>ROUND(AI60,2)</f>
        <v>19.73</v>
      </c>
      <c r="D766" s="274">
        <f>ROUND(AI61,0)</f>
        <v>1669007</v>
      </c>
      <c r="E766" s="274">
        <f>ROUND(AI62,0)</f>
        <v>379283</v>
      </c>
      <c r="F766" s="274">
        <f>ROUND(AI63,0)</f>
        <v>0</v>
      </c>
      <c r="G766" s="274">
        <f>ROUND(AI64,0)</f>
        <v>600016</v>
      </c>
      <c r="H766" s="274">
        <f>ROUND(AI65,0)</f>
        <v>0</v>
      </c>
      <c r="I766" s="274">
        <f>ROUND(AI66,0)</f>
        <v>8087</v>
      </c>
      <c r="J766" s="274">
        <f>ROUND(AI67,0)</f>
        <v>418208</v>
      </c>
      <c r="K766" s="274">
        <f>ROUND(AI68,0)</f>
        <v>5489</v>
      </c>
      <c r="L766" s="274">
        <f>ROUND(AI69,0)</f>
        <v>390</v>
      </c>
      <c r="M766" s="274">
        <f>ROUND(AI70,0)</f>
        <v>0</v>
      </c>
      <c r="N766" s="274">
        <f>ROUND(AI75,0)</f>
        <v>9226702</v>
      </c>
      <c r="O766" s="274">
        <f>ROUND(AI73,0)</f>
        <v>179190</v>
      </c>
      <c r="P766" s="274">
        <f>IF(AI76&gt;0,ROUND(AI76,0),0)</f>
        <v>25308</v>
      </c>
      <c r="Q766" s="274">
        <f>IF(AI77&gt;0,ROUND(AI77,0),0)</f>
        <v>1516</v>
      </c>
      <c r="R766" s="274">
        <f>IF(AI78&gt;0,ROUND(AI78,0),0)</f>
        <v>3451</v>
      </c>
      <c r="S766" s="274">
        <f>IF(AI79&gt;0,ROUND(AI79,0),0)</f>
        <v>84709</v>
      </c>
      <c r="T766" s="276">
        <f>IF(AI80&gt;0,ROUND(AI80,2),0)</f>
        <v>15.11</v>
      </c>
      <c r="U766" s="274"/>
      <c r="V766" s="275"/>
      <c r="W766" s="274"/>
      <c r="X766" s="274"/>
      <c r="Y766" s="274">
        <f t="shared" si="26"/>
        <v>2335832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039*2018*7260*A</v>
      </c>
      <c r="B767" s="274">
        <f>ROUND(AJ59,0)</f>
        <v>8787</v>
      </c>
      <c r="C767" s="276">
        <f>ROUND(AJ60,2)</f>
        <v>12.1</v>
      </c>
      <c r="D767" s="274">
        <f>ROUND(AJ61,0)</f>
        <v>922424</v>
      </c>
      <c r="E767" s="274">
        <f>ROUND(AJ62,0)</f>
        <v>209622</v>
      </c>
      <c r="F767" s="274">
        <f>ROUND(AJ63,0)</f>
        <v>464004</v>
      </c>
      <c r="G767" s="274">
        <f>ROUND(AJ64,0)</f>
        <v>139</v>
      </c>
      <c r="H767" s="274">
        <f>ROUND(AJ65,0)</f>
        <v>276</v>
      </c>
      <c r="I767" s="274">
        <f>ROUND(AJ66,0)</f>
        <v>19105</v>
      </c>
      <c r="J767" s="274">
        <f>ROUND(AJ67,0)</f>
        <v>150623</v>
      </c>
      <c r="K767" s="274">
        <f>ROUND(AJ68,0)</f>
        <v>11997</v>
      </c>
      <c r="L767" s="274">
        <f>ROUND(AJ69,0)</f>
        <v>293</v>
      </c>
      <c r="M767" s="274">
        <f>ROUND(AJ70,0)</f>
        <v>0</v>
      </c>
      <c r="N767" s="274">
        <f>ROUND(AJ75,0)</f>
        <v>7748834</v>
      </c>
      <c r="O767" s="274">
        <f>ROUND(AJ73,0)</f>
        <v>494510</v>
      </c>
      <c r="P767" s="274">
        <f>IF(AJ76&gt;0,ROUND(AJ76,0),0)</f>
        <v>9115</v>
      </c>
      <c r="Q767" s="274">
        <f>IF(AJ77&gt;0,ROUND(AJ77,0),0)</f>
        <v>0</v>
      </c>
      <c r="R767" s="274">
        <f>IF(AJ78&gt;0,ROUND(AJ78,0),0)</f>
        <v>1243</v>
      </c>
      <c r="S767" s="274">
        <f>IF(AJ79&gt;0,ROUND(AJ79,0),0)</f>
        <v>17092</v>
      </c>
      <c r="T767" s="276">
        <f>IF(AJ80&gt;0,ROUND(AJ80,2),0)</f>
        <v>12.75</v>
      </c>
      <c r="U767" s="274"/>
      <c r="V767" s="275"/>
      <c r="W767" s="274"/>
      <c r="X767" s="274"/>
      <c r="Y767" s="274">
        <f t="shared" si="26"/>
        <v>1189789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039*2018*7310*A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6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039*2018*7320*A</v>
      </c>
      <c r="B769" s="274">
        <f>ROUND(AL59,0)</f>
        <v>3311</v>
      </c>
      <c r="C769" s="276">
        <f>ROUND(AL60,2)</f>
        <v>0</v>
      </c>
      <c r="D769" s="274">
        <f>ROUND(AL61,0)</f>
        <v>98626</v>
      </c>
      <c r="E769" s="274">
        <f>ROUND(AL62,0)</f>
        <v>22413</v>
      </c>
      <c r="F769" s="274">
        <f>ROUND(AL63,0)</f>
        <v>30686</v>
      </c>
      <c r="G769" s="274">
        <f>ROUND(AL64,0)</f>
        <v>345</v>
      </c>
      <c r="H769" s="274">
        <f>ROUND(AL65,0)</f>
        <v>0</v>
      </c>
      <c r="I769" s="274">
        <f>ROUND(AL66,0)</f>
        <v>195</v>
      </c>
      <c r="J769" s="274">
        <f>ROUND(AL67,0)</f>
        <v>3305</v>
      </c>
      <c r="K769" s="274">
        <f>ROUND(AL68,0)</f>
        <v>15</v>
      </c>
      <c r="L769" s="274">
        <f>ROUND(AL69,0)</f>
        <v>197</v>
      </c>
      <c r="M769" s="274">
        <f>ROUND(AL70,0)</f>
        <v>0</v>
      </c>
      <c r="N769" s="274">
        <f>ROUND(AL75,0)</f>
        <v>615952</v>
      </c>
      <c r="O769" s="274">
        <f>ROUND(AL73,0)</f>
        <v>485627</v>
      </c>
      <c r="P769" s="274">
        <f>IF(AL76&gt;0,ROUND(AL76,0),0)</f>
        <v>200</v>
      </c>
      <c r="Q769" s="274">
        <f>IF(AL77&gt;0,ROUND(AL77,0),0)</f>
        <v>0</v>
      </c>
      <c r="R769" s="274">
        <f>IF(AL78&gt;0,ROUND(AL78,0),0)</f>
        <v>27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6"/>
        <v>53064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039*2018*7330*A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6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039*2018*7340*A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6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039*2018*7350*A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6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039*2018*7380*A</v>
      </c>
      <c r="B773" s="274">
        <f>ROUND(AP59,0)</f>
        <v>208416</v>
      </c>
      <c r="C773" s="276">
        <f>ROUND(AP60,2)</f>
        <v>192.78</v>
      </c>
      <c r="D773" s="274">
        <f>ROUND(AP61,0)</f>
        <v>24086661</v>
      </c>
      <c r="E773" s="274">
        <f>ROUND(AP62,0)</f>
        <v>5473710</v>
      </c>
      <c r="F773" s="274">
        <f>ROUND(AP63,0)</f>
        <v>1223908</v>
      </c>
      <c r="G773" s="274">
        <f>ROUND(AP64,0)</f>
        <v>916857</v>
      </c>
      <c r="H773" s="274">
        <f>ROUND(AP65,0)</f>
        <v>272715</v>
      </c>
      <c r="I773" s="274">
        <f>ROUND(AP66,0)</f>
        <v>1875392</v>
      </c>
      <c r="J773" s="274">
        <f>ROUND(AP67,0)</f>
        <v>1764628</v>
      </c>
      <c r="K773" s="274">
        <f>ROUND(AP68,0)</f>
        <v>517539</v>
      </c>
      <c r="L773" s="274">
        <f>ROUND(AP69,0)</f>
        <v>278101</v>
      </c>
      <c r="M773" s="274">
        <f>ROUND(AP70,0)</f>
        <v>551383</v>
      </c>
      <c r="N773" s="274">
        <f>ROUND(AP75,0)</f>
        <v>61676868</v>
      </c>
      <c r="O773" s="274">
        <f>ROUND(AP73,0)</f>
        <v>0</v>
      </c>
      <c r="P773" s="274">
        <f>IF(AP76&gt;0,ROUND(AP76,0),0)</f>
        <v>106787</v>
      </c>
      <c r="Q773" s="274">
        <f>IF(AP77&gt;0,ROUND(AP77,0),0)</f>
        <v>0</v>
      </c>
      <c r="R773" s="274">
        <f>IF(AP78&gt;0,ROUND(AP78,0),0)</f>
        <v>14561</v>
      </c>
      <c r="S773" s="274">
        <f>IF(AP79&gt;0,ROUND(AP79,0),0)</f>
        <v>0</v>
      </c>
      <c r="T773" s="276">
        <f>IF(AP80&gt;0,ROUND(AP80,2),0)</f>
        <v>1.06</v>
      </c>
      <c r="U773" s="274"/>
      <c r="V773" s="275"/>
      <c r="W773" s="274"/>
      <c r="X773" s="274"/>
      <c r="Y773" s="274">
        <f t="shared" si="26"/>
        <v>12847362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039*2018*7390*A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126549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6"/>
        <v>15407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039*2018*7400*A</v>
      </c>
      <c r="B775" s="274">
        <f>ROUND(AR59,0)</f>
        <v>11432</v>
      </c>
      <c r="C775" s="276">
        <f>ROUND(AR60,2)</f>
        <v>0</v>
      </c>
      <c r="D775" s="274">
        <f>ROUND(AR61,0)</f>
        <v>927074</v>
      </c>
      <c r="E775" s="274">
        <f>ROUND(AR62,0)</f>
        <v>210678</v>
      </c>
      <c r="F775" s="274">
        <f>ROUND(AR63,0)</f>
        <v>903</v>
      </c>
      <c r="G775" s="274">
        <f>ROUND(AR64,0)</f>
        <v>31378</v>
      </c>
      <c r="H775" s="274">
        <f>ROUND(AR65,0)</f>
        <v>11529</v>
      </c>
      <c r="I775" s="274">
        <f>ROUND(AR66,0)</f>
        <v>83105</v>
      </c>
      <c r="J775" s="274">
        <f>ROUND(AR67,0)</f>
        <v>70048</v>
      </c>
      <c r="K775" s="274">
        <f>ROUND(AR68,0)</f>
        <v>5763</v>
      </c>
      <c r="L775" s="274">
        <f>ROUND(AR69,0)</f>
        <v>33458</v>
      </c>
      <c r="M775" s="274">
        <f>ROUND(AR70,0)</f>
        <v>9</v>
      </c>
      <c r="N775" s="274">
        <f>ROUND(AR75,0)</f>
        <v>1133172</v>
      </c>
      <c r="O775" s="274">
        <f>ROUND(AR73,0)</f>
        <v>0</v>
      </c>
      <c r="P775" s="274">
        <f>IF(AR76&gt;0,ROUND(AR76,0),0)</f>
        <v>4239</v>
      </c>
      <c r="Q775" s="274">
        <f>IF(AR77&gt;0,ROUND(AR77,0),0)</f>
        <v>0</v>
      </c>
      <c r="R775" s="274">
        <f>IF(AR78&gt;0,ROUND(AR78,0),0)</f>
        <v>578</v>
      </c>
      <c r="S775" s="274">
        <f>IF(AR79&gt;0,ROUND(AR79,0),0)</f>
        <v>0</v>
      </c>
      <c r="T775" s="276">
        <f>IF(AR80&gt;0,ROUND(AR80,2),0)</f>
        <v>5.93</v>
      </c>
      <c r="U775" s="274"/>
      <c r="V775" s="275"/>
      <c r="W775" s="274"/>
      <c r="X775" s="274"/>
      <c r="Y775" s="274">
        <f t="shared" si="26"/>
        <v>493924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039*2018*7410*A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6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039*2018*7420*A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6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039*2018*7430*A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6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039*2018*7490*A</v>
      </c>
      <c r="B779" s="274"/>
      <c r="C779" s="276">
        <f>ROUND(AV60,2)</f>
        <v>0</v>
      </c>
      <c r="D779" s="274">
        <f>ROUND(AV61,0)</f>
        <v>0</v>
      </c>
      <c r="E779" s="274">
        <f>ROUND(AV62,0)</f>
        <v>0</v>
      </c>
      <c r="F779" s="274">
        <f>ROUND(AV63,0)</f>
        <v>0</v>
      </c>
      <c r="G779" s="274">
        <f>ROUND(AV64,0)</f>
        <v>0</v>
      </c>
      <c r="H779" s="274">
        <f>ROUND(AV65,0)</f>
        <v>0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0</v>
      </c>
      <c r="M779" s="274">
        <f>ROUND(AV70,0)</f>
        <v>0</v>
      </c>
      <c r="N779" s="274">
        <f>ROUND(AV75,0)</f>
        <v>0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6"/>
        <v>0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039*2018*8200*A</v>
      </c>
      <c r="B780" s="274"/>
      <c r="C780" s="276">
        <f>ROUND(AW60,2)</f>
        <v>26.7</v>
      </c>
      <c r="D780" s="274">
        <f>ROUND(AW61,0)</f>
        <v>1946495</v>
      </c>
      <c r="E780" s="274">
        <f>ROUND(AW62,0)</f>
        <v>442342</v>
      </c>
      <c r="F780" s="274">
        <f>ROUND(AW63,0)</f>
        <v>13215</v>
      </c>
      <c r="G780" s="274">
        <f>ROUND(AW64,0)</f>
        <v>30267</v>
      </c>
      <c r="H780" s="274">
        <f>ROUND(AW65,0)</f>
        <v>561</v>
      </c>
      <c r="I780" s="274">
        <f>ROUND(AW66,0)</f>
        <v>15403</v>
      </c>
      <c r="J780" s="274">
        <f>ROUND(AW67,0)</f>
        <v>23052</v>
      </c>
      <c r="K780" s="274">
        <f>ROUND(AW68,0)</f>
        <v>2111</v>
      </c>
      <c r="L780" s="274">
        <f>ROUND(AW69,0)</f>
        <v>38380</v>
      </c>
      <c r="M780" s="274">
        <f>ROUND(AW70,0)</f>
        <v>19400</v>
      </c>
      <c r="N780" s="274"/>
      <c r="O780" s="274"/>
      <c r="P780" s="274">
        <f>IF(AW76&gt;0,ROUND(AW76,0),0)</f>
        <v>1395</v>
      </c>
      <c r="Q780" s="274">
        <f>IF(AW77&gt;0,ROUND(AW77,0),0)</f>
        <v>0</v>
      </c>
      <c r="R780" s="274">
        <f>IF(AW78&gt;0,ROUND(AW78,0),0)</f>
        <v>190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039*2018*8310*A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039*2018*8320*A</v>
      </c>
      <c r="B782" s="274">
        <f>ROUND(AY59,0)</f>
        <v>333727</v>
      </c>
      <c r="C782" s="276">
        <f>ROUND(AY60,2)</f>
        <v>24.33</v>
      </c>
      <c r="D782" s="274">
        <f>ROUND(AY61,0)</f>
        <v>915964</v>
      </c>
      <c r="E782" s="274">
        <f>ROUND(AY62,0)</f>
        <v>208153</v>
      </c>
      <c r="F782" s="274">
        <f>ROUND(AY63,0)</f>
        <v>32685</v>
      </c>
      <c r="G782" s="274">
        <f>ROUND(AY64,0)</f>
        <v>545408</v>
      </c>
      <c r="H782" s="274">
        <f>ROUND(AY65,0)</f>
        <v>0</v>
      </c>
      <c r="I782" s="274">
        <f>ROUND(AY66,0)</f>
        <v>59313</v>
      </c>
      <c r="J782" s="274">
        <f>ROUND(AY67,0)</f>
        <v>171841</v>
      </c>
      <c r="K782" s="274">
        <f>ROUND(AY68,0)</f>
        <v>2939</v>
      </c>
      <c r="L782" s="274">
        <f>ROUND(AY69,0)</f>
        <v>14103</v>
      </c>
      <c r="M782" s="274">
        <f>ROUND(AY70,0)</f>
        <v>494119</v>
      </c>
      <c r="N782" s="274"/>
      <c r="O782" s="274"/>
      <c r="P782" s="274">
        <f>IF(AY76&gt;0,ROUND(AY76,0),0)</f>
        <v>10399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039*2018*8330*A</v>
      </c>
      <c r="B783" s="274">
        <f>ROUND(AZ59,0)</f>
        <v>0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275519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039*2018*8350*A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73267</v>
      </c>
      <c r="H784" s="274">
        <f>ROUND(BA65,0)</f>
        <v>0</v>
      </c>
      <c r="I784" s="274">
        <f>ROUND(BA66,0)</f>
        <v>248249</v>
      </c>
      <c r="J784" s="274">
        <f>ROUND(BA67,0)</f>
        <v>28257</v>
      </c>
      <c r="K784" s="274">
        <f>ROUND(BA68,0)</f>
        <v>0</v>
      </c>
      <c r="L784" s="274">
        <f>ROUND(BA69,0)</f>
        <v>0</v>
      </c>
      <c r="M784" s="274">
        <f>ROUND(BA70,0)</f>
        <v>31800</v>
      </c>
      <c r="N784" s="274"/>
      <c r="O784" s="274"/>
      <c r="P784" s="274">
        <f>IF(BA76&gt;0,ROUND(BA76,0),0)</f>
        <v>1710</v>
      </c>
      <c r="Q784" s="274">
        <f>IF(BA77&gt;0,ROUND(BA77,0),0)</f>
        <v>0</v>
      </c>
      <c r="R784" s="274">
        <f>IF(BA78&gt;0,ROUND(BA78,0),0)</f>
        <v>233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039*2018*8360*A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039*2018*8370*A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039*2018*8420*A</v>
      </c>
      <c r="B787" s="274"/>
      <c r="C787" s="276">
        <f>ROUND(BD60,2)</f>
        <v>6.4</v>
      </c>
      <c r="D787" s="274">
        <f>ROUND(BD61,0)</f>
        <v>393777</v>
      </c>
      <c r="E787" s="274">
        <f>ROUND(BD62,0)</f>
        <v>89486</v>
      </c>
      <c r="F787" s="274">
        <f>ROUND(BD63,0)</f>
        <v>79676</v>
      </c>
      <c r="G787" s="274">
        <f>ROUND(BD64,0)</f>
        <v>10642</v>
      </c>
      <c r="H787" s="274">
        <f>ROUND(BD65,0)</f>
        <v>24799</v>
      </c>
      <c r="I787" s="274">
        <f>ROUND(BD66,0)</f>
        <v>29092</v>
      </c>
      <c r="J787" s="274">
        <f>ROUND(BD67,0)</f>
        <v>131107</v>
      </c>
      <c r="K787" s="274">
        <f>ROUND(BD68,0)</f>
        <v>36663</v>
      </c>
      <c r="L787" s="274">
        <f>ROUND(BD69,0)</f>
        <v>237651</v>
      </c>
      <c r="M787" s="274">
        <f>ROUND(BD70,0)</f>
        <v>52024</v>
      </c>
      <c r="N787" s="274"/>
      <c r="O787" s="274"/>
      <c r="P787" s="274">
        <f>IF(BD76&gt;0,ROUND(BD76,0),0)</f>
        <v>7934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039*2018*8430*A</v>
      </c>
      <c r="B788" s="274">
        <f>ROUND(BE59,0)</f>
        <v>602427</v>
      </c>
      <c r="C788" s="276">
        <f>ROUND(BE60,2)</f>
        <v>7.45</v>
      </c>
      <c r="D788" s="274">
        <f>ROUND(BE61,0)</f>
        <v>702681</v>
      </c>
      <c r="E788" s="274">
        <f>ROUND(BE62,0)</f>
        <v>159685</v>
      </c>
      <c r="F788" s="274">
        <f>ROUND(BE63,0)</f>
        <v>14370</v>
      </c>
      <c r="G788" s="274">
        <f>ROUND(BE64,0)</f>
        <v>15337</v>
      </c>
      <c r="H788" s="274">
        <f>ROUND(BE65,0)</f>
        <v>1340444</v>
      </c>
      <c r="I788" s="274">
        <f>ROUND(BE66,0)</f>
        <v>1114844</v>
      </c>
      <c r="J788" s="274">
        <f>ROUND(BE67,0)</f>
        <v>843654</v>
      </c>
      <c r="K788" s="274">
        <f>ROUND(BE68,0)</f>
        <v>6800</v>
      </c>
      <c r="L788" s="274">
        <f>ROUND(BE69,0)</f>
        <v>4508</v>
      </c>
      <c r="M788" s="274">
        <f>ROUND(BE70,0)</f>
        <v>0</v>
      </c>
      <c r="N788" s="274"/>
      <c r="O788" s="274"/>
      <c r="P788" s="274">
        <f>IF(BE76&gt;0,ROUND(BE76,0),0)</f>
        <v>51054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039*2018*8460*A</v>
      </c>
      <c r="B789" s="274"/>
      <c r="C789" s="276">
        <f>ROUND(BF60,2)</f>
        <v>37.4</v>
      </c>
      <c r="D789" s="274">
        <f>ROUND(BF61,0)</f>
        <v>1548715</v>
      </c>
      <c r="E789" s="274">
        <f>ROUND(BF62,0)</f>
        <v>351947</v>
      </c>
      <c r="F789" s="274">
        <f>ROUND(BF63,0)</f>
        <v>0</v>
      </c>
      <c r="G789" s="274">
        <f>ROUND(BF64,0)</f>
        <v>157620</v>
      </c>
      <c r="H789" s="274">
        <f>ROUND(BF65,0)</f>
        <v>108196</v>
      </c>
      <c r="I789" s="274">
        <f>ROUND(BF66,0)</f>
        <v>42002</v>
      </c>
      <c r="J789" s="274">
        <f>ROUND(BF67,0)</f>
        <v>46021</v>
      </c>
      <c r="K789" s="274">
        <f>ROUND(BF68,0)</f>
        <v>0</v>
      </c>
      <c r="L789" s="274">
        <f>ROUND(BF69,0)</f>
        <v>1168</v>
      </c>
      <c r="M789" s="274">
        <f>ROUND(BF70,0)</f>
        <v>0</v>
      </c>
      <c r="N789" s="274"/>
      <c r="O789" s="274"/>
      <c r="P789" s="274">
        <f>IF(BF76&gt;0,ROUND(BF76,0),0)</f>
        <v>2785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039*2018*8470*A</v>
      </c>
      <c r="B790" s="274"/>
      <c r="C790" s="276">
        <f>ROUND(BG60,2)</f>
        <v>3</v>
      </c>
      <c r="D790" s="274">
        <f>ROUND(BG61,0)</f>
        <v>218167</v>
      </c>
      <c r="E790" s="274">
        <f>ROUND(BG62,0)</f>
        <v>49579</v>
      </c>
      <c r="F790" s="274">
        <f>ROUND(BG63,0)</f>
        <v>0</v>
      </c>
      <c r="G790" s="274">
        <f>ROUND(BG64,0)</f>
        <v>9064</v>
      </c>
      <c r="H790" s="274">
        <f>ROUND(BG65,0)</f>
        <v>2001</v>
      </c>
      <c r="I790" s="274">
        <f>ROUND(BG66,0)</f>
        <v>87784</v>
      </c>
      <c r="J790" s="274">
        <f>ROUND(BG67,0)</f>
        <v>27811</v>
      </c>
      <c r="K790" s="274">
        <f>ROUND(BG68,0)</f>
        <v>0</v>
      </c>
      <c r="L790" s="274">
        <f>ROUND(BG69,0)</f>
        <v>996</v>
      </c>
      <c r="M790" s="274">
        <f>ROUND(BG70,0)</f>
        <v>0</v>
      </c>
      <c r="N790" s="274"/>
      <c r="O790" s="274"/>
      <c r="P790" s="274">
        <f>IF(BG76&gt;0,ROUND(BG76,0),0)</f>
        <v>1683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039*2018*8480*A</v>
      </c>
      <c r="B791" s="274"/>
      <c r="C791" s="276">
        <f>ROUND(BH60,2)</f>
        <v>19.600000000000001</v>
      </c>
      <c r="D791" s="274">
        <f>ROUND(BH61,0)</f>
        <v>1543502</v>
      </c>
      <c r="E791" s="274">
        <f>ROUND(BH62,0)</f>
        <v>350762</v>
      </c>
      <c r="F791" s="274">
        <f>ROUND(BH63,0)</f>
        <v>0</v>
      </c>
      <c r="G791" s="274">
        <f>ROUND(BH64,0)</f>
        <v>88272</v>
      </c>
      <c r="H791" s="274">
        <f>ROUND(BH65,0)</f>
        <v>300270</v>
      </c>
      <c r="I791" s="274">
        <f>ROUND(BH66,0)</f>
        <v>2299867</v>
      </c>
      <c r="J791" s="274">
        <f>ROUND(BH67,0)</f>
        <v>133156</v>
      </c>
      <c r="K791" s="274">
        <f>ROUND(BH68,0)</f>
        <v>4674</v>
      </c>
      <c r="L791" s="274">
        <f>ROUND(BH69,0)</f>
        <v>1378</v>
      </c>
      <c r="M791" s="274">
        <f>ROUND(BH70,0)</f>
        <v>4459</v>
      </c>
      <c r="N791" s="274"/>
      <c r="O791" s="274"/>
      <c r="P791" s="274">
        <f>IF(BH76&gt;0,ROUND(BH76,0),0)</f>
        <v>8058</v>
      </c>
      <c r="Q791" s="274">
        <f>IF(BH77&gt;0,ROUND(BH77,0),0)</f>
        <v>0</v>
      </c>
      <c r="R791" s="274">
        <f>IF(BH78&gt;0,ROUND(BH78,0),0)</f>
        <v>1099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039*2018*8490*A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039*2018*8510*A</v>
      </c>
      <c r="B793" s="274"/>
      <c r="C793" s="276">
        <f>ROUND(BJ60,2)</f>
        <v>6</v>
      </c>
      <c r="D793" s="274">
        <f>ROUND(BJ61,0)</f>
        <v>442825</v>
      </c>
      <c r="E793" s="274">
        <f>ROUND(BJ62,0)</f>
        <v>100632</v>
      </c>
      <c r="F793" s="274">
        <f>ROUND(BJ63,0)</f>
        <v>148133</v>
      </c>
      <c r="G793" s="274">
        <f>ROUND(BJ64,0)</f>
        <v>4121</v>
      </c>
      <c r="H793" s="274">
        <f>ROUND(BJ65,0)</f>
        <v>9863</v>
      </c>
      <c r="I793" s="274">
        <f>ROUND(BJ66,0)</f>
        <v>155218</v>
      </c>
      <c r="J793" s="274">
        <f>ROUND(BJ67,0)</f>
        <v>42138</v>
      </c>
      <c r="K793" s="274">
        <f>ROUND(BJ68,0)</f>
        <v>5850</v>
      </c>
      <c r="L793" s="274">
        <f>ROUND(BJ69,0)</f>
        <v>1646</v>
      </c>
      <c r="M793" s="274">
        <f>ROUND(BJ70,0)</f>
        <v>0</v>
      </c>
      <c r="N793" s="274"/>
      <c r="O793" s="274"/>
      <c r="P793" s="274">
        <f>IF(BJ76&gt;0,ROUND(BJ76,0),0)</f>
        <v>2550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039*2018*8530*A</v>
      </c>
      <c r="B794" s="274"/>
      <c r="C794" s="276">
        <f>ROUND(BK60,2)</f>
        <v>17.5</v>
      </c>
      <c r="D794" s="274">
        <f>ROUND(BK61,0)</f>
        <v>844387</v>
      </c>
      <c r="E794" s="274">
        <f>ROUND(BK62,0)</f>
        <v>191888</v>
      </c>
      <c r="F794" s="274">
        <f>ROUND(BK63,0)</f>
        <v>881456</v>
      </c>
      <c r="G794" s="274">
        <f>ROUND(BK64,0)</f>
        <v>6299</v>
      </c>
      <c r="H794" s="274">
        <f>ROUND(BK65,0)</f>
        <v>172</v>
      </c>
      <c r="I794" s="274">
        <f>ROUND(BK66,0)</f>
        <v>-212085</v>
      </c>
      <c r="J794" s="274">
        <f>ROUND(BK67,0)</f>
        <v>98719</v>
      </c>
      <c r="K794" s="274">
        <f>ROUND(BK68,0)</f>
        <v>51461</v>
      </c>
      <c r="L794" s="274">
        <f>ROUND(BK69,0)</f>
        <v>20881</v>
      </c>
      <c r="M794" s="274">
        <f>ROUND(BK70,0)</f>
        <v>0</v>
      </c>
      <c r="N794" s="274"/>
      <c r="O794" s="274"/>
      <c r="P794" s="274">
        <f>IF(BK76&gt;0,ROUND(BK76,0),0)</f>
        <v>5974</v>
      </c>
      <c r="Q794" s="274">
        <f>IF(BK77&gt;0,ROUND(BK77,0),0)</f>
        <v>0</v>
      </c>
      <c r="R794" s="274">
        <f>IF(BK78&gt;0,ROUND(BK78,0),0)</f>
        <v>815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039*2018*8560*A</v>
      </c>
      <c r="B795" s="274"/>
      <c r="C795" s="276">
        <f>ROUND(BL60,2)</f>
        <v>19.07</v>
      </c>
      <c r="D795" s="274">
        <f>ROUND(BL61,0)</f>
        <v>728477</v>
      </c>
      <c r="E795" s="274">
        <f>ROUND(BL62,0)</f>
        <v>165547</v>
      </c>
      <c r="F795" s="274">
        <f>ROUND(BL63,0)</f>
        <v>0</v>
      </c>
      <c r="G795" s="274">
        <f>ROUND(BL64,0)</f>
        <v>26848</v>
      </c>
      <c r="H795" s="274">
        <f>ROUND(BL65,0)</f>
        <v>3599</v>
      </c>
      <c r="I795" s="274">
        <f>ROUND(BL66,0)</f>
        <v>2438</v>
      </c>
      <c r="J795" s="274">
        <f>ROUND(BL67,0)</f>
        <v>96769</v>
      </c>
      <c r="K795" s="274">
        <f>ROUND(BL68,0)</f>
        <v>24980</v>
      </c>
      <c r="L795" s="274">
        <f>ROUND(BL69,0)</f>
        <v>0</v>
      </c>
      <c r="M795" s="274">
        <f>ROUND(BL70,0)</f>
        <v>2</v>
      </c>
      <c r="N795" s="274"/>
      <c r="O795" s="274"/>
      <c r="P795" s="274">
        <f>IF(BL76&gt;0,ROUND(BL76,0),0)</f>
        <v>5856</v>
      </c>
      <c r="Q795" s="274">
        <f>IF(BL77&gt;0,ROUND(BL77,0),0)</f>
        <v>0</v>
      </c>
      <c r="R795" s="274">
        <f>IF(BL78&gt;0,ROUND(BL78,0),0)</f>
        <v>799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039*2018*8590*A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039*2018*8610*A</v>
      </c>
      <c r="B797" s="274"/>
      <c r="C797" s="276">
        <f>ROUND(BN60,2)</f>
        <v>3</v>
      </c>
      <c r="D797" s="274">
        <f>ROUND(BN61,0)</f>
        <v>1164931</v>
      </c>
      <c r="E797" s="274">
        <f>ROUND(BN62,0)</f>
        <v>264731</v>
      </c>
      <c r="F797" s="274">
        <f>ROUND(BN63,0)</f>
        <v>5044595</v>
      </c>
      <c r="G797" s="274">
        <f>ROUND(BN64,0)</f>
        <v>11882</v>
      </c>
      <c r="H797" s="274">
        <f>ROUND(BN65,0)</f>
        <v>552</v>
      </c>
      <c r="I797" s="274">
        <f>ROUND(BN66,0)</f>
        <v>674811</v>
      </c>
      <c r="J797" s="274">
        <f>ROUND(BN67,0)</f>
        <v>91332</v>
      </c>
      <c r="K797" s="274">
        <f>ROUND(BN68,0)</f>
        <v>4621</v>
      </c>
      <c r="L797" s="274">
        <f>ROUND(BN69,0)</f>
        <v>161285</v>
      </c>
      <c r="M797" s="274">
        <f>ROUND(BN70,0)</f>
        <v>0</v>
      </c>
      <c r="N797" s="274"/>
      <c r="O797" s="274"/>
      <c r="P797" s="274">
        <f>IF(BN76&gt;0,ROUND(BN76,0),0)</f>
        <v>5527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039*2018*8620*A</v>
      </c>
      <c r="B798" s="274"/>
      <c r="C798" s="276">
        <f>ROUND(BO60,2)</f>
        <v>1</v>
      </c>
      <c r="D798" s="274">
        <f>ROUND(BO61,0)</f>
        <v>92243</v>
      </c>
      <c r="E798" s="274">
        <f>ROUND(BO62,0)</f>
        <v>20962</v>
      </c>
      <c r="F798" s="274">
        <f>ROUND(BO63,0)</f>
        <v>0</v>
      </c>
      <c r="G798" s="274">
        <f>ROUND(BO64,0)</f>
        <v>9005</v>
      </c>
      <c r="H798" s="274">
        <f>ROUND(BO65,0)</f>
        <v>0</v>
      </c>
      <c r="I798" s="274">
        <f>ROUND(BO66,0)</f>
        <v>108308</v>
      </c>
      <c r="J798" s="274">
        <f>ROUND(BO67,0)</f>
        <v>3487</v>
      </c>
      <c r="K798" s="274">
        <f>ROUND(BO68,0)</f>
        <v>0</v>
      </c>
      <c r="L798" s="274">
        <f>ROUND(BO69,0)</f>
        <v>1684</v>
      </c>
      <c r="M798" s="274">
        <f>ROUND(BO70,0)</f>
        <v>0</v>
      </c>
      <c r="N798" s="274"/>
      <c r="O798" s="274"/>
      <c r="P798" s="274">
        <f>IF(BO76&gt;0,ROUND(BO76,0),0)</f>
        <v>211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039*2018*8630*A</v>
      </c>
      <c r="B799" s="274"/>
      <c r="C799" s="276">
        <f>ROUND(BP60,2)</f>
        <v>0</v>
      </c>
      <c r="D799" s="274">
        <f>ROUND(BP61,0)</f>
        <v>173000</v>
      </c>
      <c r="E799" s="274">
        <f>ROUND(BP62,0)</f>
        <v>39314</v>
      </c>
      <c r="F799" s="274">
        <f>ROUND(BP63,0)</f>
        <v>0</v>
      </c>
      <c r="G799" s="274">
        <f>ROUND(BP64,0)</f>
        <v>7254</v>
      </c>
      <c r="H799" s="274">
        <f>ROUND(BP65,0)</f>
        <v>483</v>
      </c>
      <c r="I799" s="274">
        <f>ROUND(BP66,0)</f>
        <v>185157</v>
      </c>
      <c r="J799" s="274">
        <f>ROUND(BP67,0)</f>
        <v>21780</v>
      </c>
      <c r="K799" s="274">
        <f>ROUND(BP68,0)</f>
        <v>8021</v>
      </c>
      <c r="L799" s="274">
        <f>ROUND(BP69,0)</f>
        <v>9685</v>
      </c>
      <c r="M799" s="274">
        <f>ROUND(BP70,0)</f>
        <v>3010</v>
      </c>
      <c r="N799" s="274"/>
      <c r="O799" s="274"/>
      <c r="P799" s="274">
        <f>IF(BP76&gt;0,ROUND(BP76,0),0)</f>
        <v>1318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039*2018*8640*A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039*2018*8650*A</v>
      </c>
      <c r="B801" s="274"/>
      <c r="C801" s="276">
        <f>ROUND(BR60,2)</f>
        <v>4</v>
      </c>
      <c r="D801" s="274">
        <f>ROUND(BR61,0)</f>
        <v>358331</v>
      </c>
      <c r="E801" s="274">
        <f>ROUND(BR62,0)</f>
        <v>81431</v>
      </c>
      <c r="F801" s="274">
        <f>ROUND(BR63,0)</f>
        <v>25162</v>
      </c>
      <c r="G801" s="274">
        <f>ROUND(BR64,0)</f>
        <v>7745</v>
      </c>
      <c r="H801" s="274">
        <f>ROUND(BR65,0)</f>
        <v>21971</v>
      </c>
      <c r="I801" s="274">
        <f>ROUND(BR66,0)</f>
        <v>289817</v>
      </c>
      <c r="J801" s="274">
        <f>ROUND(BR67,0)</f>
        <v>56349</v>
      </c>
      <c r="K801" s="274">
        <f>ROUND(BR68,0)</f>
        <v>6857</v>
      </c>
      <c r="L801" s="274">
        <f>ROUND(BR69,0)</f>
        <v>1128</v>
      </c>
      <c r="M801" s="274">
        <f>ROUND(BR70,0)</f>
        <v>0</v>
      </c>
      <c r="N801" s="274"/>
      <c r="O801" s="274"/>
      <c r="P801" s="274">
        <f>IF(BR76&gt;0,ROUND(BR76,0),0)</f>
        <v>3410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039*2018*8660*A</v>
      </c>
      <c r="B802" s="274"/>
      <c r="C802" s="276">
        <f>ROUND(BS60,2)</f>
        <v>1</v>
      </c>
      <c r="D802" s="274">
        <f>ROUND(BS61,0)</f>
        <v>219571</v>
      </c>
      <c r="E802" s="274">
        <f>ROUND(BS62,0)</f>
        <v>49898</v>
      </c>
      <c r="F802" s="274">
        <f>ROUND(BS63,0)</f>
        <v>0</v>
      </c>
      <c r="G802" s="274">
        <f>ROUND(BS64,0)</f>
        <v>14001</v>
      </c>
      <c r="H802" s="274">
        <f>ROUND(BS65,0)</f>
        <v>483</v>
      </c>
      <c r="I802" s="274">
        <f>ROUND(BS66,0)</f>
        <v>67413</v>
      </c>
      <c r="J802" s="274">
        <f>ROUND(BS67,0)</f>
        <v>79765</v>
      </c>
      <c r="K802" s="274">
        <f>ROUND(BS68,0)</f>
        <v>4515</v>
      </c>
      <c r="L802" s="274">
        <f>ROUND(BS69,0)</f>
        <v>1218</v>
      </c>
      <c r="M802" s="274">
        <f>ROUND(BS70,0)</f>
        <v>0</v>
      </c>
      <c r="N802" s="274"/>
      <c r="O802" s="274"/>
      <c r="P802" s="274">
        <f>IF(BS76&gt;0,ROUND(BS76,0),0)</f>
        <v>4827</v>
      </c>
      <c r="Q802" s="274">
        <f>IF(BS77&gt;0,ROUND(BS77,0),0)</f>
        <v>0</v>
      </c>
      <c r="R802" s="274">
        <f>IF(BS78&gt;0,ROUND(BS78,0),0)</f>
        <v>658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039*2018*8670*A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14261</v>
      </c>
      <c r="K803" s="274">
        <f>ROUND(BT68,0)</f>
        <v>0</v>
      </c>
      <c r="L803" s="274">
        <f>ROUND(BT69,0)</f>
        <v>-169</v>
      </c>
      <c r="M803" s="274">
        <f>ROUND(BT70,0)</f>
        <v>0</v>
      </c>
      <c r="N803" s="274"/>
      <c r="O803" s="274"/>
      <c r="P803" s="274">
        <f>IF(BT76&gt;0,ROUND(BT76,0),0)</f>
        <v>863</v>
      </c>
      <c r="Q803" s="274">
        <f>IF(BT77&gt;0,ROUND(BT77,0),0)</f>
        <v>0</v>
      </c>
      <c r="R803" s="274">
        <f>IF(BT78&gt;0,ROUND(BT78,0),0)</f>
        <v>118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039*2018*8680*A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039*2018*8690*A</v>
      </c>
      <c r="B805" s="274"/>
      <c r="C805" s="276">
        <f>ROUND(BV60,2)</f>
        <v>5</v>
      </c>
      <c r="D805" s="274">
        <f>ROUND(BV61,0)</f>
        <v>612839</v>
      </c>
      <c r="E805" s="274">
        <f>ROUND(BV62,0)</f>
        <v>139268</v>
      </c>
      <c r="F805" s="274">
        <f>ROUND(BV63,0)</f>
        <v>0</v>
      </c>
      <c r="G805" s="274">
        <f>ROUND(BV64,0)</f>
        <v>4476</v>
      </c>
      <c r="H805" s="274">
        <f>ROUND(BV65,0)</f>
        <v>0</v>
      </c>
      <c r="I805" s="274">
        <f>ROUND(BV66,0)</f>
        <v>880611</v>
      </c>
      <c r="J805" s="274">
        <f>ROUND(BV67,0)</f>
        <v>14872</v>
      </c>
      <c r="K805" s="274">
        <f>ROUND(BV68,0)</f>
        <v>12850</v>
      </c>
      <c r="L805" s="274">
        <f>ROUND(BV69,0)</f>
        <v>1012</v>
      </c>
      <c r="M805" s="274">
        <f>ROUND(BV70,0)</f>
        <v>2671</v>
      </c>
      <c r="N805" s="274"/>
      <c r="O805" s="274"/>
      <c r="P805" s="274">
        <f>IF(BV76&gt;0,ROUND(BV76,0),0)</f>
        <v>900</v>
      </c>
      <c r="Q805" s="274">
        <f>IF(BV77&gt;0,ROUND(BV77,0),0)</f>
        <v>0</v>
      </c>
      <c r="R805" s="274">
        <f>IF(BV78&gt;0,ROUND(BV78,0),0)</f>
        <v>123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039*2018*8700*A</v>
      </c>
      <c r="B806" s="274"/>
      <c r="C806" s="276">
        <f>ROUND(BW60,2)</f>
        <v>2</v>
      </c>
      <c r="D806" s="274">
        <f>ROUND(BW61,0)</f>
        <v>206723</v>
      </c>
      <c r="E806" s="274">
        <f>ROUND(BW62,0)</f>
        <v>46978</v>
      </c>
      <c r="F806" s="274">
        <f>ROUND(BW63,0)</f>
        <v>83750</v>
      </c>
      <c r="G806" s="274">
        <f>ROUND(BW64,0)</f>
        <v>53137</v>
      </c>
      <c r="H806" s="274">
        <f>ROUND(BW65,0)</f>
        <v>0</v>
      </c>
      <c r="I806" s="274">
        <f>ROUND(BW66,0)</f>
        <v>96924</v>
      </c>
      <c r="J806" s="274">
        <f>ROUND(BW67,0)</f>
        <v>62579</v>
      </c>
      <c r="K806" s="274">
        <f>ROUND(BW68,0)</f>
        <v>9231</v>
      </c>
      <c r="L806" s="274">
        <f>ROUND(BW69,0)</f>
        <v>3027</v>
      </c>
      <c r="M806" s="274">
        <f>ROUND(BW70,0)</f>
        <v>22546</v>
      </c>
      <c r="N806" s="274"/>
      <c r="O806" s="274"/>
      <c r="P806" s="274">
        <f>IF(BW76&gt;0,ROUND(BW76,0),0)</f>
        <v>3787</v>
      </c>
      <c r="Q806" s="274">
        <f>IF(BW77&gt;0,ROUND(BW77,0),0)</f>
        <v>0</v>
      </c>
      <c r="R806" s="274">
        <f>IF(BW78&gt;0,ROUND(BW78,0),0)</f>
        <v>516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039*2018*8710*A</v>
      </c>
      <c r="B807" s="274"/>
      <c r="C807" s="276">
        <f>ROUND(BX60,2)</f>
        <v>8</v>
      </c>
      <c r="D807" s="274">
        <f>ROUND(BX61,0)</f>
        <v>1197801</v>
      </c>
      <c r="E807" s="274">
        <f>ROUND(BX62,0)</f>
        <v>272201</v>
      </c>
      <c r="F807" s="274">
        <f>ROUND(BX63,0)</f>
        <v>45638</v>
      </c>
      <c r="G807" s="274">
        <f>ROUND(BX64,0)</f>
        <v>4106</v>
      </c>
      <c r="H807" s="274">
        <f>ROUND(BX65,0)</f>
        <v>0</v>
      </c>
      <c r="I807" s="274">
        <f>ROUND(BX66,0)</f>
        <v>341429</v>
      </c>
      <c r="J807" s="274">
        <f>ROUND(BX67,0)</f>
        <v>11700</v>
      </c>
      <c r="K807" s="274">
        <f>ROUND(BX68,0)</f>
        <v>4135</v>
      </c>
      <c r="L807" s="274">
        <f>ROUND(BX69,0)</f>
        <v>12166</v>
      </c>
      <c r="M807" s="274">
        <f>ROUND(BX70,0)</f>
        <v>0</v>
      </c>
      <c r="N807" s="274"/>
      <c r="O807" s="274"/>
      <c r="P807" s="274">
        <f>IF(BX76&gt;0,ROUND(BX76,0),0)</f>
        <v>708</v>
      </c>
      <c r="Q807" s="274">
        <f>IF(BX77&gt;0,ROUND(BX77,0),0)</f>
        <v>0</v>
      </c>
      <c r="R807" s="274">
        <f>IF(BX78&gt;0,ROUND(BX78,0),0)</f>
        <v>97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039*2018*8720*A</v>
      </c>
      <c r="B808" s="274"/>
      <c r="C808" s="276">
        <f>ROUND(BY60,2)</f>
        <v>14.9</v>
      </c>
      <c r="D808" s="274">
        <f>ROUND(BY61,0)</f>
        <v>1334823</v>
      </c>
      <c r="E808" s="274">
        <f>ROUND(BY62,0)</f>
        <v>303339</v>
      </c>
      <c r="F808" s="274">
        <f>ROUND(BY63,0)</f>
        <v>0</v>
      </c>
      <c r="G808" s="274">
        <f>ROUND(BY64,0)</f>
        <v>933</v>
      </c>
      <c r="H808" s="274">
        <f>ROUND(BY65,0)</f>
        <v>1242</v>
      </c>
      <c r="I808" s="274">
        <f>ROUND(BY66,0)</f>
        <v>45674</v>
      </c>
      <c r="J808" s="274">
        <f>ROUND(BY67,0)</f>
        <v>53722</v>
      </c>
      <c r="K808" s="274">
        <f>ROUND(BY68,0)</f>
        <v>1913</v>
      </c>
      <c r="L808" s="274">
        <f>ROUND(BY69,0)</f>
        <v>15226</v>
      </c>
      <c r="M808" s="274">
        <f>ROUND(BY70,0)</f>
        <v>0</v>
      </c>
      <c r="N808" s="274"/>
      <c r="O808" s="274"/>
      <c r="P808" s="274">
        <f>IF(BY76&gt;0,ROUND(BY76,0),0)</f>
        <v>3251</v>
      </c>
      <c r="Q808" s="274">
        <f>IF(BY77&gt;0,ROUND(BY77,0),0)</f>
        <v>0</v>
      </c>
      <c r="R808" s="274">
        <f>IF(BY78&gt;0,ROUND(BY78,0),0)</f>
        <v>443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039*2018*8730*A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039*2018*8740*A</v>
      </c>
      <c r="B810" s="274"/>
      <c r="C810" s="276">
        <f>ROUND(CA60,2)</f>
        <v>2</v>
      </c>
      <c r="D810" s="274">
        <f>ROUND(CA61,0)</f>
        <v>196407</v>
      </c>
      <c r="E810" s="274">
        <f>ROUND(CA62,0)</f>
        <v>44634</v>
      </c>
      <c r="F810" s="274">
        <f>ROUND(CA63,0)</f>
        <v>0</v>
      </c>
      <c r="G810" s="274">
        <f>ROUND(CA64,0)</f>
        <v>12054</v>
      </c>
      <c r="H810" s="274">
        <f>ROUND(CA65,0)</f>
        <v>0</v>
      </c>
      <c r="I810" s="274">
        <f>ROUND(CA66,0)</f>
        <v>4971</v>
      </c>
      <c r="J810" s="274">
        <f>ROUND(CA67,0)</f>
        <v>36387</v>
      </c>
      <c r="K810" s="274">
        <f>ROUND(CA68,0)</f>
        <v>18388</v>
      </c>
      <c r="L810" s="274">
        <f>ROUND(CA69,0)</f>
        <v>21538</v>
      </c>
      <c r="M810" s="274">
        <f>ROUND(CA70,0)</f>
        <v>27380</v>
      </c>
      <c r="N810" s="274"/>
      <c r="O810" s="274"/>
      <c r="P810" s="274">
        <f>IF(CA76&gt;0,ROUND(CA76,0),0)</f>
        <v>2202</v>
      </c>
      <c r="Q810" s="274">
        <f>IF(CA77&gt;0,ROUND(CA77,0),0)</f>
        <v>0</v>
      </c>
      <c r="R810" s="274">
        <f>IF(CA78&gt;0,ROUND(CA78,0),0)</f>
        <v>300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039*2018*8770*A</v>
      </c>
      <c r="B811" s="274"/>
      <c r="C811" s="276">
        <f>ROUND(CB60,2)</f>
        <v>1</v>
      </c>
      <c r="D811" s="274">
        <f>ROUND(CB61,0)</f>
        <v>31369</v>
      </c>
      <c r="E811" s="274">
        <f>ROUND(CB62,0)</f>
        <v>7129</v>
      </c>
      <c r="F811" s="274">
        <f>ROUND(CB63,0)</f>
        <v>0</v>
      </c>
      <c r="G811" s="274">
        <f>ROUND(CB64,0)</f>
        <v>5933</v>
      </c>
      <c r="H811" s="274">
        <f>ROUND(CB65,0)</f>
        <v>0</v>
      </c>
      <c r="I811" s="274">
        <f>ROUND(CB66,0)</f>
        <v>215747</v>
      </c>
      <c r="J811" s="274">
        <f>ROUND(CB67,0)</f>
        <v>5106</v>
      </c>
      <c r="K811" s="274">
        <f>ROUND(CB68,0)</f>
        <v>0</v>
      </c>
      <c r="L811" s="274">
        <f>ROUND(CB69,0)</f>
        <v>0</v>
      </c>
      <c r="M811" s="274">
        <f>ROUND(CB70,0)</f>
        <v>14169</v>
      </c>
      <c r="N811" s="274"/>
      <c r="O811" s="274"/>
      <c r="P811" s="274">
        <f>IF(CB76&gt;0,ROUND(CB76,0),0)</f>
        <v>309</v>
      </c>
      <c r="Q811" s="274">
        <f>IF(CB77&gt;0,ROUND(CB77,0),0)</f>
        <v>0</v>
      </c>
      <c r="R811" s="274">
        <f>IF(CB78&gt;0,ROUND(CB78,0),0)</f>
        <v>42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039*2018*8790*A</v>
      </c>
      <c r="B812" s="274"/>
      <c r="C812" s="276">
        <f>ROUND(CC60,2)</f>
        <v>0</v>
      </c>
      <c r="D812" s="274">
        <f>ROUND(CC61,0)</f>
        <v>23750</v>
      </c>
      <c r="E812" s="274">
        <f>ROUND(CC62,0)</f>
        <v>5397</v>
      </c>
      <c r="F812" s="274">
        <f>ROUND(CC63,0)</f>
        <v>82633</v>
      </c>
      <c r="G812" s="274">
        <f>ROUND(CC64,0)</f>
        <v>1219</v>
      </c>
      <c r="H812" s="274">
        <f>ROUND(CC65,0)</f>
        <v>759</v>
      </c>
      <c r="I812" s="274">
        <f>ROUND(CC66,0)</f>
        <v>100594</v>
      </c>
      <c r="J812" s="274">
        <f>ROUND(CC67,0)</f>
        <v>2499120</v>
      </c>
      <c r="K812" s="274">
        <f>ROUND(CC68,0)</f>
        <v>746990</v>
      </c>
      <c r="L812" s="274">
        <f>ROUND(CC69,0)</f>
        <v>2862</v>
      </c>
      <c r="M812" s="274">
        <f>ROUND(CC70,0)</f>
        <v>0</v>
      </c>
      <c r="N812" s="274"/>
      <c r="O812" s="274"/>
      <c r="P812" s="274">
        <f>IF(CC76&gt;0,ROUND(CC76,0),0)</f>
        <v>151235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039*2018*9000*A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16850375</v>
      </c>
      <c r="V813" s="275">
        <f>ROUND(CD70,0)</f>
        <v>1150836</v>
      </c>
      <c r="W813" s="274">
        <f>ROUND(CE72,0)</f>
        <v>806526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7">SUM(C734:C813)</f>
        <v>775.02000000000021</v>
      </c>
      <c r="D815" s="275">
        <f t="shared" si="27"/>
        <v>74726926</v>
      </c>
      <c r="E815" s="275">
        <f t="shared" si="27"/>
        <v>16981743</v>
      </c>
      <c r="F815" s="275">
        <f t="shared" si="27"/>
        <v>11913986</v>
      </c>
      <c r="G815" s="275">
        <f t="shared" si="27"/>
        <v>28514112</v>
      </c>
      <c r="H815" s="275">
        <f t="shared" si="27"/>
        <v>2238041</v>
      </c>
      <c r="I815" s="275">
        <f t="shared" si="27"/>
        <v>13330762</v>
      </c>
      <c r="J815" s="275">
        <f t="shared" si="27"/>
        <v>9954950</v>
      </c>
      <c r="K815" s="275">
        <f t="shared" si="27"/>
        <v>2016233</v>
      </c>
      <c r="L815" s="275">
        <f>SUM(L734:L813)+SUM(U734:U813)</f>
        <v>17843983</v>
      </c>
      <c r="M815" s="275">
        <f>SUM(M734:M813)+SUM(V734:V813)</f>
        <v>4760726</v>
      </c>
      <c r="N815" s="275">
        <f t="shared" ref="N815:Y815" si="28">SUM(N734:N813)</f>
        <v>465491187</v>
      </c>
      <c r="O815" s="275">
        <f t="shared" si="28"/>
        <v>176757388</v>
      </c>
      <c r="P815" s="275">
        <f t="shared" si="28"/>
        <v>602427</v>
      </c>
      <c r="Q815" s="275">
        <f t="shared" si="28"/>
        <v>333727</v>
      </c>
      <c r="R815" s="275">
        <f t="shared" si="28"/>
        <v>49676</v>
      </c>
      <c r="S815" s="275">
        <f t="shared" si="28"/>
        <v>652556</v>
      </c>
      <c r="T815" s="279">
        <f t="shared" si="28"/>
        <v>207.55</v>
      </c>
      <c r="U815" s="275">
        <f t="shared" si="28"/>
        <v>16850375</v>
      </c>
      <c r="V815" s="275">
        <f t="shared" si="28"/>
        <v>1150836</v>
      </c>
      <c r="W815" s="275">
        <f t="shared" si="28"/>
        <v>806526</v>
      </c>
      <c r="X815" s="275">
        <f t="shared" si="28"/>
        <v>0</v>
      </c>
      <c r="Y815" s="275">
        <f t="shared" si="28"/>
        <v>55626568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775.02000000000021</v>
      </c>
      <c r="D816" s="275">
        <f>CE61</f>
        <v>74726926.50999999</v>
      </c>
      <c r="E816" s="275">
        <f>CE62</f>
        <v>16981743</v>
      </c>
      <c r="F816" s="275">
        <f>CE63</f>
        <v>11913984.57</v>
      </c>
      <c r="G816" s="275">
        <f>CE64</f>
        <v>28514111.730000004</v>
      </c>
      <c r="H816" s="278">
        <f>CE65</f>
        <v>2238041.1</v>
      </c>
      <c r="I816" s="278">
        <f>CE66</f>
        <v>13330759.979999995</v>
      </c>
      <c r="J816" s="278">
        <f>CE67</f>
        <v>9954950</v>
      </c>
      <c r="K816" s="278">
        <f>CE68</f>
        <v>2016230.0700000003</v>
      </c>
      <c r="L816" s="278">
        <f>CE69</f>
        <v>17843980.740000002</v>
      </c>
      <c r="M816" s="278">
        <f>CE70</f>
        <v>4760725.16</v>
      </c>
      <c r="N816" s="275">
        <f>CE75</f>
        <v>465491186.69000006</v>
      </c>
      <c r="O816" s="275">
        <f>CE73</f>
        <v>176757388.26000002</v>
      </c>
      <c r="P816" s="275">
        <f>CE76</f>
        <v>602427</v>
      </c>
      <c r="Q816" s="275">
        <f>CE77</f>
        <v>333727</v>
      </c>
      <c r="R816" s="275">
        <f>CE78</f>
        <v>49677.955395641293</v>
      </c>
      <c r="S816" s="275">
        <f>CE79</f>
        <v>652556</v>
      </c>
      <c r="T816" s="279">
        <f>CE80</f>
        <v>207.55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55626567.120000005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74726927.060000002</v>
      </c>
      <c r="E817" s="180">
        <f>C379</f>
        <v>16981745.07</v>
      </c>
      <c r="F817" s="180">
        <f>C380</f>
        <v>11913985.07</v>
      </c>
      <c r="G817" s="239">
        <f>C381</f>
        <v>28514111.609999999</v>
      </c>
      <c r="H817" s="239">
        <f>C382</f>
        <v>2238041.1</v>
      </c>
      <c r="I817" s="239">
        <f>C383</f>
        <v>13330760.050000001</v>
      </c>
      <c r="J817" s="239">
        <f>C384</f>
        <v>9954951.120000001</v>
      </c>
      <c r="K817" s="239">
        <f>C385</f>
        <v>2016230.0899999999</v>
      </c>
      <c r="L817" s="239">
        <f>C386+C387+C388+C389</f>
        <v>17843980.830000002</v>
      </c>
      <c r="M817" s="239">
        <f>C370</f>
        <v>4760725.1500000004</v>
      </c>
      <c r="N817" s="180">
        <f>D361</f>
        <v>465491187.61000001</v>
      </c>
      <c r="O817" s="180">
        <f>C359</f>
        <v>176757388.65000001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G24" sqref="G24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+'data 2019'!C84</f>
        <v>RCCH Trios Health LLC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+"H-"&amp;'data 2019'!C83</f>
        <v>H-039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+'data 2019'!C85</f>
        <v>3730 Plaza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+'data 2019'!C86</f>
        <v>3730 Plaza Way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+'data 2019'!C87</f>
        <v>Kennewick , WA 99338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"&amp;'data 2019'!C82&amp;"."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22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"&amp;'data 2019'!C82</f>
        <v>Fiscal Year Ended:  12/31/2019</v>
      </c>
      <c r="C4" s="38"/>
      <c r="D4" s="120"/>
      <c r="E4" s="70"/>
      <c r="F4" s="127" t="str">
        <f>"License Number:  "&amp;"H-"&amp;FIXED('data 2019'!C83,0)</f>
        <v>License Number:  H-39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"&amp;'data 2019'!C84</f>
        <v xml:space="preserve">  RCCH Trios Health LLC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"&amp;'data 2019'!C88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"&amp;'data 2019'!C89</f>
        <v xml:space="preserve">  John Solheim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"&amp;'data 2019'!C90</f>
        <v xml:space="preserve">  Charlie Pearce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"&amp;'data 2019'!C91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"&amp;'data 2019'!C92</f>
        <v xml:space="preserve">  509-221-7000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"&amp;'data 2019'!C93</f>
        <v xml:space="preserve">  509-221-5892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IF('data 2019'!C97&gt;0," X","")</f>
        <v/>
      </c>
      <c r="B16" s="14" t="s">
        <v>267</v>
      </c>
      <c r="C16" s="15" t="str">
        <f>IF('data 2019'!C101&gt;0," X","")</f>
        <v/>
      </c>
      <c r="D16" s="22" t="s">
        <v>1035</v>
      </c>
      <c r="E16" s="15" t="str">
        <f>IF('data 2019'!C104&gt;0,"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IF('data 2019'!C98&gt;0," X","")</f>
        <v/>
      </c>
      <c r="B17" s="14" t="s">
        <v>259</v>
      </c>
      <c r="C17" s="15" t="str">
        <f>IF('data 2019'!C102&gt;0," X","")</f>
        <v/>
      </c>
      <c r="D17" s="22" t="s">
        <v>349</v>
      </c>
      <c r="E17" s="15" t="str">
        <f>IF('data 2019'!C105&gt;0,"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IF('data 2019'!C106&gt;0,"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IF('data 2019'!C99&gt;0,"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'data 2019'!C111</f>
        <v>5215</v>
      </c>
      <c r="G23" s="21">
        <f>'data 2019'!D111</f>
        <v>17953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'data 2019'!C112</f>
        <v>0</v>
      </c>
      <c r="G24" s="21">
        <f>'data 2019'!D112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'data 2019'!C113</f>
        <v>0</v>
      </c>
      <c r="G25" s="21">
        <f>'data 2019'!D113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'data 2019'!C114</f>
        <v>1397</v>
      </c>
      <c r="G26" s="13">
        <f>'data 2019'!D114</f>
        <v>3325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'data 2019'!C116</f>
        <v>14</v>
      </c>
      <c r="E30" s="49" t="s">
        <v>288</v>
      </c>
      <c r="F30" s="24"/>
      <c r="G30" s="21">
        <f>'data 2019'!C123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'data 2019'!C117</f>
        <v>0</v>
      </c>
      <c r="E31" s="49" t="s">
        <v>289</v>
      </c>
      <c r="F31" s="24"/>
      <c r="G31" s="21">
        <f>'data 2019'!C124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'data 2019'!C118</f>
        <v>60</v>
      </c>
      <c r="E32" s="49" t="s">
        <v>1045</v>
      </c>
      <c r="F32" s="24"/>
      <c r="G32" s="21">
        <f>'data 2019'!C125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'data 2019'!C119</f>
        <v>7</v>
      </c>
      <c r="E33" s="49" t="s">
        <v>1047</v>
      </c>
      <c r="F33" s="24"/>
      <c r="G33" s="21">
        <f>'data 2019'!C126</f>
        <v>10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'data 2019'!C120</f>
        <v>20</v>
      </c>
      <c r="E34" s="49" t="s">
        <v>291</v>
      </c>
      <c r="F34" s="24"/>
      <c r="G34" s="21">
        <f>'data 2019'!E127</f>
        <v>111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'data 2019'!C121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'data 2019'!C122</f>
        <v>0</v>
      </c>
      <c r="E36" s="49" t="s">
        <v>292</v>
      </c>
      <c r="F36" s="24"/>
      <c r="G36" s="21">
        <f>'data 2019'!C128</f>
        <v>111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'data 2019'!C129</f>
        <v>10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'data 2019'!C131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"&amp;'data 2019'!C84</f>
        <v>Hospital Name: RCCH Trios Health LLC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"&amp;'data 2019'!C82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'data 2019'!B138</f>
        <v>2431</v>
      </c>
      <c r="C7" s="48">
        <f>'data 2019'!B139</f>
        <v>9956</v>
      </c>
      <c r="D7" s="48">
        <f>'data 2019'!B140</f>
        <v>19467</v>
      </c>
      <c r="E7" s="48">
        <f>'data 2019'!B141</f>
        <v>101421857.70999999</v>
      </c>
      <c r="F7" s="48">
        <f>'data 2019'!B142</f>
        <v>115031896.8</v>
      </c>
      <c r="G7" s="48">
        <f>'data 2019'!B141+'data 2019'!B142</f>
        <v>216453754.50999999</v>
      </c>
    </row>
    <row r="8" spans="1:13" ht="20.100000000000001" customHeight="1" x14ac:dyDescent="0.25">
      <c r="A8" s="23" t="s">
        <v>297</v>
      </c>
      <c r="B8" s="48">
        <f>'data 2019'!C138</f>
        <v>1397</v>
      </c>
      <c r="C8" s="48">
        <f>'data 2019'!C139</f>
        <v>4379</v>
      </c>
      <c r="D8" s="48">
        <f>'data 2019'!C140</f>
        <v>20557</v>
      </c>
      <c r="E8" s="48">
        <f>'data 2019'!C141</f>
        <v>41682466.240000002</v>
      </c>
      <c r="F8" s="48">
        <f>'data 2019'!C142</f>
        <v>68720036.189999998</v>
      </c>
      <c r="G8" s="48">
        <f>'data 2019'!C141+'data 2019'!C142</f>
        <v>110402502.43000001</v>
      </c>
    </row>
    <row r="9" spans="1:13" ht="20.100000000000001" customHeight="1" x14ac:dyDescent="0.25">
      <c r="A9" s="23" t="s">
        <v>1058</v>
      </c>
      <c r="B9" s="48">
        <f>'data 2019'!D138</f>
        <v>1387</v>
      </c>
      <c r="C9" s="48">
        <f>'data 2019'!D139</f>
        <v>3618</v>
      </c>
      <c r="D9" s="48">
        <f>'data 2019'!D140</f>
        <v>23264</v>
      </c>
      <c r="E9" s="48">
        <f>'data 2019'!D141</f>
        <v>44518193.259999998</v>
      </c>
      <c r="F9" s="48">
        <f>'data 2019'!D142</f>
        <v>131552499.87</v>
      </c>
      <c r="G9" s="48">
        <f>'data 2019'!D141+'data 2019'!D142</f>
        <v>176070693.13</v>
      </c>
    </row>
    <row r="10" spans="1:13" ht="20.100000000000001" customHeight="1" x14ac:dyDescent="0.25">
      <c r="A10" s="111" t="s">
        <v>203</v>
      </c>
      <c r="B10" s="48">
        <f>'data 2019'!E138</f>
        <v>5215</v>
      </c>
      <c r="C10" s="48">
        <f>'data 2019'!E139</f>
        <v>17953</v>
      </c>
      <c r="D10" s="48">
        <f>'data 2019'!E140</f>
        <v>63288</v>
      </c>
      <c r="E10" s="48">
        <f>'data 2019'!E141</f>
        <v>187622517.20999998</v>
      </c>
      <c r="F10" s="48">
        <f>'data 2019'!E142</f>
        <v>315304432.86000001</v>
      </c>
      <c r="G10" s="48">
        <f>'data 2019'!E141+'data 2019'!E142</f>
        <v>502926950.06999999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'data 2019'!B144</f>
        <v>0</v>
      </c>
      <c r="C16" s="48">
        <f>'data 2019'!B145</f>
        <v>0</v>
      </c>
      <c r="D16" s="48">
        <f>'data 2019'!B146</f>
        <v>0</v>
      </c>
      <c r="E16" s="48">
        <f>'data 2019'!B147</f>
        <v>0</v>
      </c>
      <c r="F16" s="48">
        <f>'data 2019'!B148</f>
        <v>0</v>
      </c>
      <c r="G16" s="48">
        <f>'data 2019'!B147+'data 2019'!B148</f>
        <v>0</v>
      </c>
    </row>
    <row r="17" spans="1:7" ht="20.100000000000001" customHeight="1" x14ac:dyDescent="0.25">
      <c r="A17" s="23" t="s">
        <v>297</v>
      </c>
      <c r="B17" s="48">
        <f>'data 2019'!C144</f>
        <v>0</v>
      </c>
      <c r="C17" s="48">
        <f>'data 2019'!C145</f>
        <v>0</v>
      </c>
      <c r="D17" s="48">
        <f>'data 2019'!C146</f>
        <v>0</v>
      </c>
      <c r="E17" s="48">
        <f>'data 2019'!C147</f>
        <v>0</v>
      </c>
      <c r="F17" s="48">
        <f>'data 2019'!C148</f>
        <v>0</v>
      </c>
      <c r="G17" s="48">
        <f>'data 2019'!C147+'data 2019'!C148</f>
        <v>0</v>
      </c>
    </row>
    <row r="18" spans="1:7" ht="20.100000000000001" customHeight="1" x14ac:dyDescent="0.25">
      <c r="A18" s="23" t="s">
        <v>1058</v>
      </c>
      <c r="B18" s="48">
        <f>'data 2019'!D144</f>
        <v>0</v>
      </c>
      <c r="C18" s="48">
        <f>'data 2019'!D145</f>
        <v>0</v>
      </c>
      <c r="D18" s="48">
        <f>'data 2019'!D146</f>
        <v>0</v>
      </c>
      <c r="E18" s="48">
        <f>'data 2019'!D147</f>
        <v>0</v>
      </c>
      <c r="F18" s="48">
        <f>'data 2019'!D148</f>
        <v>0</v>
      </c>
      <c r="G18" s="48">
        <f>'data 2019'!D147+'data 2019'!D148</f>
        <v>0</v>
      </c>
    </row>
    <row r="19" spans="1:7" ht="20.100000000000001" customHeight="1" x14ac:dyDescent="0.25">
      <c r="A19" s="111" t="s">
        <v>203</v>
      </c>
      <c r="B19" s="48">
        <f>'data 2019'!E144</f>
        <v>0</v>
      </c>
      <c r="C19" s="48">
        <f>'data 2019'!E145</f>
        <v>0</v>
      </c>
      <c r="D19" s="48">
        <f>'data 2019'!E146</f>
        <v>0</v>
      </c>
      <c r="E19" s="48">
        <f>'data 2019'!E147</f>
        <v>0</v>
      </c>
      <c r="F19" s="48">
        <f>'data 2019'!E148</f>
        <v>0</v>
      </c>
      <c r="G19" s="48">
        <f>'data 2019'!E147+'data 2019'!E148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'data 2019'!B150</f>
        <v>0</v>
      </c>
      <c r="C25" s="48">
        <f>'data 2019'!B151</f>
        <v>0</v>
      </c>
      <c r="D25" s="48">
        <f>'data 2019'!B152</f>
        <v>0</v>
      </c>
      <c r="E25" s="48">
        <f>'data 2019'!B153</f>
        <v>0</v>
      </c>
      <c r="F25" s="48">
        <f>'data 2019'!B154</f>
        <v>0</v>
      </c>
      <c r="G25" s="48">
        <f>'data 2019'!B153+'data 2019'!B154</f>
        <v>0</v>
      </c>
    </row>
    <row r="26" spans="1:7" ht="20.100000000000001" customHeight="1" x14ac:dyDescent="0.25">
      <c r="A26" s="23" t="s">
        <v>297</v>
      </c>
      <c r="B26" s="48">
        <f>'data 2019'!C150</f>
        <v>0</v>
      </c>
      <c r="C26" s="48">
        <f>'data 2019'!C151</f>
        <v>0</v>
      </c>
      <c r="D26" s="48">
        <f>'data 2019'!C152</f>
        <v>0</v>
      </c>
      <c r="E26" s="48">
        <f>'data 2019'!C153</f>
        <v>0</v>
      </c>
      <c r="F26" s="48">
        <f>'data 2019'!C154</f>
        <v>0</v>
      </c>
      <c r="G26" s="48">
        <f>'data 2019'!C153+'data 2019'!C154</f>
        <v>0</v>
      </c>
    </row>
    <row r="27" spans="1:7" ht="20.100000000000001" customHeight="1" x14ac:dyDescent="0.25">
      <c r="A27" s="23" t="s">
        <v>1058</v>
      </c>
      <c r="B27" s="48">
        <f>'data 2019'!D150</f>
        <v>0</v>
      </c>
      <c r="C27" s="48">
        <f>'data 2019'!D151</f>
        <v>0</v>
      </c>
      <c r="D27" s="48">
        <f>'data 2019'!D152</f>
        <v>0</v>
      </c>
      <c r="E27" s="48">
        <f>'data 2019'!D153</f>
        <v>0</v>
      </c>
      <c r="F27" s="48">
        <f>'data 2019'!D154</f>
        <v>0</v>
      </c>
      <c r="G27" s="48">
        <f>'data 2019'!D153+'data 2019'!D154</f>
        <v>0</v>
      </c>
    </row>
    <row r="28" spans="1:7" ht="20.100000000000001" customHeight="1" x14ac:dyDescent="0.25">
      <c r="A28" s="111" t="s">
        <v>203</v>
      </c>
      <c r="B28" s="48">
        <f>'data 2019'!E150</f>
        <v>0</v>
      </c>
      <c r="C28" s="48">
        <f>'data 2019'!E151</f>
        <v>0</v>
      </c>
      <c r="D28" s="48">
        <f>'data 2019'!E152</f>
        <v>0</v>
      </c>
      <c r="E28" s="48">
        <f>'data 2019'!E153</f>
        <v>0</v>
      </c>
      <c r="F28" s="48">
        <f>'data 2019'!E154</f>
        <v>0</v>
      </c>
      <c r="G28" s="48">
        <f>'data 2019'!E153+'data 2019'!E154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'data 2019'!B157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'data 2019'!C157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"&amp;'data 2019'!C84</f>
        <v>Hospital: RCCH Trios Health LLC</v>
      </c>
      <c r="B3" s="30"/>
      <c r="C3" s="31" t="str">
        <f>"FYE: "&amp;'data 2019'!C82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'data 2019'!C165</f>
        <v>4367861.68</v>
      </c>
    </row>
    <row r="7" spans="1:13" ht="20.100000000000001" customHeight="1" x14ac:dyDescent="0.25">
      <c r="A7" s="40">
        <v>3</v>
      </c>
      <c r="B7" s="97" t="s">
        <v>308</v>
      </c>
      <c r="C7" s="13">
        <f>'data 2019'!C166</f>
        <v>515230.85</v>
      </c>
    </row>
    <row r="8" spans="1:13" ht="20.100000000000001" customHeight="1" x14ac:dyDescent="0.25">
      <c r="A8" s="40">
        <v>4</v>
      </c>
      <c r="B8" s="49" t="s">
        <v>309</v>
      </c>
      <c r="C8" s="13">
        <f>'data 2019'!C167</f>
        <v>955115.53</v>
      </c>
    </row>
    <row r="9" spans="1:13" ht="20.100000000000001" customHeight="1" x14ac:dyDescent="0.25">
      <c r="A9" s="40">
        <v>5</v>
      </c>
      <c r="B9" s="49" t="s">
        <v>310</v>
      </c>
      <c r="C9" s="13">
        <f>'data 2019'!C168</f>
        <v>7240925.25</v>
      </c>
    </row>
    <row r="10" spans="1:13" ht="20.100000000000001" customHeight="1" x14ac:dyDescent="0.25">
      <c r="A10" s="40">
        <v>6</v>
      </c>
      <c r="B10" s="49" t="s">
        <v>311</v>
      </c>
      <c r="C10" s="13">
        <f>'data 2019'!C169</f>
        <v>883487.84</v>
      </c>
    </row>
    <row r="11" spans="1:13" ht="20.100000000000001" customHeight="1" x14ac:dyDescent="0.25">
      <c r="A11" s="40">
        <v>7</v>
      </c>
      <c r="B11" s="49" t="s">
        <v>312</v>
      </c>
      <c r="C11" s="13">
        <f>'data 2019'!C170</f>
        <v>1374370.61</v>
      </c>
    </row>
    <row r="12" spans="1:13" ht="20.100000000000001" customHeight="1" x14ac:dyDescent="0.25">
      <c r="A12" s="40">
        <v>8</v>
      </c>
      <c r="B12" s="49" t="s">
        <v>313</v>
      </c>
      <c r="C12" s="13">
        <f>'data 2019'!C171</f>
        <v>152978.18000000005</v>
      </c>
    </row>
    <row r="13" spans="1:13" ht="20.100000000000001" customHeight="1" x14ac:dyDescent="0.25">
      <c r="A13" s="40">
        <v>9</v>
      </c>
      <c r="B13" s="49" t="s">
        <v>313</v>
      </c>
      <c r="C13" s="13">
        <f>'data 2019'!C172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'data 2019'!D173</f>
        <v>15489969.939999998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'data 2019'!C175</f>
        <v>322238.71999999997</v>
      </c>
    </row>
    <row r="19" spans="1:3" ht="20.100000000000001" customHeight="1" x14ac:dyDescent="0.25">
      <c r="A19" s="13">
        <v>13</v>
      </c>
      <c r="B19" s="49" t="s">
        <v>1068</v>
      </c>
      <c r="C19" s="13">
        <f>'data 2019'!C176</f>
        <v>889234</v>
      </c>
    </row>
    <row r="20" spans="1:3" ht="20.100000000000001" customHeight="1" x14ac:dyDescent="0.25">
      <c r="A20" s="13">
        <v>14</v>
      </c>
      <c r="B20" s="49" t="s">
        <v>1069</v>
      </c>
      <c r="C20" s="13">
        <f>'data 2019'!D177</f>
        <v>1211472.72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'data 2019'!C179</f>
        <v>1095058.44</v>
      </c>
    </row>
    <row r="26" spans="1:3" ht="20.100000000000001" customHeight="1" x14ac:dyDescent="0.25">
      <c r="A26" s="13">
        <v>18</v>
      </c>
      <c r="B26" s="49" t="s">
        <v>319</v>
      </c>
      <c r="C26" s="13">
        <f>'data 2019'!C180</f>
        <v>163405.20000000001</v>
      </c>
    </row>
    <row r="27" spans="1:3" ht="20.100000000000001" customHeight="1" x14ac:dyDescent="0.25">
      <c r="A27" s="13">
        <v>19</v>
      </c>
      <c r="B27" s="49" t="s">
        <v>1072</v>
      </c>
      <c r="C27" s="13">
        <f>'data 2019'!D181</f>
        <v>1258463.6399999999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'data 2019'!C183</f>
        <v>122377.02</v>
      </c>
    </row>
    <row r="32" spans="1:3" ht="20.100000000000001" customHeight="1" x14ac:dyDescent="0.25">
      <c r="A32" s="13">
        <v>22</v>
      </c>
      <c r="B32" s="49" t="s">
        <v>1074</v>
      </c>
      <c r="C32" s="13">
        <f>'data 2019'!C184</f>
        <v>5896542.4500000002</v>
      </c>
    </row>
    <row r="33" spans="1:3" ht="20.100000000000001" customHeight="1" x14ac:dyDescent="0.25">
      <c r="A33" s="13">
        <v>23</v>
      </c>
      <c r="B33" s="49" t="s">
        <v>132</v>
      </c>
      <c r="C33" s="13">
        <f>'data 2019'!C185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'data 2019'!D186</f>
        <v>6018919.4699999997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'data 2019'!C188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'data 2019'!C189</f>
        <v>10657483.77</v>
      </c>
    </row>
    <row r="40" spans="1:3" ht="20.100000000000001" customHeight="1" x14ac:dyDescent="0.25">
      <c r="A40" s="13">
        <v>28</v>
      </c>
      <c r="B40" s="49" t="s">
        <v>1077</v>
      </c>
      <c r="C40" s="13">
        <f>'data 2019'!D190</f>
        <v>10657483.77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37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"&amp;'data 2019'!C84</f>
        <v>Hospital: RCCH Trios Health LLC</v>
      </c>
      <c r="B3" s="8"/>
      <c r="C3" s="8"/>
      <c r="E3" s="11"/>
      <c r="F3" s="12" t="str">
        <f>" FYE: "&amp;'data 2019'!C82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'data 2019'!B195</f>
        <v>225133.68999999994</v>
      </c>
      <c r="D7" s="21">
        <f>'data 2019'!C195</f>
        <v>25114878.100000001</v>
      </c>
      <c r="E7" s="21">
        <f>'data 2019'!D195</f>
        <v>0</v>
      </c>
      <c r="F7" s="21">
        <f>'data 2019'!E195</f>
        <v>25340011.790000003</v>
      </c>
    </row>
    <row r="8" spans="1:13" ht="20.100000000000001" customHeight="1" x14ac:dyDescent="0.25">
      <c r="A8" s="13">
        <v>2</v>
      </c>
      <c r="B8" s="14" t="s">
        <v>333</v>
      </c>
      <c r="C8" s="21">
        <f>'data 2019'!B196</f>
        <v>0</v>
      </c>
      <c r="D8" s="21">
        <f>'data 2019'!C196</f>
        <v>31012.36</v>
      </c>
      <c r="E8" s="21">
        <f>'data 2019'!D196</f>
        <v>21963.26</v>
      </c>
      <c r="F8" s="21">
        <f>'data 2019'!E196</f>
        <v>9049.1000000000022</v>
      </c>
    </row>
    <row r="9" spans="1:13" ht="20.100000000000001" customHeight="1" x14ac:dyDescent="0.25">
      <c r="A9" s="13">
        <v>3</v>
      </c>
      <c r="B9" s="14" t="s">
        <v>334</v>
      </c>
      <c r="C9" s="21">
        <f>'data 2019'!B197</f>
        <v>1238350.1899999976</v>
      </c>
      <c r="D9" s="21">
        <f>'data 2019'!C197</f>
        <v>69855514.150000006</v>
      </c>
      <c r="E9" s="21">
        <f>'data 2019'!D197</f>
        <v>2400000</v>
      </c>
      <c r="F9" s="21">
        <f>'data 2019'!E197</f>
        <v>68693864.340000004</v>
      </c>
    </row>
    <row r="10" spans="1:13" ht="20.100000000000001" customHeight="1" x14ac:dyDescent="0.25">
      <c r="A10" s="13">
        <v>4</v>
      </c>
      <c r="B10" s="14" t="s">
        <v>1083</v>
      </c>
      <c r="C10" s="21">
        <f>'data 2019'!B198</f>
        <v>0</v>
      </c>
      <c r="D10" s="21">
        <f>'data 2019'!C198</f>
        <v>0</v>
      </c>
      <c r="E10" s="21">
        <f>'data 2019'!D198</f>
        <v>0</v>
      </c>
      <c r="F10" s="21">
        <f>'data 2019'!E198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'data 2019'!B199</f>
        <v>0</v>
      </c>
      <c r="D11" s="21">
        <f>'data 2019'!C199</f>
        <v>0</v>
      </c>
      <c r="E11" s="21">
        <f>'data 2019'!D199</f>
        <v>0</v>
      </c>
      <c r="F11" s="21">
        <f>'data 2019'!E199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'data 2019'!B200</f>
        <v>16743938.640000001</v>
      </c>
      <c r="D12" s="21">
        <f>'data 2019'!C200</f>
        <v>10993321.74</v>
      </c>
      <c r="E12" s="21">
        <f>'data 2019'!D200</f>
        <v>16667344.41</v>
      </c>
      <c r="F12" s="21">
        <f>'data 2019'!E200</f>
        <v>11069915.970000003</v>
      </c>
    </row>
    <row r="13" spans="1:13" ht="20.100000000000001" customHeight="1" x14ac:dyDescent="0.25">
      <c r="A13" s="13">
        <v>7</v>
      </c>
      <c r="B13" s="14" t="s">
        <v>1086</v>
      </c>
      <c r="C13" s="21">
        <f>'data 2019'!B201</f>
        <v>0</v>
      </c>
      <c r="D13" s="21">
        <f>'data 2019'!C201</f>
        <v>0</v>
      </c>
      <c r="E13" s="21">
        <f>'data 2019'!D201</f>
        <v>0</v>
      </c>
      <c r="F13" s="21">
        <f>'data 2019'!E201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'data 2019'!B202</f>
        <v>92463.879999998957</v>
      </c>
      <c r="D14" s="21">
        <f>'data 2019'!C202</f>
        <v>1112591.23</v>
      </c>
      <c r="E14" s="21">
        <f>'data 2019'!D202</f>
        <v>681.61</v>
      </c>
      <c r="F14" s="21">
        <f>'data 2019'!E202</f>
        <v>1204373.4999999988</v>
      </c>
    </row>
    <row r="15" spans="1:13" ht="20.100000000000001" customHeight="1" x14ac:dyDescent="0.25">
      <c r="A15" s="13">
        <v>9</v>
      </c>
      <c r="B15" s="14" t="s">
        <v>1087</v>
      </c>
      <c r="C15" s="21">
        <f>'data 2019'!B203</f>
        <v>423431</v>
      </c>
      <c r="D15" s="21">
        <f>'data 2019'!C203</f>
        <v>2729235.2</v>
      </c>
      <c r="E15" s="21">
        <f>'data 2019'!D203</f>
        <v>3038406.19</v>
      </c>
      <c r="F15" s="21">
        <f>'data 2019'!E203</f>
        <v>114260.01000000024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'data 2019'!B204</f>
        <v>18723317.399999999</v>
      </c>
      <c r="D16" s="21">
        <f>'data 2019'!C204</f>
        <v>109836552.78000002</v>
      </c>
      <c r="E16" s="21">
        <f>'data 2019'!D204</f>
        <v>22128395.470000003</v>
      </c>
      <c r="F16" s="21">
        <f>'data 2019'!E204</f>
        <v>106431474.71000001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'data 2019'!B209</f>
        <v>-0.29999999981373549</v>
      </c>
      <c r="D24" s="21">
        <f>'data 2019'!C209</f>
        <v>1346.04</v>
      </c>
      <c r="E24" s="21">
        <f>'data 2019'!D209</f>
        <v>0</v>
      </c>
      <c r="F24" s="21">
        <f>'data 2019'!E209</f>
        <v>1345.7400000001862</v>
      </c>
    </row>
    <row r="25" spans="1:6" ht="20.100000000000001" customHeight="1" x14ac:dyDescent="0.25">
      <c r="A25" s="13">
        <v>13</v>
      </c>
      <c r="B25" s="14" t="s">
        <v>334</v>
      </c>
      <c r="C25" s="21">
        <f>'data 2019'!B210</f>
        <v>1000000</v>
      </c>
      <c r="D25" s="21">
        <f>'data 2019'!C210</f>
        <v>0</v>
      </c>
      <c r="E25" s="21">
        <f>'data 2019'!D210</f>
        <v>1000000</v>
      </c>
      <c r="F25" s="21">
        <f>'data 2019'!E210</f>
        <v>0</v>
      </c>
    </row>
    <row r="26" spans="1:6" ht="20.100000000000001" customHeight="1" x14ac:dyDescent="0.25">
      <c r="A26" s="13">
        <v>14</v>
      </c>
      <c r="B26" s="14" t="s">
        <v>1083</v>
      </c>
      <c r="C26" s="21">
        <f>'data 2019'!B211</f>
        <v>0</v>
      </c>
      <c r="D26" s="21">
        <f>'data 2019'!C211</f>
        <v>0</v>
      </c>
      <c r="E26" s="21">
        <f>'data 2019'!D211</f>
        <v>0</v>
      </c>
      <c r="F26" s="21">
        <f>'data 2019'!E211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'data 2019'!B212</f>
        <v>0</v>
      </c>
      <c r="D27" s="21">
        <f>'data 2019'!C212</f>
        <v>0</v>
      </c>
      <c r="E27" s="21">
        <f>'data 2019'!D212</f>
        <v>0</v>
      </c>
      <c r="F27" s="21">
        <f>'data 2019'!E212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'data 2019'!B213</f>
        <v>2377425</v>
      </c>
      <c r="D28" s="21">
        <f>'data 2019'!C213</f>
        <v>8925980</v>
      </c>
      <c r="E28" s="21">
        <f>'data 2019'!D213</f>
        <v>155383</v>
      </c>
      <c r="F28" s="21">
        <f>'data 2019'!E213</f>
        <v>11148022</v>
      </c>
    </row>
    <row r="29" spans="1:6" ht="20.100000000000001" customHeight="1" x14ac:dyDescent="0.25">
      <c r="A29" s="13">
        <v>17</v>
      </c>
      <c r="B29" s="14" t="s">
        <v>1086</v>
      </c>
      <c r="C29" s="21">
        <f>'data 2019'!B214</f>
        <v>0</v>
      </c>
      <c r="D29" s="21">
        <f>'data 2019'!C214</f>
        <v>0</v>
      </c>
      <c r="E29" s="21">
        <f>'data 2019'!D214</f>
        <v>0</v>
      </c>
      <c r="F29" s="21">
        <f>'data 2019'!E214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'data 2019'!B215</f>
        <v>0</v>
      </c>
      <c r="D30" s="21">
        <f>'data 2019'!C215</f>
        <v>984.37</v>
      </c>
      <c r="E30" s="21">
        <f>'data 2019'!D215</f>
        <v>0</v>
      </c>
      <c r="F30" s="21">
        <f>'data 2019'!E215</f>
        <v>984.37</v>
      </c>
    </row>
    <row r="31" spans="1:6" ht="20.100000000000001" customHeight="1" x14ac:dyDescent="0.25">
      <c r="A31" s="13">
        <v>19</v>
      </c>
      <c r="B31" s="14" t="s">
        <v>1087</v>
      </c>
      <c r="C31" s="21">
        <f>'data 2019'!B216</f>
        <v>0</v>
      </c>
      <c r="D31" s="21">
        <f>'data 2019'!C216</f>
        <v>0</v>
      </c>
      <c r="E31" s="21">
        <f>'data 2019'!D216</f>
        <v>0</v>
      </c>
      <c r="F31" s="21">
        <f>'data 2019'!E216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'data 2019'!B217</f>
        <v>3377424.7</v>
      </c>
      <c r="D32" s="21">
        <f>'data 2019'!C217</f>
        <v>8928310.4099999983</v>
      </c>
      <c r="E32" s="21">
        <f>'data 2019'!D217</f>
        <v>1155383</v>
      </c>
      <c r="F32" s="21">
        <f>'data 2019'!E217</f>
        <v>11150352.109999999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"&amp;'data 2019'!C84</f>
        <v>Hospital: RCCH Trios Health LLC</v>
      </c>
      <c r="B2" s="30"/>
      <c r="C2" s="30"/>
      <c r="D2" s="31" t="str">
        <f>"FYE: "&amp;'data 2019'!C82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'data 2019'!D221</f>
        <v>9620493.2599999998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'data 2019'!C223</f>
        <v>162167564.56999999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'data 2019'!C224</f>
        <v>97643968.739999995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'data 2019'!C225</f>
        <v>6925126.2300000004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'data 2019'!C226</f>
        <v>1816812.52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'data 2019'!C227</f>
        <v>74090764.599999994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'data 2019'!C228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'data 2019'!D229</f>
        <v>342644236.65999997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+'data 2019'!C231</f>
        <v>1367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'data 2019'!C233</f>
        <v>459659.18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'data 2019'!C234</f>
        <v>1726847.26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'data 2019'!D236</f>
        <v>2186506.44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'data 2019'!C238</f>
        <v>1339259.51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'data 2019'!C239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'data 2019'!D242</f>
        <v>355790495.86999995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28" zoomScale="75" workbookViewId="0">
      <selection activeCell="E121" sqref="E12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"&amp;'data 2019'!C84</f>
        <v>HOSPITAL: RCCH Trios Health LLC</v>
      </c>
      <c r="B3" s="30"/>
      <c r="C3" s="31" t="str">
        <f>" FYE: "&amp;'data 2019'!C82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'data 2019'!C250</f>
        <v>-408221.82000000007</v>
      </c>
    </row>
    <row r="7" spans="1:13" ht="20.100000000000001" customHeight="1" x14ac:dyDescent="0.25">
      <c r="A7" s="13">
        <v>3</v>
      </c>
      <c r="B7" s="14" t="s">
        <v>363</v>
      </c>
      <c r="C7" s="21">
        <f>'data 2019'!C251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'data 2019'!C252</f>
        <v>86391491.780000001</v>
      </c>
    </row>
    <row r="9" spans="1:13" ht="20.100000000000001" customHeight="1" x14ac:dyDescent="0.25">
      <c r="A9" s="13">
        <v>5</v>
      </c>
      <c r="B9" s="14" t="s">
        <v>1104</v>
      </c>
      <c r="C9" s="21">
        <f>'data 2019'!C253</f>
        <v>64765000.730000004</v>
      </c>
    </row>
    <row r="10" spans="1:13" ht="20.100000000000001" customHeight="1" x14ac:dyDescent="0.25">
      <c r="A10" s="13">
        <v>6</v>
      </c>
      <c r="B10" s="14" t="s">
        <v>1105</v>
      </c>
      <c r="C10" s="21">
        <f>'data 2019'!C254</f>
        <v>4068462.49</v>
      </c>
    </row>
    <row r="11" spans="1:13" ht="20.100000000000001" customHeight="1" x14ac:dyDescent="0.25">
      <c r="A11" s="13">
        <v>7</v>
      </c>
      <c r="B11" s="14" t="s">
        <v>1106</v>
      </c>
      <c r="C11" s="21">
        <f>'data 2019'!C255</f>
        <v>629119.06000000006</v>
      </c>
    </row>
    <row r="12" spans="1:13" ht="20.100000000000001" customHeight="1" x14ac:dyDescent="0.25">
      <c r="A12" s="13">
        <v>8</v>
      </c>
      <c r="B12" s="14" t="s">
        <v>367</v>
      </c>
      <c r="C12" s="21">
        <f>'data 2019'!C256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'data 2019'!C257</f>
        <v>3195284.79</v>
      </c>
    </row>
    <row r="14" spans="1:13" ht="20.100000000000001" customHeight="1" x14ac:dyDescent="0.25">
      <c r="A14" s="13">
        <v>10</v>
      </c>
      <c r="B14" s="14" t="s">
        <v>369</v>
      </c>
      <c r="C14" s="21">
        <f>'data 2019'!C258</f>
        <v>1295976.82</v>
      </c>
    </row>
    <row r="15" spans="1:13" ht="20.100000000000001" customHeight="1" x14ac:dyDescent="0.25">
      <c r="A15" s="13">
        <v>11</v>
      </c>
      <c r="B15" s="14" t="s">
        <v>1107</v>
      </c>
      <c r="C15" s="21">
        <f>'data 2019'!C259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'data 2019'!D260</f>
        <v>30407112.390000004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'data 2019'!C262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'data 2019'!C263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'data 2019'!C264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'data 2019'!D265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'data 2019'!C267</f>
        <v>25340012.100000001</v>
      </c>
    </row>
    <row r="26" spans="1:3" ht="20.100000000000001" customHeight="1" x14ac:dyDescent="0.25">
      <c r="A26" s="13">
        <v>22</v>
      </c>
      <c r="B26" s="14" t="s">
        <v>333</v>
      </c>
      <c r="C26" s="21">
        <f>'data 2019'!C268</f>
        <v>9049.1</v>
      </c>
    </row>
    <row r="27" spans="1:3" ht="20.100000000000001" customHeight="1" x14ac:dyDescent="0.25">
      <c r="A27" s="13">
        <v>23</v>
      </c>
      <c r="B27" s="14" t="s">
        <v>334</v>
      </c>
      <c r="C27" s="21">
        <f>'data 2019'!C269</f>
        <v>68693864.150000006</v>
      </c>
    </row>
    <row r="28" spans="1:3" ht="20.100000000000001" customHeight="1" x14ac:dyDescent="0.25">
      <c r="A28" s="13">
        <v>24</v>
      </c>
      <c r="B28" s="14" t="s">
        <v>1112</v>
      </c>
      <c r="C28" s="21">
        <f>'data 2019'!C270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'data 2019'!C271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'data 2019'!C272</f>
        <v>11069916.370000001</v>
      </c>
    </row>
    <row r="31" spans="1:3" ht="20.100000000000001" customHeight="1" x14ac:dyDescent="0.25">
      <c r="A31" s="13">
        <v>27</v>
      </c>
      <c r="B31" s="14" t="s">
        <v>339</v>
      </c>
      <c r="C31" s="21">
        <f>'data 2019'!C273</f>
        <v>1204373.6200000001</v>
      </c>
    </row>
    <row r="32" spans="1:3" ht="20.100000000000001" customHeight="1" x14ac:dyDescent="0.25">
      <c r="A32" s="13">
        <v>28</v>
      </c>
      <c r="B32" s="14" t="s">
        <v>340</v>
      </c>
      <c r="C32" s="21">
        <f>'data 2019'!C274</f>
        <v>114259.53</v>
      </c>
    </row>
    <row r="33" spans="1:3" ht="20.100000000000001" customHeight="1" x14ac:dyDescent="0.25">
      <c r="A33" s="13">
        <v>29</v>
      </c>
      <c r="B33" s="14" t="s">
        <v>661</v>
      </c>
      <c r="C33" s="21">
        <f>'data 2019'!D275</f>
        <v>106431474.87000002</v>
      </c>
    </row>
    <row r="34" spans="1:3" ht="20.100000000000001" customHeight="1" x14ac:dyDescent="0.25">
      <c r="A34" s="13">
        <v>30</v>
      </c>
      <c r="B34" s="14" t="s">
        <v>1113</v>
      </c>
      <c r="C34" s="21">
        <f>'data 2019'!C276</f>
        <v>11150352.42</v>
      </c>
    </row>
    <row r="35" spans="1:3" ht="20.100000000000001" customHeight="1" x14ac:dyDescent="0.25">
      <c r="A35" s="13">
        <v>31</v>
      </c>
      <c r="B35" s="14" t="s">
        <v>1114</v>
      </c>
      <c r="C35" s="21">
        <f>'data 2019'!D277</f>
        <v>95281122.450000018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'data 2019'!C279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'data 2019'!C280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'data 2019'!C281</f>
        <v>218227.82</v>
      </c>
    </row>
    <row r="41" spans="1:3" ht="20.100000000000001" customHeight="1" x14ac:dyDescent="0.25">
      <c r="A41" s="13">
        <v>37</v>
      </c>
      <c r="B41" s="14" t="s">
        <v>373</v>
      </c>
      <c r="C41" s="21">
        <f>'data 2019'!C282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'data 2019'!D283</f>
        <v>218227.82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'data 2019'!C286</f>
        <v>22280143.93</v>
      </c>
    </row>
    <row r="46" spans="1:3" ht="20.100000000000001" customHeight="1" x14ac:dyDescent="0.25">
      <c r="A46" s="13">
        <v>42</v>
      </c>
      <c r="B46" s="14" t="s">
        <v>389</v>
      </c>
      <c r="C46" s="21">
        <f>'data 2019'!C287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'data 2019'!C288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'data 2019'!C289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'data 2019'!D290</f>
        <v>22280143.93</v>
      </c>
    </row>
    <row r="50" spans="1:3" ht="20.100000000000001" customHeight="1" x14ac:dyDescent="0.25">
      <c r="A50" s="40">
        <v>46</v>
      </c>
      <c r="B50" s="41" t="s">
        <v>1122</v>
      </c>
      <c r="C50" s="21">
        <f>'data 2019'!D292</f>
        <v>148186606.59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"&amp;'data 2019'!C84</f>
        <v>HOSPITAL: RCCH Trios Health LLC</v>
      </c>
      <c r="B55" s="30"/>
      <c r="C55" s="31" t="str">
        <f>"FYE: "&amp;'data 2019'!C82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'data 2019'!C304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'data 2019'!C305</f>
        <v>5317841.8900000006</v>
      </c>
    </row>
    <row r="60" spans="1:3" ht="20.100000000000001" customHeight="1" x14ac:dyDescent="0.25">
      <c r="A60" s="13">
        <v>4</v>
      </c>
      <c r="B60" s="14" t="s">
        <v>1127</v>
      </c>
      <c r="C60" s="21">
        <f>'data 2019'!C306</f>
        <v>7785959.3300000001</v>
      </c>
    </row>
    <row r="61" spans="1:3" ht="20.100000000000001" customHeight="1" x14ac:dyDescent="0.25">
      <c r="A61" s="13">
        <v>5</v>
      </c>
      <c r="B61" s="14" t="s">
        <v>399</v>
      </c>
      <c r="C61" s="21">
        <f>'data 2019'!C307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'data 2019'!C308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'data 2019'!C309</f>
        <v>887750</v>
      </c>
    </row>
    <row r="64" spans="1:3" ht="20.100000000000001" customHeight="1" x14ac:dyDescent="0.25">
      <c r="A64" s="13">
        <v>8</v>
      </c>
      <c r="B64" s="14" t="s">
        <v>401</v>
      </c>
      <c r="C64" s="21">
        <f>'data 2019'!C310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'data 2019'!C311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'data 2019'!C312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'data 2019'!C313</f>
        <v>4593625</v>
      </c>
    </row>
    <row r="68" spans="1:3" ht="20.100000000000001" customHeight="1" x14ac:dyDescent="0.25">
      <c r="A68" s="13">
        <v>12</v>
      </c>
      <c r="B68" s="14" t="s">
        <v>1131</v>
      </c>
      <c r="C68" s="21">
        <f>'data 2019'!D314</f>
        <v>18585176.219999999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'data 2019'!C316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'data 2019'!C317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'data 2019'!C318</f>
        <v>371921.67</v>
      </c>
    </row>
    <row r="74" spans="1:3" ht="20.100000000000001" customHeight="1" x14ac:dyDescent="0.25">
      <c r="A74" s="13">
        <v>18</v>
      </c>
      <c r="B74" s="14" t="s">
        <v>1134</v>
      </c>
      <c r="C74" s="21">
        <f>'data 2019'!D319</f>
        <v>371921.67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'data 2019'!C321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'data 2019'!C322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'data 2019'!C323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'data 2019'!C324</f>
        <v>126987442</v>
      </c>
    </row>
    <row r="81" spans="1:3" ht="20.100000000000001" customHeight="1" x14ac:dyDescent="0.25">
      <c r="A81" s="13">
        <v>25</v>
      </c>
      <c r="B81" s="14" t="s">
        <v>416</v>
      </c>
      <c r="C81" s="21">
        <f>'data 2019'!C325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'data 2019'!C326</f>
        <v>34159607.850000001</v>
      </c>
    </row>
    <row r="83" spans="1:3" ht="20.100000000000001" customHeight="1" x14ac:dyDescent="0.25">
      <c r="A83" s="13">
        <v>27</v>
      </c>
      <c r="B83" s="14" t="s">
        <v>418</v>
      </c>
      <c r="C83" s="21">
        <f>'data 2019'!C327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'data 2019'!D328</f>
        <v>161147049.84999999</v>
      </c>
    </row>
    <row r="85" spans="1:3" ht="20.100000000000001" customHeight="1" x14ac:dyDescent="0.25">
      <c r="A85" s="13">
        <v>29</v>
      </c>
      <c r="B85" s="14" t="s">
        <v>1138</v>
      </c>
      <c r="C85" s="21">
        <f>'data 2019'!D329</f>
        <v>4593625</v>
      </c>
    </row>
    <row r="86" spans="1:3" ht="20.100000000000001" customHeight="1" x14ac:dyDescent="0.25">
      <c r="A86" s="13">
        <v>30</v>
      </c>
      <c r="B86" s="14" t="s">
        <v>1139</v>
      </c>
      <c r="C86" s="21">
        <f>'data 2019'!D330</f>
        <v>156553424.84999999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'data 2019'!C332</f>
        <v>-8623160.0399999991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'data 2019'!C334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'data 2019'!C335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'data 2019'!C336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'data 2019'!C337</f>
        <v>-18700756.100000001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'data 2019'!C338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'data 2019'!C332+'data 2019'!C334+'data 2019'!C335+'data 2019'!C336+'data 2019'!C337-'data 2019'!C338</f>
        <v>-27323916.140000001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'data 2019'!D339</f>
        <v>148186606.60000002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"&amp;'data 2019'!C84</f>
        <v>HOSPITAL: RCCH Trios Health LLC</v>
      </c>
      <c r="B107" s="30"/>
      <c r="C107" s="31" t="str">
        <f>" FYE: "&amp;'data 2019'!C82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'data 2019'!C359</f>
        <v>187622517.21000001</v>
      </c>
    </row>
    <row r="111" spans="1:3" ht="20.100000000000001" customHeight="1" x14ac:dyDescent="0.25">
      <c r="A111" s="13">
        <v>3</v>
      </c>
      <c r="B111" s="14" t="s">
        <v>429</v>
      </c>
      <c r="C111" s="21">
        <f>'data 2019'!C360</f>
        <v>315304432.86000001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'data 2019'!D361</f>
        <v>502926950.07000005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'data 2019'!C363</f>
        <v>9620493.2599999998</v>
      </c>
    </row>
    <row r="116" spans="1:3" ht="20.100000000000001" customHeight="1" x14ac:dyDescent="0.25">
      <c r="A116" s="13">
        <v>8</v>
      </c>
      <c r="B116" s="14" t="s">
        <v>432</v>
      </c>
      <c r="C116" s="48">
        <f>'data 2019'!C364</f>
        <v>342644236.17000002</v>
      </c>
    </row>
    <row r="117" spans="1:3" ht="20.100000000000001" customHeight="1" x14ac:dyDescent="0.25">
      <c r="A117" s="13">
        <v>9</v>
      </c>
      <c r="B117" s="14" t="s">
        <v>1155</v>
      </c>
      <c r="C117" s="48">
        <f>'data 2019'!C365</f>
        <v>2186506.44</v>
      </c>
    </row>
    <row r="118" spans="1:3" ht="20.100000000000001" customHeight="1" x14ac:dyDescent="0.25">
      <c r="A118" s="13">
        <v>10</v>
      </c>
      <c r="B118" s="14" t="s">
        <v>1156</v>
      </c>
      <c r="C118" s="48">
        <f>'data 2019'!C366</f>
        <v>1339259.51</v>
      </c>
    </row>
    <row r="119" spans="1:3" ht="20.100000000000001" customHeight="1" x14ac:dyDescent="0.25">
      <c r="A119" s="13">
        <v>11</v>
      </c>
      <c r="B119" s="14" t="s">
        <v>1099</v>
      </c>
      <c r="C119" s="48">
        <f>'data 2019'!D367</f>
        <v>355790495.38</v>
      </c>
    </row>
    <row r="120" spans="1:3" ht="20.100000000000001" customHeight="1" x14ac:dyDescent="0.25">
      <c r="A120" s="13">
        <v>12</v>
      </c>
      <c r="B120" s="14" t="s">
        <v>1157</v>
      </c>
      <c r="C120" s="48">
        <f>'data 2019'!D368</f>
        <v>147136454.69000006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'data 2019'!C370</f>
        <v>3632078.6599999997</v>
      </c>
    </row>
    <row r="124" spans="1:3" ht="20.100000000000001" customHeight="1" x14ac:dyDescent="0.25">
      <c r="A124" s="13">
        <v>16</v>
      </c>
      <c r="B124" s="14" t="s">
        <v>438</v>
      </c>
      <c r="C124" s="48">
        <f>'data 2019'!C371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'data 2019'!D372</f>
        <v>3632078.6599999997</v>
      </c>
    </row>
    <row r="126" spans="1:3" ht="20.100000000000001" customHeight="1" x14ac:dyDescent="0.25">
      <c r="A126" s="13">
        <v>18</v>
      </c>
      <c r="B126" s="14" t="s">
        <v>1159</v>
      </c>
      <c r="C126" s="48">
        <f>'data 2019'!D373</f>
        <v>150768533.35000005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'data 2019'!C378</f>
        <v>70381673.989999995</v>
      </c>
    </row>
    <row r="130" spans="1:3" ht="20.100000000000001" customHeight="1" x14ac:dyDescent="0.25">
      <c r="A130" s="13">
        <v>22</v>
      </c>
      <c r="B130" s="14" t="s">
        <v>3</v>
      </c>
      <c r="C130" s="48">
        <f>'data 2019'!C379</f>
        <v>15489969.939999999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'data 2019'!C380</f>
        <v>5394348.8800000008</v>
      </c>
    </row>
    <row r="132" spans="1:3" ht="20.100000000000001" customHeight="1" x14ac:dyDescent="0.25">
      <c r="A132" s="13">
        <v>24</v>
      </c>
      <c r="B132" s="14" t="s">
        <v>237</v>
      </c>
      <c r="C132" s="48">
        <f>'data 2019'!C381</f>
        <v>29057063.609999999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'data 2019'!C382</f>
        <v>2209838.21</v>
      </c>
    </row>
    <row r="134" spans="1:3" ht="20.100000000000001" customHeight="1" x14ac:dyDescent="0.25">
      <c r="A134" s="13">
        <v>26</v>
      </c>
      <c r="B134" s="14" t="s">
        <v>1162</v>
      </c>
      <c r="C134" s="48">
        <f>'data 2019'!C383</f>
        <v>14476036</v>
      </c>
    </row>
    <row r="135" spans="1:3" ht="20.100000000000001" customHeight="1" x14ac:dyDescent="0.25">
      <c r="A135" s="13">
        <v>27</v>
      </c>
      <c r="B135" s="14" t="s">
        <v>6</v>
      </c>
      <c r="C135" s="48">
        <f>'data 2019'!C384</f>
        <v>8928310.3000000007</v>
      </c>
    </row>
    <row r="136" spans="1:3" ht="20.100000000000001" customHeight="1" x14ac:dyDescent="0.25">
      <c r="A136" s="13">
        <v>28</v>
      </c>
      <c r="B136" s="14" t="s">
        <v>1163</v>
      </c>
      <c r="C136" s="48">
        <f>'data 2019'!C385</f>
        <v>1211472.72</v>
      </c>
    </row>
    <row r="137" spans="1:3" ht="20.100000000000001" customHeight="1" x14ac:dyDescent="0.25">
      <c r="A137" s="13">
        <v>29</v>
      </c>
      <c r="B137" s="14" t="s">
        <v>447</v>
      </c>
      <c r="C137" s="48">
        <f>'data 2019'!C386</f>
        <v>1258463.6399999999</v>
      </c>
    </row>
    <row r="138" spans="1:3" ht="20.100000000000001" customHeight="1" x14ac:dyDescent="0.25">
      <c r="A138" s="13">
        <v>30</v>
      </c>
      <c r="B138" s="14" t="s">
        <v>1164</v>
      </c>
      <c r="C138" s="48">
        <f>'data 2019'!C387</f>
        <v>6018919.4699999997</v>
      </c>
    </row>
    <row r="139" spans="1:3" ht="20.100000000000001" customHeight="1" x14ac:dyDescent="0.25">
      <c r="A139" s="13">
        <v>31</v>
      </c>
      <c r="B139" s="14" t="s">
        <v>449</v>
      </c>
      <c r="C139" s="48">
        <f>'data 2019'!C388</f>
        <v>10657483.77</v>
      </c>
    </row>
    <row r="140" spans="1:3" ht="20.100000000000001" customHeight="1" x14ac:dyDescent="0.25">
      <c r="A140" s="13">
        <v>32</v>
      </c>
      <c r="B140" s="14" t="s">
        <v>241</v>
      </c>
      <c r="C140" s="48">
        <f>'data 2019'!C389</f>
        <v>1580930.8599999999</v>
      </c>
    </row>
    <row r="141" spans="1:3" ht="20.100000000000001" customHeight="1" x14ac:dyDescent="0.25">
      <c r="A141" s="13">
        <v>34</v>
      </c>
      <c r="B141" s="14" t="s">
        <v>1165</v>
      </c>
      <c r="C141" s="48">
        <f>'data 2019'!D390</f>
        <v>166664511.39000002</v>
      </c>
    </row>
    <row r="142" spans="1:3" ht="20.100000000000001" customHeight="1" x14ac:dyDescent="0.25">
      <c r="A142" s="13">
        <v>35</v>
      </c>
      <c r="B142" s="14" t="s">
        <v>1166</v>
      </c>
      <c r="C142" s="48">
        <f>'data 2019'!D391</f>
        <v>-15895978.039999962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'data 2019'!C392</f>
        <v>-2804777.84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'data 2019'!D393</f>
        <v>-18700755.879999962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'data 2019'!C394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'data 2019'!C395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'data 2019'!D396</f>
        <v>-18700755.879999962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23" sqref="C2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"&amp;'data 2019'!C84</f>
        <v>HOSPITAL NAME: RCCH Trios Health LLC</v>
      </c>
      <c r="B4" s="77"/>
      <c r="C4" s="77"/>
      <c r="D4" s="77"/>
      <c r="E4" s="77"/>
      <c r="F4" s="77"/>
      <c r="G4" s="80"/>
      <c r="H4" s="79" t="str">
        <f>"FYE: "&amp;'data 2019'!C82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'data 2019'!C59</f>
        <v>3657</v>
      </c>
      <c r="D9" s="14">
        <f>'data 2019'!D59</f>
        <v>0</v>
      </c>
      <c r="E9" s="14">
        <f>'data 2019'!E59</f>
        <v>11263</v>
      </c>
      <c r="F9" s="14">
        <f>'data 2019'!F59</f>
        <v>3033</v>
      </c>
      <c r="G9" s="14">
        <f>'data 2019'!G59</f>
        <v>0</v>
      </c>
      <c r="H9" s="14">
        <f>'data 2019'!H59</f>
        <v>0</v>
      </c>
      <c r="I9" s="14">
        <f>'data 2019'!I59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'data 2019'!C60</f>
        <v>42.800000000000004</v>
      </c>
      <c r="D10" s="26">
        <f>'data 2019'!D60</f>
        <v>0</v>
      </c>
      <c r="E10" s="26">
        <f>'data 2019'!E60</f>
        <v>89.85</v>
      </c>
      <c r="F10" s="26">
        <f>'data 2019'!F60</f>
        <v>48.38</v>
      </c>
      <c r="G10" s="26">
        <f>'data 2019'!G60</f>
        <v>0</v>
      </c>
      <c r="H10" s="26">
        <f>'data 2019'!H60</f>
        <v>0</v>
      </c>
      <c r="I10" s="26">
        <f>'data 2019'!I60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'data 2019'!C61</f>
        <v>2600020</v>
      </c>
      <c r="D11" s="14">
        <f>'data 2019'!D61</f>
        <v>0</v>
      </c>
      <c r="E11" s="14">
        <f>'data 2019'!E61</f>
        <v>4838678</v>
      </c>
      <c r="F11" s="14">
        <f>'data 2019'!F61</f>
        <v>4371196</v>
      </c>
      <c r="G11" s="14">
        <f>'data 2019'!G61</f>
        <v>0</v>
      </c>
      <c r="H11" s="14">
        <f>'data 2019'!H61</f>
        <v>0</v>
      </c>
      <c r="I11" s="14">
        <f>'data 2019'!I61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'data 2019'!C62</f>
        <v>572226</v>
      </c>
      <c r="D12" s="14">
        <f>'data 2019'!D62</f>
        <v>0</v>
      </c>
      <c r="E12" s="14">
        <f>'data 2019'!E62</f>
        <v>1064922</v>
      </c>
      <c r="F12" s="14">
        <f>'data 2019'!F62</f>
        <v>962036</v>
      </c>
      <c r="G12" s="14">
        <f>'data 2019'!G62</f>
        <v>0</v>
      </c>
      <c r="H12" s="14">
        <f>'data 2019'!H62</f>
        <v>0</v>
      </c>
      <c r="I12" s="14">
        <f>'data 2019'!I62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'data 2019'!C63</f>
        <v>742595.97</v>
      </c>
      <c r="D13" s="14">
        <f>'data 2019'!D63</f>
        <v>0</v>
      </c>
      <c r="E13" s="14">
        <f>'data 2019'!E63</f>
        <v>7356.86</v>
      </c>
      <c r="F13" s="14">
        <f>'data 2019'!F63</f>
        <v>277799.58</v>
      </c>
      <c r="G13" s="14">
        <f>'data 2019'!G63</f>
        <v>0</v>
      </c>
      <c r="H13" s="14">
        <f>'data 2019'!H63</f>
        <v>0</v>
      </c>
      <c r="I13" s="14">
        <f>'data 2019'!I63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'data 2019'!C64</f>
        <v>340563.56</v>
      </c>
      <c r="D14" s="14">
        <f>'data 2019'!D64</f>
        <v>25</v>
      </c>
      <c r="E14" s="14">
        <f>'data 2019'!E64</f>
        <v>474956.85</v>
      </c>
      <c r="F14" s="14">
        <f>'data 2019'!F64</f>
        <v>492842.21</v>
      </c>
      <c r="G14" s="14">
        <f>'data 2019'!G64</f>
        <v>0</v>
      </c>
      <c r="H14" s="14">
        <f>'data 2019'!H64</f>
        <v>0</v>
      </c>
      <c r="I14" s="14">
        <f>'data 2019'!I64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'data 2019'!C65</f>
        <v>828</v>
      </c>
      <c r="D15" s="14">
        <f>'data 2019'!D65</f>
        <v>0</v>
      </c>
      <c r="E15" s="14">
        <f>'data 2019'!E65</f>
        <v>828</v>
      </c>
      <c r="F15" s="14">
        <f>'data 2019'!F65</f>
        <v>759</v>
      </c>
      <c r="G15" s="14">
        <f>'data 2019'!G65</f>
        <v>0</v>
      </c>
      <c r="H15" s="14">
        <f>'data 2019'!H65</f>
        <v>0</v>
      </c>
      <c r="I15" s="14">
        <f>'data 2019'!I65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'data 2019'!C66</f>
        <v>14726.34</v>
      </c>
      <c r="D16" s="14">
        <f>'data 2019'!D66</f>
        <v>0</v>
      </c>
      <c r="E16" s="14">
        <f>'data 2019'!E66</f>
        <v>355190.23</v>
      </c>
      <c r="F16" s="14">
        <f>'data 2019'!F66</f>
        <v>65961.119999999995</v>
      </c>
      <c r="G16" s="14">
        <f>'data 2019'!G66</f>
        <v>0</v>
      </c>
      <c r="H16" s="14">
        <f>'data 2019'!H66</f>
        <v>0</v>
      </c>
      <c r="I16" s="14">
        <f>'data 2019'!I66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'data 2019'!C67</f>
        <v>140651</v>
      </c>
      <c r="D17" s="14">
        <f>'data 2019'!D67</f>
        <v>0</v>
      </c>
      <c r="E17" s="14">
        <f>'data 2019'!E67</f>
        <v>475533</v>
      </c>
      <c r="F17" s="14">
        <f>'data 2019'!F67</f>
        <v>225567</v>
      </c>
      <c r="G17" s="14">
        <f>'data 2019'!G67</f>
        <v>0</v>
      </c>
      <c r="H17" s="14">
        <f>'data 2019'!H67</f>
        <v>0</v>
      </c>
      <c r="I17" s="14">
        <f>'data 2019'!I67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'data 2019'!C68</f>
        <v>7650.18</v>
      </c>
      <c r="D18" s="14">
        <f>'data 2019'!D68</f>
        <v>0</v>
      </c>
      <c r="E18" s="14">
        <f>'data 2019'!E68</f>
        <v>18238.13</v>
      </c>
      <c r="F18" s="14">
        <f>'data 2019'!F68</f>
        <v>13510.49</v>
      </c>
      <c r="G18" s="14">
        <f>'data 2019'!G68</f>
        <v>0</v>
      </c>
      <c r="H18" s="14">
        <f>'data 2019'!H68</f>
        <v>0</v>
      </c>
      <c r="I18" s="14">
        <f>'data 2019'!I68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'data 2019'!C69</f>
        <v>617.63</v>
      </c>
      <c r="D19" s="14">
        <f>'data 2019'!D69</f>
        <v>0</v>
      </c>
      <c r="E19" s="14">
        <f>'data 2019'!E69</f>
        <v>1088.03</v>
      </c>
      <c r="F19" s="14">
        <f>'data 2019'!F69</f>
        <v>9409.51</v>
      </c>
      <c r="G19" s="14">
        <f>'data 2019'!G69</f>
        <v>0</v>
      </c>
      <c r="H19" s="14">
        <f>'data 2019'!H69</f>
        <v>0</v>
      </c>
      <c r="I19" s="14">
        <f>'data 2019'!I69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-'data 2019'!C70</f>
        <v>0</v>
      </c>
      <c r="D20" s="14">
        <f>-'data 2019'!D70</f>
        <v>0</v>
      </c>
      <c r="E20" s="14">
        <f>-'data 2019'!E70</f>
        <v>0</v>
      </c>
      <c r="F20" s="14">
        <f>-'data 2019'!F70</f>
        <v>-800</v>
      </c>
      <c r="G20" s="14">
        <f>-'data 2019'!G70</f>
        <v>0</v>
      </c>
      <c r="H20" s="14">
        <f>-'data 2019'!H70</f>
        <v>0</v>
      </c>
      <c r="I20" s="14">
        <f>-'data 2019'!I70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'data 2019'!C71</f>
        <v>4419878.6799999988</v>
      </c>
      <c r="D21" s="14">
        <f>'data 2019'!D71</f>
        <v>25</v>
      </c>
      <c r="E21" s="14">
        <f>'data 2019'!E71</f>
        <v>7236791.0999999996</v>
      </c>
      <c r="F21" s="14">
        <f>'data 2019'!F71</f>
        <v>6418280.9100000001</v>
      </c>
      <c r="G21" s="14">
        <f>'data 2019'!G71</f>
        <v>0</v>
      </c>
      <c r="H21" s="14">
        <f>'data 2019'!H71</f>
        <v>0</v>
      </c>
      <c r="I21" s="14">
        <f>'data 2019'!I71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+'data 2019'!M668</f>
        <v>1649538</v>
      </c>
      <c r="D23" s="48">
        <f>+'data 2019'!M669</f>
        <v>3</v>
      </c>
      <c r="E23" s="48">
        <f>+'data 2019'!M670</f>
        <v>3852079</v>
      </c>
      <c r="F23" s="48">
        <f>+'data 2019'!M671</f>
        <v>2302151</v>
      </c>
      <c r="G23" s="48">
        <f>+'data 2019'!M672</f>
        <v>0</v>
      </c>
      <c r="H23" s="48">
        <f>+'data 2019'!M673</f>
        <v>0</v>
      </c>
      <c r="I23" s="48">
        <f>+'data 2019'!M674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'data 2019'!C73</f>
        <v>11280642.84</v>
      </c>
      <c r="D24" s="14">
        <f>'data 2019'!D73</f>
        <v>0</v>
      </c>
      <c r="E24" s="14">
        <f>'data 2019'!E73</f>
        <v>18542556.739999998</v>
      </c>
      <c r="F24" s="14">
        <f>'data 2019'!F73</f>
        <v>16978233.609999999</v>
      </c>
      <c r="G24" s="14">
        <f>'data 2019'!G73</f>
        <v>0</v>
      </c>
      <c r="H24" s="14">
        <f>'data 2019'!H73</f>
        <v>0</v>
      </c>
      <c r="I24" s="14">
        <f>'data 2019'!I73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'data 2019'!C74</f>
        <v>643590.82000000007</v>
      </c>
      <c r="D25" s="14">
        <f>'data 2019'!D74</f>
        <v>0</v>
      </c>
      <c r="E25" s="14">
        <f>'data 2019'!E74</f>
        <v>4029699.5100000002</v>
      </c>
      <c r="F25" s="14">
        <f>'data 2019'!F74</f>
        <v>1697638.09</v>
      </c>
      <c r="G25" s="14">
        <f>'data 2019'!G74</f>
        <v>0</v>
      </c>
      <c r="H25" s="14">
        <f>'data 2019'!H74</f>
        <v>0</v>
      </c>
      <c r="I25" s="14">
        <f>'data 2019'!I74</f>
        <v>0</v>
      </c>
    </row>
    <row r="26" spans="1:9" ht="18" customHeight="1" x14ac:dyDescent="0.25">
      <c r="A26" s="23">
        <v>21</v>
      </c>
      <c r="B26" s="48" t="s">
        <v>1184</v>
      </c>
      <c r="C26" s="14">
        <f>'data 2019'!C75</f>
        <v>11924233.66</v>
      </c>
      <c r="D26" s="14">
        <f>'data 2019'!D75</f>
        <v>0</v>
      </c>
      <c r="E26" s="14">
        <f>'data 2019'!E75</f>
        <v>22572256.25</v>
      </c>
      <c r="F26" s="14">
        <f>'data 2019'!F75</f>
        <v>18675871.699999999</v>
      </c>
      <c r="G26" s="14">
        <f>'data 2019'!G75</f>
        <v>0</v>
      </c>
      <c r="H26" s="14">
        <f>'data 2019'!H75</f>
        <v>0</v>
      </c>
      <c r="I26" s="14">
        <f>'data 2019'!I75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'data 2019'!C76</f>
        <v>8232</v>
      </c>
      <c r="D28" s="14">
        <f>'data 2019'!D76</f>
        <v>0</v>
      </c>
      <c r="E28" s="14">
        <f>'data 2019'!E76</f>
        <v>27832</v>
      </c>
      <c r="F28" s="14">
        <f>'data 2019'!F76</f>
        <v>13202</v>
      </c>
      <c r="G28" s="14">
        <f>'data 2019'!G76</f>
        <v>0</v>
      </c>
      <c r="H28" s="14">
        <f>'data 2019'!H76</f>
        <v>0</v>
      </c>
      <c r="I28" s="14">
        <f>'data 2019'!I76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'data 2019'!C77</f>
        <v>8785</v>
      </c>
      <c r="D29" s="14">
        <f>'data 2019'!D77</f>
        <v>0</v>
      </c>
      <c r="E29" s="14">
        <f>'data 2019'!E77</f>
        <v>38634</v>
      </c>
      <c r="F29" s="14">
        <f>'data 2019'!F77</f>
        <v>8719</v>
      </c>
      <c r="G29" s="14">
        <f>'data 2019'!G77</f>
        <v>0</v>
      </c>
      <c r="H29" s="14">
        <f>'data 2019'!H77</f>
        <v>0</v>
      </c>
      <c r="I29" s="14">
        <f>'data 2019'!I77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'data 2019'!C78</f>
        <v>1136.7291850060089</v>
      </c>
      <c r="D30" s="14">
        <f>'data 2019'!D78</f>
        <v>0</v>
      </c>
      <c r="E30" s="14">
        <f>'data 2019'!E78</f>
        <v>3843.2272445441254</v>
      </c>
      <c r="F30" s="14">
        <f>'data 2019'!F78</f>
        <v>1823.0197643888885</v>
      </c>
      <c r="G30" s="14">
        <f>'data 2019'!G78</f>
        <v>0</v>
      </c>
      <c r="H30" s="14">
        <f>'data 2019'!H78</f>
        <v>0</v>
      </c>
      <c r="I30" s="14">
        <f>'data 2019'!I78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'data 2019'!C79</f>
        <v>71144</v>
      </c>
      <c r="D31" s="14">
        <f>'data 2019'!D79</f>
        <v>0</v>
      </c>
      <c r="E31" s="14">
        <f>'data 2019'!E79</f>
        <v>126319</v>
      </c>
      <c r="F31" s="14">
        <f>'data 2019'!F79</f>
        <v>78299</v>
      </c>
      <c r="G31" s="14">
        <f>'data 2019'!G79</f>
        <v>0</v>
      </c>
      <c r="H31" s="14">
        <f>'data 2019'!H79</f>
        <v>0</v>
      </c>
      <c r="I31" s="14">
        <f>'data 2019'!I79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'data 2019'!C80</f>
        <v>32.200000000000003</v>
      </c>
      <c r="D32" s="84">
        <f>'data 2019'!D80</f>
        <v>0</v>
      </c>
      <c r="E32" s="84">
        <f>'data 2019'!E80</f>
        <v>63.300000000000004</v>
      </c>
      <c r="F32" s="84">
        <f>'data 2019'!F80</f>
        <v>32.479999999999997</v>
      </c>
      <c r="G32" s="84">
        <f>'data 2019'!G80</f>
        <v>0</v>
      </c>
      <c r="H32" s="84">
        <f>'data 2019'!H80</f>
        <v>0</v>
      </c>
      <c r="I32" s="84">
        <f>'data 2019'!I80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"&amp;'data 2019'!C84</f>
        <v>HOSPITAL NAME: RCCH Trios Health LLC</v>
      </c>
      <c r="B36" s="77"/>
      <c r="C36" s="77"/>
      <c r="D36" s="77"/>
      <c r="E36" s="77"/>
      <c r="F36" s="77"/>
      <c r="G36" s="80"/>
      <c r="H36" s="79" t="str">
        <f>"FYE: "&amp;'data 2019'!C82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'data 2019'!J59</f>
        <v>3325</v>
      </c>
      <c r="D41" s="14">
        <f>'data 2019'!K59</f>
        <v>0</v>
      </c>
      <c r="E41" s="14">
        <f>'data 2019'!L59</f>
        <v>0</v>
      </c>
      <c r="F41" s="14">
        <f>'data 2019'!M59</f>
        <v>0</v>
      </c>
      <c r="G41" s="14">
        <f>'data 2019'!N59</f>
        <v>0</v>
      </c>
      <c r="H41" s="14">
        <f>'data 2019'!O59</f>
        <v>0</v>
      </c>
      <c r="I41" s="14">
        <f>'data 2019'!P59</f>
        <v>276955</v>
      </c>
    </row>
    <row r="42" spans="1:9" ht="20.100000000000001" customHeight="1" x14ac:dyDescent="0.25">
      <c r="A42" s="23">
        <v>5</v>
      </c>
      <c r="B42" s="14" t="s">
        <v>234</v>
      </c>
      <c r="C42" s="26">
        <f>'data 2019'!J60</f>
        <v>16.3</v>
      </c>
      <c r="D42" s="26">
        <f>'data 2019'!K60</f>
        <v>0</v>
      </c>
      <c r="E42" s="26">
        <f>'data 2019'!L60</f>
        <v>0</v>
      </c>
      <c r="F42" s="26">
        <f>'data 2019'!M60</f>
        <v>0</v>
      </c>
      <c r="G42" s="26">
        <f>'data 2019'!N60</f>
        <v>0</v>
      </c>
      <c r="H42" s="26">
        <f>'data 2019'!O60</f>
        <v>0</v>
      </c>
      <c r="I42" s="26">
        <f>'data 2019'!P60</f>
        <v>30.1</v>
      </c>
    </row>
    <row r="43" spans="1:9" ht="20.100000000000001" customHeight="1" x14ac:dyDescent="0.25">
      <c r="A43" s="23">
        <v>6</v>
      </c>
      <c r="B43" s="14" t="s">
        <v>235</v>
      </c>
      <c r="C43" s="14">
        <f>'data 2019'!J61</f>
        <v>1153822</v>
      </c>
      <c r="D43" s="14">
        <f>'data 2019'!K61</f>
        <v>0</v>
      </c>
      <c r="E43" s="14">
        <f>'data 2019'!L61</f>
        <v>0</v>
      </c>
      <c r="F43" s="14">
        <f>'data 2019'!M61</f>
        <v>0</v>
      </c>
      <c r="G43" s="14">
        <f>'data 2019'!N61</f>
        <v>0</v>
      </c>
      <c r="H43" s="14">
        <f>'data 2019'!O61</f>
        <v>0</v>
      </c>
      <c r="I43" s="14">
        <f>'data 2019'!P61</f>
        <v>1864129</v>
      </c>
    </row>
    <row r="44" spans="1:9" ht="20.100000000000001" customHeight="1" x14ac:dyDescent="0.25">
      <c r="A44" s="23">
        <v>7</v>
      </c>
      <c r="B44" s="14" t="s">
        <v>3</v>
      </c>
      <c r="C44" s="14">
        <f>'data 2019'!J62</f>
        <v>253939</v>
      </c>
      <c r="D44" s="14">
        <f>'data 2019'!K62</f>
        <v>0</v>
      </c>
      <c r="E44" s="14">
        <f>'data 2019'!L62</f>
        <v>0</v>
      </c>
      <c r="F44" s="14">
        <f>'data 2019'!M62</f>
        <v>0</v>
      </c>
      <c r="G44" s="14">
        <f>'data 2019'!N62</f>
        <v>0</v>
      </c>
      <c r="H44" s="14">
        <f>'data 2019'!O62</f>
        <v>0</v>
      </c>
      <c r="I44" s="14">
        <f>'data 2019'!P62</f>
        <v>410267</v>
      </c>
    </row>
    <row r="45" spans="1:9" ht="20.100000000000001" customHeight="1" x14ac:dyDescent="0.25">
      <c r="A45" s="23">
        <v>8</v>
      </c>
      <c r="B45" s="14" t="s">
        <v>236</v>
      </c>
      <c r="C45" s="14">
        <f>'data 2019'!J63</f>
        <v>230170.21</v>
      </c>
      <c r="D45" s="14">
        <f>'data 2019'!K63</f>
        <v>0</v>
      </c>
      <c r="E45" s="14">
        <f>'data 2019'!L63</f>
        <v>0</v>
      </c>
      <c r="F45" s="14">
        <f>'data 2019'!M63</f>
        <v>0</v>
      </c>
      <c r="G45" s="14">
        <f>'data 2019'!N63</f>
        <v>0</v>
      </c>
      <c r="H45" s="14">
        <f>'data 2019'!O63</f>
        <v>0</v>
      </c>
      <c r="I45" s="14">
        <f>'data 2019'!P63</f>
        <v>181253.5</v>
      </c>
    </row>
    <row r="46" spans="1:9" ht="20.100000000000001" customHeight="1" x14ac:dyDescent="0.25">
      <c r="A46" s="23">
        <v>9</v>
      </c>
      <c r="B46" s="14" t="s">
        <v>237</v>
      </c>
      <c r="C46" s="14">
        <f>'data 2019'!J64</f>
        <v>109568.7</v>
      </c>
      <c r="D46" s="14">
        <f>'data 2019'!K64</f>
        <v>0</v>
      </c>
      <c r="E46" s="14">
        <f>'data 2019'!L64</f>
        <v>0</v>
      </c>
      <c r="F46" s="14">
        <f>'data 2019'!M64</f>
        <v>0</v>
      </c>
      <c r="G46" s="14">
        <f>'data 2019'!N64</f>
        <v>0</v>
      </c>
      <c r="H46" s="14">
        <f>'data 2019'!O64</f>
        <v>0</v>
      </c>
      <c r="I46" s="14">
        <f>'data 2019'!P64</f>
        <v>7011797.5099999998</v>
      </c>
    </row>
    <row r="47" spans="1:9" ht="20.100000000000001" customHeight="1" x14ac:dyDescent="0.25">
      <c r="A47" s="23">
        <v>10</v>
      </c>
      <c r="B47" s="14" t="s">
        <v>444</v>
      </c>
      <c r="C47" s="14">
        <f>'data 2019'!J65</f>
        <v>0</v>
      </c>
      <c r="D47" s="14">
        <f>'data 2019'!K65</f>
        <v>0</v>
      </c>
      <c r="E47" s="14">
        <f>'data 2019'!L65</f>
        <v>0</v>
      </c>
      <c r="F47" s="14">
        <f>'data 2019'!M65</f>
        <v>0</v>
      </c>
      <c r="G47" s="14">
        <f>'data 2019'!N65</f>
        <v>0</v>
      </c>
      <c r="H47" s="14">
        <f>'data 2019'!O65</f>
        <v>0</v>
      </c>
      <c r="I47" s="14">
        <f>'data 2019'!P65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'data 2019'!J66</f>
        <v>1937</v>
      </c>
      <c r="D48" s="14">
        <f>'data 2019'!K66</f>
        <v>0</v>
      </c>
      <c r="E48" s="14">
        <f>'data 2019'!L66</f>
        <v>0</v>
      </c>
      <c r="F48" s="14">
        <f>'data 2019'!M66</f>
        <v>0</v>
      </c>
      <c r="G48" s="14">
        <f>'data 2019'!N66</f>
        <v>0</v>
      </c>
      <c r="H48" s="14">
        <f>'data 2019'!O66</f>
        <v>0</v>
      </c>
      <c r="I48" s="14">
        <f>'data 2019'!P66</f>
        <v>312699.13</v>
      </c>
    </row>
    <row r="49" spans="1:9" ht="20.100000000000001" customHeight="1" x14ac:dyDescent="0.25">
      <c r="A49" s="23">
        <v>12</v>
      </c>
      <c r="B49" s="14" t="s">
        <v>6</v>
      </c>
      <c r="C49" s="14">
        <f>'data 2019'!J67</f>
        <v>57853</v>
      </c>
      <c r="D49" s="14">
        <f>'data 2019'!K67</f>
        <v>0</v>
      </c>
      <c r="E49" s="14">
        <f>'data 2019'!L67</f>
        <v>0</v>
      </c>
      <c r="F49" s="14">
        <f>'data 2019'!M67</f>
        <v>0</v>
      </c>
      <c r="G49" s="14">
        <f>'data 2019'!N67</f>
        <v>0</v>
      </c>
      <c r="H49" s="14">
        <f>'data 2019'!O67</f>
        <v>0</v>
      </c>
      <c r="I49" s="14">
        <f>'data 2019'!P67</f>
        <v>371993</v>
      </c>
    </row>
    <row r="50" spans="1:9" ht="20.100000000000001" customHeight="1" x14ac:dyDescent="0.25">
      <c r="A50" s="23">
        <v>13</v>
      </c>
      <c r="B50" s="14" t="s">
        <v>474</v>
      </c>
      <c r="C50" s="14">
        <f>'data 2019'!J68</f>
        <v>187.44</v>
      </c>
      <c r="D50" s="14">
        <f>'data 2019'!K68</f>
        <v>0</v>
      </c>
      <c r="E50" s="14">
        <f>'data 2019'!L68</f>
        <v>0</v>
      </c>
      <c r="F50" s="14">
        <f>'data 2019'!M68</f>
        <v>0</v>
      </c>
      <c r="G50" s="14">
        <f>'data 2019'!N68</f>
        <v>0</v>
      </c>
      <c r="H50" s="14">
        <f>'data 2019'!O68</f>
        <v>0</v>
      </c>
      <c r="I50" s="14">
        <f>'data 2019'!P68</f>
        <v>61412.71</v>
      </c>
    </row>
    <row r="51" spans="1:9" ht="20.100000000000001" customHeight="1" x14ac:dyDescent="0.25">
      <c r="A51" s="23">
        <v>14</v>
      </c>
      <c r="B51" s="14" t="s">
        <v>241</v>
      </c>
      <c r="C51" s="14">
        <f>'data 2019'!J69</f>
        <v>1020</v>
      </c>
      <c r="D51" s="14">
        <f>'data 2019'!K69</f>
        <v>0</v>
      </c>
      <c r="E51" s="14">
        <f>'data 2019'!L69</f>
        <v>0</v>
      </c>
      <c r="F51" s="14">
        <f>'data 2019'!M69</f>
        <v>0</v>
      </c>
      <c r="G51" s="14">
        <f>'data 2019'!N69</f>
        <v>0</v>
      </c>
      <c r="H51" s="14">
        <f>'data 2019'!O69</f>
        <v>0</v>
      </c>
      <c r="I51" s="14">
        <f>'data 2019'!P69</f>
        <v>8273.2800000000007</v>
      </c>
    </row>
    <row r="52" spans="1:9" ht="20.100000000000001" customHeight="1" x14ac:dyDescent="0.25">
      <c r="A52" s="23">
        <v>15</v>
      </c>
      <c r="B52" s="14" t="s">
        <v>242</v>
      </c>
      <c r="C52" s="14">
        <f>-'data 2019'!J70</f>
        <v>0</v>
      </c>
      <c r="D52" s="14">
        <f>-'data 2019'!K70</f>
        <v>0</v>
      </c>
      <c r="E52" s="14">
        <f>-'data 2019'!L70</f>
        <v>0</v>
      </c>
      <c r="F52" s="14">
        <f>-'data 2019'!M70</f>
        <v>0</v>
      </c>
      <c r="G52" s="14">
        <f>-'data 2019'!N70</f>
        <v>0</v>
      </c>
      <c r="H52" s="14">
        <f>-'data 2019'!O70</f>
        <v>0</v>
      </c>
      <c r="I52" s="14">
        <f>-'data 2019'!P70</f>
        <v>-8000</v>
      </c>
    </row>
    <row r="53" spans="1:9" ht="20.100000000000001" customHeight="1" x14ac:dyDescent="0.25">
      <c r="A53" s="23">
        <v>16</v>
      </c>
      <c r="B53" s="48" t="s">
        <v>1180</v>
      </c>
      <c r="C53" s="14">
        <f>'data 2019'!J71</f>
        <v>1808497.3499999999</v>
      </c>
      <c r="D53" s="14">
        <f>'data 2019'!K71</f>
        <v>0</v>
      </c>
      <c r="E53" s="14">
        <f>'data 2019'!L71</f>
        <v>0</v>
      </c>
      <c r="F53" s="14">
        <f>'data 2019'!M71</f>
        <v>0</v>
      </c>
      <c r="G53" s="14">
        <f>'data 2019'!N71</f>
        <v>0</v>
      </c>
      <c r="H53" s="14">
        <f>'data 2019'!O71</f>
        <v>0</v>
      </c>
      <c r="I53" s="14">
        <f>'data 2019'!P71</f>
        <v>10213825.130000001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+'data 2019'!M675</f>
        <v>664703</v>
      </c>
      <c r="D55" s="48">
        <f>+'data 2019'!M676</f>
        <v>0</v>
      </c>
      <c r="E55" s="48">
        <f>+'data 2019'!M677</f>
        <v>0</v>
      </c>
      <c r="F55" s="48">
        <f>+'data 2019'!M678</f>
        <v>0</v>
      </c>
      <c r="G55" s="48">
        <f>+'data 2019'!M679</f>
        <v>0</v>
      </c>
      <c r="H55" s="48">
        <f>+'data 2019'!M680</f>
        <v>0</v>
      </c>
      <c r="I55" s="48">
        <f>+'data 2019'!M681</f>
        <v>3949031</v>
      </c>
    </row>
    <row r="56" spans="1:9" ht="20.100000000000001" customHeight="1" x14ac:dyDescent="0.25">
      <c r="A56" s="23">
        <v>19</v>
      </c>
      <c r="B56" s="48" t="s">
        <v>1182</v>
      </c>
      <c r="C56" s="14">
        <f>'data 2019'!J73</f>
        <v>4062610.58</v>
      </c>
      <c r="D56" s="14">
        <f>'data 2019'!K73</f>
        <v>0</v>
      </c>
      <c r="E56" s="14">
        <f>'data 2019'!L73</f>
        <v>0</v>
      </c>
      <c r="F56" s="14">
        <f>'data 2019'!M73</f>
        <v>0</v>
      </c>
      <c r="G56" s="14">
        <f>'data 2019'!N73</f>
        <v>0</v>
      </c>
      <c r="H56" s="14">
        <f>'data 2019'!O73</f>
        <v>0</v>
      </c>
      <c r="I56" s="14">
        <f>'data 2019'!P73</f>
        <v>20476669.530000001</v>
      </c>
    </row>
    <row r="57" spans="1:9" ht="20.100000000000001" customHeight="1" x14ac:dyDescent="0.25">
      <c r="A57" s="23">
        <v>20</v>
      </c>
      <c r="B57" s="48" t="s">
        <v>1183</v>
      </c>
      <c r="C57" s="14">
        <f>'data 2019'!J74</f>
        <v>0</v>
      </c>
      <c r="D57" s="14">
        <f>'data 2019'!K74</f>
        <v>0</v>
      </c>
      <c r="E57" s="14">
        <f>'data 2019'!L74</f>
        <v>0</v>
      </c>
      <c r="F57" s="14">
        <f>'data 2019'!M74</f>
        <v>0</v>
      </c>
      <c r="G57" s="14">
        <f>'data 2019'!N74</f>
        <v>0</v>
      </c>
      <c r="H57" s="14">
        <f>'data 2019'!O74</f>
        <v>0</v>
      </c>
      <c r="I57" s="14">
        <f>'data 2019'!P74</f>
        <v>30125801.050000001</v>
      </c>
    </row>
    <row r="58" spans="1:9" ht="20.100000000000001" customHeight="1" x14ac:dyDescent="0.25">
      <c r="A58" s="23">
        <v>21</v>
      </c>
      <c r="B58" s="48" t="s">
        <v>1184</v>
      </c>
      <c r="C58" s="14">
        <f>'data 2019'!J75</f>
        <v>4062610.58</v>
      </c>
      <c r="D58" s="14">
        <f>'data 2019'!K75</f>
        <v>0</v>
      </c>
      <c r="E58" s="14">
        <f>'data 2019'!L75</f>
        <v>0</v>
      </c>
      <c r="F58" s="14">
        <f>'data 2019'!M75</f>
        <v>0</v>
      </c>
      <c r="G58" s="14">
        <f>'data 2019'!N75</f>
        <v>0</v>
      </c>
      <c r="H58" s="14">
        <f>'data 2019'!O75</f>
        <v>0</v>
      </c>
      <c r="I58" s="14">
        <f>'data 2019'!P75</f>
        <v>50602470.579999998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'data 2019'!J76</f>
        <v>3386</v>
      </c>
      <c r="D60" s="14">
        <f>'data 2019'!K76</f>
        <v>0</v>
      </c>
      <c r="E60" s="14">
        <f>'data 2019'!L76</f>
        <v>0</v>
      </c>
      <c r="F60" s="14">
        <f>'data 2019'!M76</f>
        <v>0</v>
      </c>
      <c r="G60" s="14">
        <f>'data 2019'!N76</f>
        <v>0</v>
      </c>
      <c r="H60" s="14">
        <f>'data 2019'!O76</f>
        <v>0</v>
      </c>
      <c r="I60" s="14">
        <f>'data 2019'!P76</f>
        <v>21772</v>
      </c>
    </row>
    <row r="61" spans="1:9" ht="20.100000000000001" customHeight="1" x14ac:dyDescent="0.25">
      <c r="A61" s="23">
        <v>23</v>
      </c>
      <c r="B61" s="14" t="s">
        <v>1187</v>
      </c>
      <c r="C61" s="14">
        <f>'data 2019'!J77</f>
        <v>694</v>
      </c>
      <c r="D61" s="14">
        <f>'data 2019'!K77</f>
        <v>0</v>
      </c>
      <c r="E61" s="14">
        <f>'data 2019'!L77</f>
        <v>0</v>
      </c>
      <c r="F61" s="14">
        <f>'data 2019'!M77</f>
        <v>0</v>
      </c>
      <c r="G61" s="14">
        <f>'data 2019'!N77</f>
        <v>0</v>
      </c>
      <c r="H61" s="14">
        <f>'data 2019'!O77</f>
        <v>0</v>
      </c>
      <c r="I61" s="14">
        <f>'data 2019'!P77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'data 2019'!J78</f>
        <v>467.56134844877874</v>
      </c>
      <c r="D62" s="14">
        <f>'data 2019'!K78</f>
        <v>0</v>
      </c>
      <c r="E62" s="14">
        <f>'data 2019'!L78</f>
        <v>0</v>
      </c>
      <c r="F62" s="14">
        <f>'data 2019'!M78</f>
        <v>0</v>
      </c>
      <c r="G62" s="14">
        <f>'data 2019'!N78</f>
        <v>0</v>
      </c>
      <c r="H62" s="14">
        <f>'data 2019'!O78</f>
        <v>0</v>
      </c>
      <c r="I62" s="14">
        <f>'data 2019'!P78</f>
        <v>3006.422232258361</v>
      </c>
    </row>
    <row r="63" spans="1:9" ht="20.100000000000001" customHeight="1" x14ac:dyDescent="0.25">
      <c r="A63" s="23">
        <v>25</v>
      </c>
      <c r="B63" s="14" t="s">
        <v>1189</v>
      </c>
      <c r="C63" s="14">
        <f>'data 2019'!J79</f>
        <v>41156</v>
      </c>
      <c r="D63" s="14">
        <f>'data 2019'!K79</f>
        <v>0</v>
      </c>
      <c r="E63" s="14">
        <f>'data 2019'!L79</f>
        <v>0</v>
      </c>
      <c r="F63" s="14">
        <f>'data 2019'!M79</f>
        <v>0</v>
      </c>
      <c r="G63" s="14">
        <f>'data 2019'!N79</f>
        <v>0</v>
      </c>
      <c r="H63" s="14">
        <f>'data 2019'!O79</f>
        <v>0</v>
      </c>
      <c r="I63" s="14">
        <f>'data 2019'!P79</f>
        <v>43149</v>
      </c>
    </row>
    <row r="64" spans="1:9" ht="20.100000000000001" customHeight="1" x14ac:dyDescent="0.25">
      <c r="A64" s="23">
        <v>26</v>
      </c>
      <c r="B64" s="14" t="s">
        <v>252</v>
      </c>
      <c r="C64" s="26">
        <f>'data 2019'!J80</f>
        <v>16.3</v>
      </c>
      <c r="D64" s="26">
        <f>'data 2019'!K80</f>
        <v>0</v>
      </c>
      <c r="E64" s="26">
        <f>'data 2019'!L80</f>
        <v>0</v>
      </c>
      <c r="F64" s="26">
        <f>'data 2019'!M80</f>
        <v>0</v>
      </c>
      <c r="G64" s="26">
        <f>'data 2019'!N80</f>
        <v>0</v>
      </c>
      <c r="H64" s="26">
        <f>'data 2019'!O80</f>
        <v>0</v>
      </c>
      <c r="I64" s="26">
        <f>'data 2019'!P80</f>
        <v>10.3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"&amp;'data 2019'!C84</f>
        <v>HOSPITAL NAME: RCCH Trios Health LLC</v>
      </c>
      <c r="B68" s="77"/>
      <c r="C68" s="77"/>
      <c r="D68" s="77"/>
      <c r="E68" s="77"/>
      <c r="F68" s="77"/>
      <c r="G68" s="80"/>
      <c r="H68" s="79" t="str">
        <f>"FYE: "&amp;'data 2019'!C82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'data 2019'!Q59</f>
        <v>125819</v>
      </c>
      <c r="D73" s="48">
        <f>'data 2019'!R59</f>
        <v>0</v>
      </c>
      <c r="E73" s="212"/>
      <c r="F73" s="212"/>
      <c r="G73" s="14">
        <f>'data 2019'!U59</f>
        <v>336256</v>
      </c>
      <c r="H73" s="14">
        <f>'data 2019'!V59</f>
        <v>29</v>
      </c>
      <c r="I73" s="14">
        <f>'data 2019'!W59</f>
        <v>2430</v>
      </c>
    </row>
    <row r="74" spans="1:9" ht="20.100000000000001" customHeight="1" x14ac:dyDescent="0.25">
      <c r="A74" s="23">
        <v>5</v>
      </c>
      <c r="B74" s="14" t="s">
        <v>234</v>
      </c>
      <c r="C74" s="26">
        <f>'data 2019'!Q60</f>
        <v>5</v>
      </c>
      <c r="D74" s="26">
        <f>'data 2019'!R60</f>
        <v>3</v>
      </c>
      <c r="E74" s="26">
        <f>'data 2019'!S60</f>
        <v>7</v>
      </c>
      <c r="F74" s="26">
        <f>'data 2019'!T60</f>
        <v>0</v>
      </c>
      <c r="G74" s="26">
        <f>'data 2019'!U60</f>
        <v>35.75</v>
      </c>
      <c r="H74" s="26">
        <f>'data 2019'!V60</f>
        <v>1</v>
      </c>
      <c r="I74" s="26">
        <f>'data 2019'!W60</f>
        <v>3</v>
      </c>
    </row>
    <row r="75" spans="1:9" ht="20.100000000000001" customHeight="1" x14ac:dyDescent="0.25">
      <c r="A75" s="23">
        <v>6</v>
      </c>
      <c r="B75" s="14" t="s">
        <v>235</v>
      </c>
      <c r="C75" s="14">
        <f>'data 2019'!Q61</f>
        <v>592468</v>
      </c>
      <c r="D75" s="14">
        <f>'data 2019'!R61</f>
        <v>110800</v>
      </c>
      <c r="E75" s="14">
        <f>'data 2019'!S61</f>
        <v>394384</v>
      </c>
      <c r="F75" s="14">
        <f>'data 2019'!T61</f>
        <v>0</v>
      </c>
      <c r="G75" s="14">
        <f>'data 2019'!U61</f>
        <v>1350560</v>
      </c>
      <c r="H75" s="14">
        <f>'data 2019'!V61</f>
        <v>46312</v>
      </c>
      <c r="I75" s="14">
        <f>'data 2019'!W61</f>
        <v>297852</v>
      </c>
    </row>
    <row r="76" spans="1:9" ht="20.100000000000001" customHeight="1" x14ac:dyDescent="0.25">
      <c r="A76" s="23">
        <v>7</v>
      </c>
      <c r="B76" s="14" t="s">
        <v>3</v>
      </c>
      <c r="C76" s="14">
        <f>'data 2019'!Q62</f>
        <v>130393</v>
      </c>
      <c r="D76" s="14">
        <f>'data 2019'!R62</f>
        <v>24385</v>
      </c>
      <c r="E76" s="14">
        <f>'data 2019'!S62</f>
        <v>86798</v>
      </c>
      <c r="F76" s="14">
        <f>'data 2019'!T62</f>
        <v>0</v>
      </c>
      <c r="G76" s="14">
        <f>'data 2019'!U62</f>
        <v>297238</v>
      </c>
      <c r="H76" s="14">
        <f>'data 2019'!V62</f>
        <v>10193</v>
      </c>
      <c r="I76" s="14">
        <f>'data 2019'!W62</f>
        <v>65553</v>
      </c>
    </row>
    <row r="77" spans="1:9" ht="20.100000000000001" customHeight="1" x14ac:dyDescent="0.25">
      <c r="A77" s="23">
        <v>8</v>
      </c>
      <c r="B77" s="14" t="s">
        <v>236</v>
      </c>
      <c r="C77" s="14">
        <f>'data 2019'!Q63</f>
        <v>0</v>
      </c>
      <c r="D77" s="14">
        <f>'data 2019'!R63</f>
        <v>0</v>
      </c>
      <c r="E77" s="14">
        <f>'data 2019'!S63</f>
        <v>-1087.57</v>
      </c>
      <c r="F77" s="14">
        <f>'data 2019'!T63</f>
        <v>0</v>
      </c>
      <c r="G77" s="14">
        <f>'data 2019'!U63</f>
        <v>526282.69999999995</v>
      </c>
      <c r="H77" s="14">
        <f>'data 2019'!V63</f>
        <v>27221</v>
      </c>
      <c r="I77" s="14">
        <f>'data 2019'!W63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'data 2019'!Q64</f>
        <v>14166.56</v>
      </c>
      <c r="D78" s="14">
        <f>'data 2019'!R64</f>
        <v>213235.99</v>
      </c>
      <c r="E78" s="14">
        <f>'data 2019'!S64</f>
        <v>898461.73</v>
      </c>
      <c r="F78" s="14">
        <f>'data 2019'!T64</f>
        <v>773906.12</v>
      </c>
      <c r="G78" s="14">
        <f>'data 2019'!U64</f>
        <v>1806085.46</v>
      </c>
      <c r="H78" s="14">
        <f>'data 2019'!V64</f>
        <v>795.8</v>
      </c>
      <c r="I78" s="14">
        <f>'data 2019'!W64</f>
        <v>7308.5199999999995</v>
      </c>
    </row>
    <row r="79" spans="1:9" ht="20.100000000000001" customHeight="1" x14ac:dyDescent="0.25">
      <c r="A79" s="23">
        <v>10</v>
      </c>
      <c r="B79" s="14" t="s">
        <v>444</v>
      </c>
      <c r="C79" s="14">
        <f>'data 2019'!Q65</f>
        <v>0</v>
      </c>
      <c r="D79" s="14">
        <f>'data 2019'!R65</f>
        <v>0</v>
      </c>
      <c r="E79" s="14">
        <f>'data 2019'!S65</f>
        <v>0</v>
      </c>
      <c r="F79" s="14">
        <f>'data 2019'!T65</f>
        <v>0</v>
      </c>
      <c r="G79" s="14">
        <f>'data 2019'!U65</f>
        <v>0</v>
      </c>
      <c r="H79" s="14">
        <f>'data 2019'!V65</f>
        <v>0</v>
      </c>
      <c r="I79" s="14">
        <f>'data 2019'!W65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'data 2019'!Q66</f>
        <v>419.55</v>
      </c>
      <c r="D80" s="14">
        <f>'data 2019'!R66</f>
        <v>576.99</v>
      </c>
      <c r="E80" s="14">
        <f>'data 2019'!S66</f>
        <v>14299.23</v>
      </c>
      <c r="F80" s="14">
        <f>'data 2019'!T66</f>
        <v>13130</v>
      </c>
      <c r="G80" s="14">
        <f>'data 2019'!U66</f>
        <v>1488062.55</v>
      </c>
      <c r="H80" s="14">
        <f>'data 2019'!V66</f>
        <v>0</v>
      </c>
      <c r="I80" s="14">
        <f>'data 2019'!W66</f>
        <v>286926.90000000002</v>
      </c>
    </row>
    <row r="81" spans="1:9" ht="20.100000000000001" customHeight="1" x14ac:dyDescent="0.25">
      <c r="A81" s="23">
        <v>12</v>
      </c>
      <c r="B81" s="14" t="s">
        <v>6</v>
      </c>
      <c r="C81" s="14">
        <f>'data 2019'!Q67</f>
        <v>57408</v>
      </c>
      <c r="D81" s="14">
        <f>'data 2019'!R67</f>
        <v>9431</v>
      </c>
      <c r="E81" s="14">
        <f>'data 2019'!S67</f>
        <v>83123</v>
      </c>
      <c r="F81" s="14">
        <f>'data 2019'!T67</f>
        <v>0</v>
      </c>
      <c r="G81" s="14">
        <f>'data 2019'!U67</f>
        <v>225003</v>
      </c>
      <c r="H81" s="14">
        <f>'data 2019'!V67</f>
        <v>2563</v>
      </c>
      <c r="I81" s="14">
        <f>'data 2019'!W67</f>
        <v>94997</v>
      </c>
    </row>
    <row r="82" spans="1:9" ht="20.100000000000001" customHeight="1" x14ac:dyDescent="0.25">
      <c r="A82" s="23">
        <v>13</v>
      </c>
      <c r="B82" s="14" t="s">
        <v>474</v>
      </c>
      <c r="C82" s="14">
        <f>'data 2019'!Q68</f>
        <v>-3.66</v>
      </c>
      <c r="D82" s="14">
        <f>'data 2019'!R68</f>
        <v>0</v>
      </c>
      <c r="E82" s="14">
        <f>'data 2019'!S68</f>
        <v>2840.85</v>
      </c>
      <c r="F82" s="14">
        <f>'data 2019'!T68</f>
        <v>0</v>
      </c>
      <c r="G82" s="14">
        <f>'data 2019'!U68</f>
        <v>179710.92</v>
      </c>
      <c r="H82" s="14">
        <f>'data 2019'!V68</f>
        <v>0</v>
      </c>
      <c r="I82" s="14">
        <f>'data 2019'!W68</f>
        <v>272.77</v>
      </c>
    </row>
    <row r="83" spans="1:9" ht="20.100000000000001" customHeight="1" x14ac:dyDescent="0.25">
      <c r="A83" s="23">
        <v>14</v>
      </c>
      <c r="B83" s="14" t="s">
        <v>241</v>
      </c>
      <c r="C83" s="14">
        <f>'data 2019'!Q69</f>
        <v>267</v>
      </c>
      <c r="D83" s="14">
        <f>'data 2019'!R69</f>
        <v>0</v>
      </c>
      <c r="E83" s="14">
        <f>'data 2019'!S69</f>
        <v>-1750</v>
      </c>
      <c r="F83" s="14">
        <f>'data 2019'!T69</f>
        <v>0</v>
      </c>
      <c r="G83" s="14">
        <f>'data 2019'!U69</f>
        <v>6366</v>
      </c>
      <c r="H83" s="14">
        <f>'data 2019'!V69</f>
        <v>0</v>
      </c>
      <c r="I83" s="14">
        <f>'data 2019'!W69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-'data 2019'!Q70</f>
        <v>0</v>
      </c>
      <c r="D84" s="14">
        <f>-'data 2019'!R70</f>
        <v>0</v>
      </c>
      <c r="E84" s="14">
        <f>-'data 2019'!S70</f>
        <v>0</v>
      </c>
      <c r="F84" s="14">
        <f>-'data 2019'!T70</f>
        <v>0</v>
      </c>
      <c r="G84" s="14">
        <f>-'data 2019'!U70</f>
        <v>-26873.02</v>
      </c>
      <c r="H84" s="14">
        <f>-'data 2019'!V70</f>
        <v>0</v>
      </c>
      <c r="I84" s="14">
        <f>-'data 2019'!W70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'data 2019'!Q71</f>
        <v>795118.45000000007</v>
      </c>
      <c r="D85" s="14">
        <f>'data 2019'!R71</f>
        <v>358428.98</v>
      </c>
      <c r="E85" s="14">
        <f>'data 2019'!S71</f>
        <v>1477069.24</v>
      </c>
      <c r="F85" s="14">
        <f>'data 2019'!T71</f>
        <v>787036.12</v>
      </c>
      <c r="G85" s="14">
        <f>'data 2019'!U71</f>
        <v>5852435.6100000003</v>
      </c>
      <c r="H85" s="14">
        <f>'data 2019'!V71</f>
        <v>87084.800000000003</v>
      </c>
      <c r="I85" s="14">
        <f>'data 2019'!W71</f>
        <v>752910.19000000006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+'data 2019'!M682</f>
        <v>394117</v>
      </c>
      <c r="D87" s="48">
        <f>+'data 2019'!M683</f>
        <v>327601</v>
      </c>
      <c r="E87" s="48">
        <f>+'data 2019'!M684</f>
        <v>682772</v>
      </c>
      <c r="F87" s="48">
        <f>+'data 2019'!M685</f>
        <v>359490</v>
      </c>
      <c r="G87" s="48">
        <f>+'data 2019'!M686</f>
        <v>2733210</v>
      </c>
      <c r="H87" s="48">
        <f>+'data 2019'!M687</f>
        <v>27679</v>
      </c>
      <c r="I87" s="48">
        <f>+'data 2019'!M688</f>
        <v>622925</v>
      </c>
    </row>
    <row r="88" spans="1:9" ht="20.100000000000001" customHeight="1" x14ac:dyDescent="0.25">
      <c r="A88" s="23">
        <v>19</v>
      </c>
      <c r="B88" s="48" t="s">
        <v>1182</v>
      </c>
      <c r="C88" s="14">
        <f>'data 2019'!Q73</f>
        <v>1020039.15</v>
      </c>
      <c r="D88" s="14">
        <f>'data 2019'!R73</f>
        <v>2995569.79</v>
      </c>
      <c r="E88" s="14">
        <f>'data 2019'!S73</f>
        <v>4217830.5699999994</v>
      </c>
      <c r="F88" s="14">
        <f>'data 2019'!T73</f>
        <v>4174791.99</v>
      </c>
      <c r="G88" s="14">
        <f>'data 2019'!U73</f>
        <v>25610332.789999999</v>
      </c>
      <c r="H88" s="14">
        <f>'data 2019'!V73</f>
        <v>169605.33</v>
      </c>
      <c r="I88" s="14">
        <f>'data 2019'!W73</f>
        <v>1536804.33</v>
      </c>
    </row>
    <row r="89" spans="1:9" ht="20.100000000000001" customHeight="1" x14ac:dyDescent="0.25">
      <c r="A89" s="23">
        <v>20</v>
      </c>
      <c r="B89" s="48" t="s">
        <v>1183</v>
      </c>
      <c r="C89" s="14">
        <f>'data 2019'!Q74</f>
        <v>2193755.9500000002</v>
      </c>
      <c r="D89" s="14">
        <f>'data 2019'!R74</f>
        <v>5081325.57</v>
      </c>
      <c r="E89" s="14">
        <f>'data 2019'!S74</f>
        <v>4172449.06</v>
      </c>
      <c r="F89" s="14">
        <f>'data 2019'!T74</f>
        <v>4972381.38</v>
      </c>
      <c r="G89" s="14">
        <f>'data 2019'!U74</f>
        <v>21514309.439999998</v>
      </c>
      <c r="H89" s="14">
        <f>'data 2019'!V74</f>
        <v>149010.68</v>
      </c>
      <c r="I89" s="14">
        <f>'data 2019'!W74</f>
        <v>7120202.6500000004</v>
      </c>
    </row>
    <row r="90" spans="1:9" ht="20.100000000000001" customHeight="1" x14ac:dyDescent="0.25">
      <c r="A90" s="23">
        <v>21</v>
      </c>
      <c r="B90" s="48" t="s">
        <v>1184</v>
      </c>
      <c r="C90" s="14">
        <f>'data 2019'!Q75</f>
        <v>3213795.1</v>
      </c>
      <c r="D90" s="14">
        <f>'data 2019'!R75</f>
        <v>8076895.3600000003</v>
      </c>
      <c r="E90" s="14">
        <f>'data 2019'!S75</f>
        <v>8390279.629999999</v>
      </c>
      <c r="F90" s="14">
        <f>'data 2019'!T75</f>
        <v>9147173.370000001</v>
      </c>
      <c r="G90" s="14">
        <f>'data 2019'!U75</f>
        <v>47124642.229999997</v>
      </c>
      <c r="H90" s="14">
        <f>'data 2019'!V75</f>
        <v>318616.01</v>
      </c>
      <c r="I90" s="14">
        <f>'data 2019'!W75</f>
        <v>8657006.9800000004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'data 2019'!Q76</f>
        <v>3360</v>
      </c>
      <c r="D92" s="14">
        <f>'data 2019'!R76</f>
        <v>552</v>
      </c>
      <c r="E92" s="14">
        <f>'data 2019'!S76</f>
        <v>4865</v>
      </c>
      <c r="F92" s="14">
        <f>'data 2019'!T76</f>
        <v>0</v>
      </c>
      <c r="G92" s="14">
        <f>'data 2019'!U76</f>
        <v>13169</v>
      </c>
      <c r="H92" s="14">
        <f>'data 2019'!V76</f>
        <v>150</v>
      </c>
      <c r="I92" s="14">
        <f>'data 2019'!W76</f>
        <v>5560</v>
      </c>
    </row>
    <row r="93" spans="1:9" ht="20.100000000000001" customHeight="1" x14ac:dyDescent="0.25">
      <c r="A93" s="23">
        <v>23</v>
      </c>
      <c r="B93" s="14" t="s">
        <v>1187</v>
      </c>
      <c r="C93" s="14">
        <f>'data 2019'!Q77</f>
        <v>0</v>
      </c>
      <c r="D93" s="14">
        <f>'data 2019'!R77</f>
        <v>0</v>
      </c>
      <c r="E93" s="14">
        <f>'data 2019'!S77</f>
        <v>0</v>
      </c>
      <c r="F93" s="14">
        <f>'data 2019'!T77</f>
        <v>0</v>
      </c>
      <c r="G93" s="14">
        <f>'data 2019'!U77</f>
        <v>0</v>
      </c>
      <c r="H93" s="14">
        <f>'data 2019'!V77</f>
        <v>0</v>
      </c>
      <c r="I93" s="14">
        <f>'data 2019'!W77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'data 2019'!Q78</f>
        <v>463.97109592081995</v>
      </c>
      <c r="D94" s="14">
        <f>'data 2019'!R78</f>
        <v>76.223822901277572</v>
      </c>
      <c r="E94" s="14">
        <f>'data 2019'!S78</f>
        <v>671.79148263535399</v>
      </c>
      <c r="F94" s="14">
        <f>'data 2019'!T78</f>
        <v>0</v>
      </c>
      <c r="G94" s="14">
        <f>'data 2019'!U78</f>
        <v>1818.4629054110947</v>
      </c>
      <c r="H94" s="14">
        <f>'data 2019'!V78</f>
        <v>20.712995353608033</v>
      </c>
      <c r="I94" s="14">
        <f>'data 2019'!W78</f>
        <v>767.76169444040454</v>
      </c>
    </row>
    <row r="95" spans="1:9" ht="20.100000000000001" customHeight="1" x14ac:dyDescent="0.25">
      <c r="A95" s="23">
        <v>25</v>
      </c>
      <c r="B95" s="14" t="s">
        <v>1189</v>
      </c>
      <c r="C95" s="14">
        <f>'data 2019'!Q79</f>
        <v>0</v>
      </c>
      <c r="D95" s="14">
        <f>'data 2019'!R79</f>
        <v>0</v>
      </c>
      <c r="E95" s="14">
        <f>'data 2019'!S79</f>
        <v>0</v>
      </c>
      <c r="F95" s="14">
        <f>'data 2019'!T79</f>
        <v>0</v>
      </c>
      <c r="G95" s="14">
        <f>'data 2019'!U79</f>
        <v>0</v>
      </c>
      <c r="H95" s="14">
        <f>'data 2019'!V79</f>
        <v>189</v>
      </c>
      <c r="I95" s="14">
        <f>'data 2019'!W79</f>
        <v>2057</v>
      </c>
    </row>
    <row r="96" spans="1:9" ht="20.100000000000001" customHeight="1" x14ac:dyDescent="0.25">
      <c r="A96" s="23">
        <v>26</v>
      </c>
      <c r="B96" s="14" t="s">
        <v>252</v>
      </c>
      <c r="C96" s="84">
        <f>'data 2019'!Q80</f>
        <v>5</v>
      </c>
      <c r="D96" s="84">
        <f>'data 2019'!R80</f>
        <v>2</v>
      </c>
      <c r="E96" s="84">
        <f>'data 2019'!S80</f>
        <v>0</v>
      </c>
      <c r="F96" s="84">
        <f>'data 2019'!T80</f>
        <v>0</v>
      </c>
      <c r="G96" s="84">
        <f>'data 2019'!U80</f>
        <v>0</v>
      </c>
      <c r="H96" s="84">
        <f>'data 2019'!V80</f>
        <v>0</v>
      </c>
      <c r="I96" s="84">
        <f>'data 2019'!W80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"&amp;'data 2019'!C84</f>
        <v>HOSPITAL NAME: RCCH Trios Health LLC</v>
      </c>
      <c r="B100" s="77"/>
      <c r="C100" s="77"/>
      <c r="D100" s="77"/>
      <c r="E100" s="77"/>
      <c r="F100" s="77"/>
      <c r="G100" s="80"/>
      <c r="H100" s="79" t="str">
        <f>"FYE: "&amp;'data 2019'!C82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'data 2019'!X59</f>
        <v>11430</v>
      </c>
      <c r="D105" s="14">
        <f>'data 2019'!Y59</f>
        <v>50223</v>
      </c>
      <c r="E105" s="14">
        <f>'data 2019'!Z59</f>
        <v>631681</v>
      </c>
      <c r="F105" s="14">
        <f>'data 2019'!AA59</f>
        <v>1455</v>
      </c>
      <c r="G105" s="212"/>
      <c r="H105" s="14">
        <f>'data 2019'!AC59</f>
        <v>77896</v>
      </c>
      <c r="I105" s="14">
        <f>'data 2019'!AD59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'data 2019'!X60</f>
        <v>5</v>
      </c>
      <c r="D106" s="26">
        <f>'data 2019'!Y60</f>
        <v>35.15</v>
      </c>
      <c r="E106" s="26">
        <f>'data 2019'!Z60</f>
        <v>0</v>
      </c>
      <c r="F106" s="26">
        <f>'data 2019'!AA60</f>
        <v>3</v>
      </c>
      <c r="G106" s="26">
        <f>'data 2019'!AB60</f>
        <v>15.55</v>
      </c>
      <c r="H106" s="26">
        <f>'data 2019'!AC60</f>
        <v>21.5</v>
      </c>
      <c r="I106" s="26">
        <f>'data 2019'!AD60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'data 2019'!X61</f>
        <v>460927</v>
      </c>
      <c r="D107" s="14">
        <f>'data 2019'!Y61</f>
        <v>2964656</v>
      </c>
      <c r="E107" s="14">
        <f>'data 2019'!Z61</f>
        <v>0</v>
      </c>
      <c r="F107" s="14">
        <f>'data 2019'!AA61</f>
        <v>313996</v>
      </c>
      <c r="G107" s="14">
        <f>'data 2019'!AB61</f>
        <v>1486524</v>
      </c>
      <c r="H107" s="14">
        <f>'data 2019'!AC61</f>
        <v>1182338</v>
      </c>
      <c r="I107" s="14">
        <f>'data 2019'!AD61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'data 2019'!X62</f>
        <v>101443</v>
      </c>
      <c r="D108" s="14">
        <f>'data 2019'!Y62</f>
        <v>652477</v>
      </c>
      <c r="E108" s="14">
        <f>'data 2019'!Z62</f>
        <v>0</v>
      </c>
      <c r="F108" s="14">
        <f>'data 2019'!AA62</f>
        <v>69106</v>
      </c>
      <c r="G108" s="14">
        <f>'data 2019'!AB62</f>
        <v>327162</v>
      </c>
      <c r="H108" s="14">
        <f>'data 2019'!AC62</f>
        <v>260215</v>
      </c>
      <c r="I108" s="14">
        <f>'data 2019'!AD62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'data 2019'!X63</f>
        <v>0</v>
      </c>
      <c r="D109" s="14">
        <f>'data 2019'!Y63</f>
        <v>2002718.5999999999</v>
      </c>
      <c r="E109" s="14">
        <f>'data 2019'!Z63</f>
        <v>0</v>
      </c>
      <c r="F109" s="14">
        <f>'data 2019'!AA63</f>
        <v>6543.5</v>
      </c>
      <c r="G109" s="14">
        <f>'data 2019'!AB63</f>
        <v>0</v>
      </c>
      <c r="H109" s="14">
        <f>'data 2019'!AC63</f>
        <v>130498.5</v>
      </c>
      <c r="I109" s="14">
        <f>'data 2019'!AD63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'data 2019'!X64</f>
        <v>166690.77000000002</v>
      </c>
      <c r="D110" s="14">
        <f>'data 2019'!Y64</f>
        <v>762098.96</v>
      </c>
      <c r="E110" s="14">
        <f>'data 2019'!Z64</f>
        <v>8456982.5800000001</v>
      </c>
      <c r="F110" s="14">
        <f>'data 2019'!AA64</f>
        <v>168345.54</v>
      </c>
      <c r="G110" s="14">
        <f>'data 2019'!AB64</f>
        <v>4385742.8099999996</v>
      </c>
      <c r="H110" s="14">
        <f>'data 2019'!AC64</f>
        <v>194900.62</v>
      </c>
      <c r="I110" s="14">
        <f>'data 2019'!AD64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'data 2019'!X65</f>
        <v>0</v>
      </c>
      <c r="D111" s="14">
        <f>'data 2019'!Y65</f>
        <v>0</v>
      </c>
      <c r="E111" s="14">
        <f>'data 2019'!Z65</f>
        <v>0</v>
      </c>
      <c r="F111" s="14">
        <f>'data 2019'!AA65</f>
        <v>0</v>
      </c>
      <c r="G111" s="14">
        <f>'data 2019'!AB65</f>
        <v>0</v>
      </c>
      <c r="H111" s="14">
        <f>'data 2019'!AC65</f>
        <v>-138</v>
      </c>
      <c r="I111" s="14">
        <f>'data 2019'!AD65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'data 2019'!X66</f>
        <v>319948.05</v>
      </c>
      <c r="D112" s="14">
        <f>'data 2019'!Y66</f>
        <v>1049233.8400000001</v>
      </c>
      <c r="E112" s="14">
        <f>'data 2019'!Z66</f>
        <v>597.19000000000005</v>
      </c>
      <c r="F112" s="14">
        <f>'data 2019'!AA66</f>
        <v>56863.62</v>
      </c>
      <c r="G112" s="14">
        <f>'data 2019'!AB66</f>
        <v>340584.07</v>
      </c>
      <c r="H112" s="14">
        <f>'data 2019'!AC66</f>
        <v>1724.85</v>
      </c>
      <c r="I112" s="14">
        <f>'data 2019'!AD66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'data 2019'!X67</f>
        <v>54162</v>
      </c>
      <c r="D113" s="14">
        <f>'data 2019'!Y67</f>
        <v>324631</v>
      </c>
      <c r="E113" s="14">
        <f>'data 2019'!Z67</f>
        <v>0</v>
      </c>
      <c r="F113" s="14">
        <f>'data 2019'!AA67</f>
        <v>72564</v>
      </c>
      <c r="G113" s="14">
        <f>'data 2019'!AB67</f>
        <v>95561</v>
      </c>
      <c r="H113" s="14">
        <f>'data 2019'!AC67</f>
        <v>69317</v>
      </c>
      <c r="I113" s="14">
        <f>'data 2019'!AD67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'data 2019'!X68</f>
        <v>781.75</v>
      </c>
      <c r="D114" s="14">
        <f>'data 2019'!Y68</f>
        <v>15991.72</v>
      </c>
      <c r="E114" s="14">
        <f>'data 2019'!Z68</f>
        <v>0</v>
      </c>
      <c r="F114" s="14">
        <f>'data 2019'!AA68</f>
        <v>750.98</v>
      </c>
      <c r="G114" s="14">
        <f>'data 2019'!AB68</f>
        <v>6750.84</v>
      </c>
      <c r="H114" s="14">
        <f>'data 2019'!AC68</f>
        <v>12140.18</v>
      </c>
      <c r="I114" s="14">
        <f>'data 2019'!AD68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'data 2019'!X69</f>
        <v>0</v>
      </c>
      <c r="D115" s="14">
        <f>'data 2019'!Y69</f>
        <v>3858.67</v>
      </c>
      <c r="E115" s="14">
        <f>'data 2019'!Z69</f>
        <v>0</v>
      </c>
      <c r="F115" s="14">
        <f>'data 2019'!AA69</f>
        <v>0</v>
      </c>
      <c r="G115" s="14">
        <f>'data 2019'!AB69</f>
        <v>4547.28</v>
      </c>
      <c r="H115" s="14">
        <f>'data 2019'!AC69</f>
        <v>0</v>
      </c>
      <c r="I115" s="14">
        <f>'data 2019'!AD69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-'data 2019'!X70</f>
        <v>0</v>
      </c>
      <c r="D116" s="14">
        <f>-'data 2019'!Y70</f>
        <v>0</v>
      </c>
      <c r="E116" s="14">
        <f>-'data 2019'!Z70</f>
        <v>0</v>
      </c>
      <c r="F116" s="14">
        <f>-'data 2019'!AA70</f>
        <v>0</v>
      </c>
      <c r="G116" s="14">
        <f>-'data 2019'!AB70</f>
        <v>-30677.02</v>
      </c>
      <c r="H116" s="14">
        <f>-'data 2019'!AC70</f>
        <v>0</v>
      </c>
      <c r="I116" s="14">
        <f>-'data 2019'!AD70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'data 2019'!X71</f>
        <v>1103952.57</v>
      </c>
      <c r="D117" s="14">
        <f>'data 2019'!Y71</f>
        <v>7775665.7899999991</v>
      </c>
      <c r="E117" s="14">
        <f>'data 2019'!Z71</f>
        <v>8457579.7699999996</v>
      </c>
      <c r="F117" s="14">
        <f>'data 2019'!AA71</f>
        <v>688169.64</v>
      </c>
      <c r="G117" s="14">
        <f>'data 2019'!AB71</f>
        <v>6616194.9800000004</v>
      </c>
      <c r="H117" s="14">
        <f>'data 2019'!AC71</f>
        <v>1850996.1500000001</v>
      </c>
      <c r="I117" s="14">
        <f>'data 2019'!AD71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+'data 2019'!M689</f>
        <v>1381988</v>
      </c>
      <c r="D119" s="48">
        <f>+'data 2019'!M690</f>
        <v>3010196</v>
      </c>
      <c r="E119" s="48">
        <f>+'data 2019'!M691</f>
        <v>2258399</v>
      </c>
      <c r="F119" s="48">
        <f>+'data 2019'!M692</f>
        <v>442948</v>
      </c>
      <c r="G119" s="48">
        <f>+'data 2019'!M693</f>
        <v>1964000</v>
      </c>
      <c r="H119" s="48">
        <f>+'data 2019'!M694</f>
        <v>1064618</v>
      </c>
      <c r="I119" s="48">
        <f>+'data 2019'!M695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'data 2019'!X73</f>
        <v>8749609.5999999996</v>
      </c>
      <c r="D120" s="14">
        <f>'data 2019'!Y73</f>
        <v>12919784.309999999</v>
      </c>
      <c r="E120" s="14">
        <f>'data 2019'!Z73</f>
        <v>817119.15</v>
      </c>
      <c r="F120" s="14">
        <f>'data 2019'!AA73</f>
        <v>677554.28</v>
      </c>
      <c r="G120" s="14">
        <f>'data 2019'!AB73</f>
        <v>18957604.600000001</v>
      </c>
      <c r="H120" s="14">
        <f>'data 2019'!AC73</f>
        <v>15935550.5</v>
      </c>
      <c r="I120" s="14">
        <f>'data 2019'!AD73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'data 2019'!X74</f>
        <v>28918198.210000001</v>
      </c>
      <c r="D121" s="14">
        <f>'data 2019'!Y74</f>
        <v>26319331.059999999</v>
      </c>
      <c r="E121" s="14">
        <f>'data 2019'!Z74</f>
        <v>42141985.420000002</v>
      </c>
      <c r="F121" s="14">
        <f>'data 2019'!AA74</f>
        <v>3630053.26</v>
      </c>
      <c r="G121" s="14">
        <f>'data 2019'!AB74</f>
        <v>12424071.880000001</v>
      </c>
      <c r="H121" s="14">
        <f>'data 2019'!AC74</f>
        <v>5407270.6500000004</v>
      </c>
      <c r="I121" s="14">
        <f>'data 2019'!AD74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'data 2019'!X75</f>
        <v>37667807.810000002</v>
      </c>
      <c r="D122" s="14">
        <f>'data 2019'!Y75</f>
        <v>39239115.369999997</v>
      </c>
      <c r="E122" s="14">
        <f>'data 2019'!Z75</f>
        <v>42959104.57</v>
      </c>
      <c r="F122" s="14">
        <f>'data 2019'!AA75</f>
        <v>4307607.54</v>
      </c>
      <c r="G122" s="14">
        <f>'data 2019'!AB75</f>
        <v>31381676.480000004</v>
      </c>
      <c r="H122" s="14">
        <f>'data 2019'!AC75</f>
        <v>21342821.149999999</v>
      </c>
      <c r="I122" s="14">
        <f>'data 2019'!AD75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'data 2019'!X76</f>
        <v>3170</v>
      </c>
      <c r="D124" s="14">
        <f>'data 2019'!Y76</f>
        <v>19000</v>
      </c>
      <c r="E124" s="14">
        <f>'data 2019'!Z76</f>
        <v>0</v>
      </c>
      <c r="F124" s="14">
        <f>'data 2019'!AA76</f>
        <v>4247</v>
      </c>
      <c r="G124" s="14">
        <f>'data 2019'!AB76</f>
        <v>5593</v>
      </c>
      <c r="H124" s="14">
        <f>'data 2019'!AC76</f>
        <v>4057</v>
      </c>
      <c r="I124" s="14">
        <f>'data 2019'!AD76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'data 2019'!X77</f>
        <v>0</v>
      </c>
      <c r="D125" s="14">
        <f>'data 2019'!Y77</f>
        <v>0</v>
      </c>
      <c r="E125" s="14">
        <f>'data 2019'!Z77</f>
        <v>0</v>
      </c>
      <c r="F125" s="14">
        <f>'data 2019'!AA77</f>
        <v>0</v>
      </c>
      <c r="G125" s="14">
        <f>'data 2019'!AB77</f>
        <v>0</v>
      </c>
      <c r="H125" s="14">
        <f>'data 2019'!AC77</f>
        <v>0</v>
      </c>
      <c r="I125" s="14">
        <f>'data 2019'!AD77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'data 2019'!X78</f>
        <v>437.73463513958313</v>
      </c>
      <c r="D126" s="14">
        <f>'data 2019'!Y78</f>
        <v>2623.6460781236842</v>
      </c>
      <c r="E126" s="14">
        <f>'data 2019'!Z78</f>
        <v>0</v>
      </c>
      <c r="F126" s="14">
        <f>'data 2019'!AA78</f>
        <v>586.4539417784888</v>
      </c>
      <c r="G126" s="14">
        <f>'data 2019'!AB78</f>
        <v>772.31855341819823</v>
      </c>
      <c r="H126" s="14">
        <f>'data 2019'!AC78</f>
        <v>560.21748099725198</v>
      </c>
      <c r="I126" s="14">
        <f>'data 2019'!AD78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'data 2019'!X79</f>
        <v>6605</v>
      </c>
      <c r="D127" s="14">
        <f>'data 2019'!Y79</f>
        <v>76684</v>
      </c>
      <c r="E127" s="14">
        <f>'data 2019'!Z79</f>
        <v>0</v>
      </c>
      <c r="F127" s="14">
        <f>'data 2019'!AA79</f>
        <v>12952</v>
      </c>
      <c r="G127" s="14">
        <f>'data 2019'!AB79</f>
        <v>0</v>
      </c>
      <c r="H127" s="14">
        <f>'data 2019'!AC79</f>
        <v>0</v>
      </c>
      <c r="I127" s="14">
        <f>'data 2019'!AD79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'data 2019'!X80</f>
        <v>0</v>
      </c>
      <c r="D128" s="26">
        <f>'data 2019'!Y80</f>
        <v>3.9</v>
      </c>
      <c r="E128" s="26">
        <f>'data 2019'!Z80</f>
        <v>0</v>
      </c>
      <c r="F128" s="26">
        <f>'data 2019'!AA80</f>
        <v>1</v>
      </c>
      <c r="G128" s="26">
        <f>'data 2019'!AB80</f>
        <v>0</v>
      </c>
      <c r="H128" s="26">
        <f>'data 2019'!AC80</f>
        <v>0</v>
      </c>
      <c r="I128" s="26">
        <f>'data 2019'!AD80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"&amp;'data 2019'!C84</f>
        <v>HOSPITAL NAME: RCCH Trios Health LLC</v>
      </c>
      <c r="B132" s="77"/>
      <c r="C132" s="77"/>
      <c r="D132" s="77"/>
      <c r="E132" s="77"/>
      <c r="F132" s="77"/>
      <c r="G132" s="80"/>
      <c r="H132" s="79" t="str">
        <f>"FYE: "&amp;'data 2019'!C82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'data 2019'!AE59</f>
        <v>14705</v>
      </c>
      <c r="D137" s="14">
        <f>'data 2019'!AF59</f>
        <v>0</v>
      </c>
      <c r="E137" s="14">
        <f>'data 2019'!AG59</f>
        <v>26844</v>
      </c>
      <c r="F137" s="14">
        <f>'data 2019'!AH59</f>
        <v>0</v>
      </c>
      <c r="G137" s="14">
        <f>'data 2019'!AI59</f>
        <v>30777</v>
      </c>
      <c r="H137" s="14">
        <f>'data 2019'!AJ59</f>
        <v>6554</v>
      </c>
      <c r="I137" s="14">
        <f>'data 2019'!AK59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'data 2019'!AE60</f>
        <v>7.5</v>
      </c>
      <c r="D138" s="26">
        <f>'data 2019'!AF60</f>
        <v>0</v>
      </c>
      <c r="E138" s="26">
        <f>'data 2019'!AG60</f>
        <v>53.58</v>
      </c>
      <c r="F138" s="26">
        <f>'data 2019'!AH60</f>
        <v>0</v>
      </c>
      <c r="G138" s="26">
        <f>'data 2019'!AI60</f>
        <v>25.43</v>
      </c>
      <c r="H138" s="26">
        <f>'data 2019'!AJ60</f>
        <v>8</v>
      </c>
      <c r="I138" s="26">
        <f>'data 2019'!AK60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'data 2019'!AE61</f>
        <v>456193</v>
      </c>
      <c r="D139" s="14">
        <f>'data 2019'!AF61</f>
        <v>0</v>
      </c>
      <c r="E139" s="14">
        <f>'data 2019'!AG61</f>
        <v>6941261</v>
      </c>
      <c r="F139" s="14">
        <f>'data 2019'!AH61</f>
        <v>0</v>
      </c>
      <c r="G139" s="14">
        <f>'data 2019'!AI61</f>
        <v>1743212</v>
      </c>
      <c r="H139" s="14">
        <f>'data 2019'!AJ61</f>
        <v>628851</v>
      </c>
      <c r="I139" s="14">
        <f>'data 2019'!AK61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'data 2019'!AE62</f>
        <v>100401</v>
      </c>
      <c r="D140" s="14">
        <f>'data 2019'!AF62</f>
        <v>0</v>
      </c>
      <c r="E140" s="14">
        <f>'data 2019'!AG62</f>
        <v>1527669</v>
      </c>
      <c r="F140" s="14">
        <f>'data 2019'!AH62</f>
        <v>0</v>
      </c>
      <c r="G140" s="14">
        <f>'data 2019'!AI62</f>
        <v>383655</v>
      </c>
      <c r="H140" s="14">
        <f>'data 2019'!AJ62</f>
        <v>138401</v>
      </c>
      <c r="I140" s="14">
        <f>'data 2019'!AK62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'data 2019'!AE63</f>
        <v>0</v>
      </c>
      <c r="D141" s="14">
        <f>'data 2019'!AF63</f>
        <v>0</v>
      </c>
      <c r="E141" s="14">
        <f>'data 2019'!AG63</f>
        <v>405683.55000000005</v>
      </c>
      <c r="F141" s="14">
        <f>'data 2019'!AH63</f>
        <v>0</v>
      </c>
      <c r="G141" s="14">
        <f>'data 2019'!AI63</f>
        <v>0</v>
      </c>
      <c r="H141" s="14">
        <f>'data 2019'!AJ63</f>
        <v>7254.38</v>
      </c>
      <c r="I141" s="14">
        <f>'data 2019'!AK63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'data 2019'!AE64</f>
        <v>847.09</v>
      </c>
      <c r="D142" s="14">
        <f>'data 2019'!AF64</f>
        <v>0</v>
      </c>
      <c r="E142" s="14">
        <f>'data 2019'!AG64</f>
        <v>525957.65</v>
      </c>
      <c r="F142" s="14">
        <f>'data 2019'!AH64</f>
        <v>0</v>
      </c>
      <c r="G142" s="14">
        <f>'data 2019'!AI64</f>
        <v>523126.17999999993</v>
      </c>
      <c r="H142" s="14">
        <f>'data 2019'!AJ64</f>
        <v>14335.27</v>
      </c>
      <c r="I142" s="14">
        <f>'data 2019'!AK64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'data 2019'!AE65</f>
        <v>828</v>
      </c>
      <c r="D143" s="14">
        <f>'data 2019'!AF65</f>
        <v>0</v>
      </c>
      <c r="E143" s="14">
        <f>'data 2019'!AG65</f>
        <v>5340</v>
      </c>
      <c r="F143" s="14">
        <f>'data 2019'!AH65</f>
        <v>0</v>
      </c>
      <c r="G143" s="14">
        <f>'data 2019'!AI65</f>
        <v>0</v>
      </c>
      <c r="H143" s="14">
        <f>'data 2019'!AJ65</f>
        <v>828</v>
      </c>
      <c r="I143" s="14">
        <f>'data 2019'!AK65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'data 2019'!AE66</f>
        <v>4530.6399999999994</v>
      </c>
      <c r="D144" s="14">
        <f>'data 2019'!AF66</f>
        <v>0</v>
      </c>
      <c r="E144" s="14">
        <f>'data 2019'!AG66</f>
        <v>469857.8</v>
      </c>
      <c r="F144" s="14">
        <f>'data 2019'!AH66</f>
        <v>0</v>
      </c>
      <c r="G144" s="14">
        <f>'data 2019'!AI66</f>
        <v>30032.149999999998</v>
      </c>
      <c r="H144" s="14">
        <f>'data 2019'!AJ66</f>
        <v>37683.71</v>
      </c>
      <c r="I144" s="14">
        <f>'data 2019'!AK66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'data 2019'!AE67</f>
        <v>139301</v>
      </c>
      <c r="D145" s="14">
        <f>'data 2019'!AF67</f>
        <v>0</v>
      </c>
      <c r="E145" s="14">
        <f>'data 2019'!AG67</f>
        <v>213778</v>
      </c>
      <c r="F145" s="14">
        <f>'data 2019'!AH67</f>
        <v>0</v>
      </c>
      <c r="G145" s="14">
        <f>'data 2019'!AI67</f>
        <v>432409</v>
      </c>
      <c r="H145" s="14">
        <f>'data 2019'!AJ67</f>
        <v>139933</v>
      </c>
      <c r="I145" s="14">
        <f>'data 2019'!AK67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'data 2019'!AE68</f>
        <v>680.13</v>
      </c>
      <c r="D146" s="14">
        <f>'data 2019'!AF68</f>
        <v>0</v>
      </c>
      <c r="E146" s="14">
        <f>'data 2019'!AG68</f>
        <v>30517.83</v>
      </c>
      <c r="F146" s="14">
        <f>'data 2019'!AH68</f>
        <v>0</v>
      </c>
      <c r="G146" s="14">
        <f>'data 2019'!AI68</f>
        <v>7610.28</v>
      </c>
      <c r="H146" s="14">
        <f>'data 2019'!AJ68</f>
        <v>34857.14</v>
      </c>
      <c r="I146" s="14">
        <f>'data 2019'!AK68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'data 2019'!AE69</f>
        <v>1873.4099999999999</v>
      </c>
      <c r="D147" s="14">
        <f>'data 2019'!AF69</f>
        <v>0</v>
      </c>
      <c r="E147" s="14">
        <f>'data 2019'!AG69</f>
        <v>80075.55</v>
      </c>
      <c r="F147" s="14">
        <f>'data 2019'!AH69</f>
        <v>0</v>
      </c>
      <c r="G147" s="14">
        <f>'data 2019'!AI69</f>
        <v>0</v>
      </c>
      <c r="H147" s="14">
        <f>'data 2019'!AJ69</f>
        <v>1938.2</v>
      </c>
      <c r="I147" s="14">
        <f>'data 2019'!AK69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-'data 2019'!AE70</f>
        <v>0</v>
      </c>
      <c r="D148" s="14">
        <f>-'data 2019'!AF70</f>
        <v>0</v>
      </c>
      <c r="E148" s="14">
        <f>-'data 2019'!AG70</f>
        <v>-713817.94</v>
      </c>
      <c r="F148" s="14">
        <f>-'data 2019'!AH70</f>
        <v>0</v>
      </c>
      <c r="G148" s="14">
        <f>-'data 2019'!AI70</f>
        <v>0</v>
      </c>
      <c r="H148" s="14">
        <f>-'data 2019'!AJ70</f>
        <v>0</v>
      </c>
      <c r="I148" s="14">
        <f>-'data 2019'!AK70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'data 2019'!AE71</f>
        <v>704654.27</v>
      </c>
      <c r="D149" s="14">
        <f>'data 2019'!AF71</f>
        <v>0</v>
      </c>
      <c r="E149" s="14">
        <f>'data 2019'!AG71</f>
        <v>9486322.4400000032</v>
      </c>
      <c r="F149" s="14">
        <f>'data 2019'!AH71</f>
        <v>0</v>
      </c>
      <c r="G149" s="14">
        <f>'data 2019'!AI71</f>
        <v>3120044.6099999994</v>
      </c>
      <c r="H149" s="14">
        <f>'data 2019'!AJ71</f>
        <v>1004081.7</v>
      </c>
      <c r="I149" s="14">
        <f>'data 2019'!AK71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+'data 2019'!M696</f>
        <v>579487</v>
      </c>
      <c r="D151" s="48">
        <f>+'data 2019'!M697</f>
        <v>0</v>
      </c>
      <c r="E151" s="48">
        <f>+'data 2019'!M698</f>
        <v>3336320</v>
      </c>
      <c r="F151" s="48">
        <f>+'data 2019'!M699</f>
        <v>0</v>
      </c>
      <c r="G151" s="48">
        <f>+'data 2019'!M700</f>
        <v>2226916</v>
      </c>
      <c r="H151" s="48">
        <f>+'data 2019'!M701</f>
        <v>772025</v>
      </c>
      <c r="I151" s="48">
        <f>+'data 2019'!M702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'data 2019'!AE73</f>
        <v>1506567.37</v>
      </c>
      <c r="D152" s="14">
        <f>'data 2019'!AF73</f>
        <v>0</v>
      </c>
      <c r="E152" s="14">
        <f>'data 2019'!AG73</f>
        <v>15816368.42</v>
      </c>
      <c r="F152" s="14">
        <f>'data 2019'!AH73</f>
        <v>0</v>
      </c>
      <c r="G152" s="14">
        <f>'data 2019'!AI73</f>
        <v>58420.5</v>
      </c>
      <c r="H152" s="14">
        <f>'data 2019'!AJ73</f>
        <v>691039.46</v>
      </c>
      <c r="I152" s="14">
        <f>'data 2019'!AK73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'data 2019'!AE74</f>
        <v>260180.79</v>
      </c>
      <c r="D153" s="14">
        <f>'data 2019'!AF74</f>
        <v>0</v>
      </c>
      <c r="E153" s="14">
        <f>'data 2019'!AG74</f>
        <v>34583444.049999997</v>
      </c>
      <c r="F153" s="14">
        <f>'data 2019'!AH74</f>
        <v>0</v>
      </c>
      <c r="G153" s="14">
        <f>'data 2019'!AI74</f>
        <v>10430623.140000001</v>
      </c>
      <c r="H153" s="14">
        <f>'data 2019'!AJ74</f>
        <v>4680944.76</v>
      </c>
      <c r="I153" s="14">
        <f>'data 2019'!AK74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'data 2019'!AE75</f>
        <v>1766748.1600000001</v>
      </c>
      <c r="D154" s="14">
        <f>'data 2019'!AF75</f>
        <v>0</v>
      </c>
      <c r="E154" s="14">
        <f>'data 2019'!AG75</f>
        <v>50399812.469999999</v>
      </c>
      <c r="F154" s="14">
        <f>'data 2019'!AH75</f>
        <v>0</v>
      </c>
      <c r="G154" s="14">
        <f>'data 2019'!AI75</f>
        <v>10489043.640000001</v>
      </c>
      <c r="H154" s="14">
        <f>'data 2019'!AJ75</f>
        <v>5371984.2199999997</v>
      </c>
      <c r="I154" s="14">
        <f>'data 2019'!AK75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'data 2019'!AE76</f>
        <v>8153</v>
      </c>
      <c r="D156" s="14">
        <f>'data 2019'!AF76</f>
        <v>0</v>
      </c>
      <c r="E156" s="14">
        <f>'data 2019'!AG76</f>
        <v>12512</v>
      </c>
      <c r="F156" s="14">
        <f>'data 2019'!AH76</f>
        <v>0</v>
      </c>
      <c r="G156" s="14">
        <f>'data 2019'!AI76</f>
        <v>25308</v>
      </c>
      <c r="H156" s="14">
        <f>'data 2019'!AJ76</f>
        <v>8190</v>
      </c>
      <c r="I156" s="14">
        <f>'data 2019'!AK76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'data 2019'!AE77</f>
        <v>0</v>
      </c>
      <c r="D157" s="14">
        <f>'data 2019'!AF77</f>
        <v>0</v>
      </c>
      <c r="E157" s="14">
        <f>'data 2019'!AG77</f>
        <v>509</v>
      </c>
      <c r="F157" s="14">
        <f>'data 2019'!AH77</f>
        <v>0</v>
      </c>
      <c r="G157" s="14">
        <f>'data 2019'!AI77</f>
        <v>1321</v>
      </c>
      <c r="H157" s="14">
        <f>'data 2019'!AJ77</f>
        <v>0</v>
      </c>
      <c r="I157" s="14">
        <f>'data 2019'!AK77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'data 2019'!AE78</f>
        <v>1125.8203407864421</v>
      </c>
      <c r="D158" s="14">
        <f>'data 2019'!AF78</f>
        <v>0</v>
      </c>
      <c r="E158" s="14">
        <f>'data 2019'!AG78</f>
        <v>1727.7399857622916</v>
      </c>
      <c r="F158" s="14">
        <f>'data 2019'!AH78</f>
        <v>0</v>
      </c>
      <c r="G158" s="14">
        <f>'data 2019'!AI78</f>
        <v>3494.6965760607477</v>
      </c>
      <c r="H158" s="14">
        <f>'data 2019'!AJ78</f>
        <v>1130.9295463069986</v>
      </c>
      <c r="I158" s="14">
        <f>'data 2019'!AK78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'data 2019'!AE79</f>
        <v>4557</v>
      </c>
      <c r="D159" s="14">
        <f>'data 2019'!AF79</f>
        <v>0</v>
      </c>
      <c r="E159" s="14">
        <f>'data 2019'!AG79</f>
        <v>76158</v>
      </c>
      <c r="F159" s="14">
        <f>'data 2019'!AH79</f>
        <v>0</v>
      </c>
      <c r="G159" s="14">
        <f>'data 2019'!AI79</f>
        <v>84616</v>
      </c>
      <c r="H159" s="14">
        <f>'data 2019'!AJ79</f>
        <v>16024</v>
      </c>
      <c r="I159" s="14">
        <f>'data 2019'!AK79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'data 2019'!AE80</f>
        <v>0.5</v>
      </c>
      <c r="D160" s="26">
        <f>'data 2019'!AF80</f>
        <v>0</v>
      </c>
      <c r="E160" s="26">
        <f>'data 2019'!AG80</f>
        <v>24.6</v>
      </c>
      <c r="F160" s="26">
        <f>'data 2019'!AH80</f>
        <v>0</v>
      </c>
      <c r="G160" s="26">
        <f>'data 2019'!AI80</f>
        <v>16.93</v>
      </c>
      <c r="H160" s="26">
        <f>'data 2019'!AJ80</f>
        <v>7</v>
      </c>
      <c r="I160" s="26">
        <f>'data 2019'!AK80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"&amp;'data 2019'!C84</f>
        <v>HOSPITAL NAME: RCCH Trios Health LLC</v>
      </c>
      <c r="B164" s="77"/>
      <c r="C164" s="77"/>
      <c r="D164" s="77"/>
      <c r="E164" s="77"/>
      <c r="F164" s="77"/>
      <c r="G164" s="80"/>
      <c r="H164" s="79" t="str">
        <f>"FYE: "&amp;'data 2019'!C82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'data 2019'!AL59</f>
        <v>2206</v>
      </c>
      <c r="D169" s="14">
        <f>'data 2019'!AM59</f>
        <v>0</v>
      </c>
      <c r="E169" s="14">
        <f>'data 2019'!AN59</f>
        <v>0</v>
      </c>
      <c r="F169" s="14">
        <f>'data 2019'!AO59</f>
        <v>0</v>
      </c>
      <c r="G169" s="14">
        <f>'data 2019'!AP59</f>
        <v>215110</v>
      </c>
      <c r="H169" s="14">
        <f>'data 2019'!AQ59</f>
        <v>0</v>
      </c>
      <c r="I169" s="14">
        <f>'data 2019'!AR59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'data 2019'!AL60</f>
        <v>0.5</v>
      </c>
      <c r="D170" s="26">
        <f>'data 2019'!AM60</f>
        <v>0</v>
      </c>
      <c r="E170" s="26">
        <f>'data 2019'!AN60</f>
        <v>0</v>
      </c>
      <c r="F170" s="26">
        <f>'data 2019'!AO60</f>
        <v>0</v>
      </c>
      <c r="G170" s="26">
        <f>'data 2019'!AP60</f>
        <v>243.62</v>
      </c>
      <c r="H170" s="26">
        <f>'data 2019'!AQ60</f>
        <v>0</v>
      </c>
      <c r="I170" s="26">
        <f>'data 2019'!AR60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'data 2019'!AL61</f>
        <v>95969</v>
      </c>
      <c r="D171" s="14">
        <f>'data 2019'!AM61</f>
        <v>0</v>
      </c>
      <c r="E171" s="14">
        <f>'data 2019'!AN61</f>
        <v>0</v>
      </c>
      <c r="F171" s="14">
        <f>'data 2019'!AO61</f>
        <v>0</v>
      </c>
      <c r="G171" s="14">
        <f>'data 2019'!AP61</f>
        <v>23314023</v>
      </c>
      <c r="H171" s="14">
        <f>'data 2019'!AQ61</f>
        <v>0</v>
      </c>
      <c r="I171" s="14">
        <f>'data 2019'!AR61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'data 2019'!AL62</f>
        <v>21121</v>
      </c>
      <c r="D172" s="14">
        <f>'data 2019'!AM62</f>
        <v>0</v>
      </c>
      <c r="E172" s="14">
        <f>'data 2019'!AN62</f>
        <v>0</v>
      </c>
      <c r="F172" s="14">
        <f>'data 2019'!AO62</f>
        <v>0</v>
      </c>
      <c r="G172" s="14">
        <f>'data 2019'!AP62</f>
        <v>5131073</v>
      </c>
      <c r="H172" s="14">
        <f>'data 2019'!AQ62</f>
        <v>0</v>
      </c>
      <c r="I172" s="14">
        <f>'data 2019'!AR62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'data 2019'!AL63</f>
        <v>12109.5</v>
      </c>
      <c r="D173" s="14">
        <f>'data 2019'!AM63</f>
        <v>0</v>
      </c>
      <c r="E173" s="14">
        <f>'data 2019'!AN63</f>
        <v>0</v>
      </c>
      <c r="F173" s="14">
        <f>'data 2019'!AO63</f>
        <v>0</v>
      </c>
      <c r="G173" s="14">
        <f>'data 2019'!AP63</f>
        <v>204901.77</v>
      </c>
      <c r="H173" s="14">
        <f>'data 2019'!AQ63</f>
        <v>0</v>
      </c>
      <c r="I173" s="14">
        <f>'data 2019'!AR63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'data 2019'!AL64</f>
        <v>1186.3900000000001</v>
      </c>
      <c r="D174" s="14">
        <f>'data 2019'!AM64</f>
        <v>0</v>
      </c>
      <c r="E174" s="14">
        <f>'data 2019'!AN64</f>
        <v>0</v>
      </c>
      <c r="F174" s="14">
        <f>'data 2019'!AO64</f>
        <v>0</v>
      </c>
      <c r="G174" s="14">
        <f>'data 2019'!AP64</f>
        <v>944176.71999999986</v>
      </c>
      <c r="H174" s="14">
        <f>'data 2019'!AQ64</f>
        <v>0</v>
      </c>
      <c r="I174" s="14">
        <f>'data 2019'!AR64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'data 2019'!AL65</f>
        <v>0</v>
      </c>
      <c r="D175" s="14">
        <f>'data 2019'!AM65</f>
        <v>0</v>
      </c>
      <c r="E175" s="14">
        <f>'data 2019'!AN65</f>
        <v>0</v>
      </c>
      <c r="F175" s="14">
        <f>'data 2019'!AO65</f>
        <v>0</v>
      </c>
      <c r="G175" s="14">
        <f>'data 2019'!AP65</f>
        <v>380852.2</v>
      </c>
      <c r="H175" s="14">
        <f>'data 2019'!AQ65</f>
        <v>0</v>
      </c>
      <c r="I175" s="14">
        <f>'data 2019'!AR65</f>
        <v>7186.69</v>
      </c>
    </row>
    <row r="176" spans="1:9" ht="20.100000000000001" customHeight="1" x14ac:dyDescent="0.25">
      <c r="A176" s="23">
        <v>11</v>
      </c>
      <c r="B176" s="14" t="s">
        <v>445</v>
      </c>
      <c r="C176" s="14">
        <f>'data 2019'!AL66</f>
        <v>434.69</v>
      </c>
      <c r="D176" s="14">
        <f>'data 2019'!AM66</f>
        <v>0</v>
      </c>
      <c r="E176" s="14">
        <f>'data 2019'!AN66</f>
        <v>0</v>
      </c>
      <c r="F176" s="14">
        <f>'data 2019'!AO66</f>
        <v>0</v>
      </c>
      <c r="G176" s="14">
        <f>'data 2019'!AP66</f>
        <v>3507385.63</v>
      </c>
      <c r="H176" s="14">
        <f>'data 2019'!AQ66</f>
        <v>0</v>
      </c>
      <c r="I176" s="14">
        <f>'data 2019'!AR66</f>
        <v>324</v>
      </c>
    </row>
    <row r="177" spans="1:9" ht="20.100000000000001" customHeight="1" x14ac:dyDescent="0.25">
      <c r="A177" s="23">
        <v>12</v>
      </c>
      <c r="B177" s="14" t="s">
        <v>6</v>
      </c>
      <c r="C177" s="14">
        <f>'data 2019'!AL67</f>
        <v>3417</v>
      </c>
      <c r="D177" s="14">
        <f>'data 2019'!AM67</f>
        <v>0</v>
      </c>
      <c r="E177" s="14">
        <f>'data 2019'!AN67</f>
        <v>0</v>
      </c>
      <c r="F177" s="14">
        <f>'data 2019'!AO67</f>
        <v>0</v>
      </c>
      <c r="G177" s="14">
        <f>'data 2019'!AP67</f>
        <v>1836335</v>
      </c>
      <c r="H177" s="14">
        <f>'data 2019'!AQ67</f>
        <v>0</v>
      </c>
      <c r="I177" s="14">
        <f>'data 2019'!AR67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'data 2019'!AL68</f>
        <v>0</v>
      </c>
      <c r="D178" s="14">
        <f>'data 2019'!AM68</f>
        <v>0</v>
      </c>
      <c r="E178" s="14">
        <f>'data 2019'!AN68</f>
        <v>0</v>
      </c>
      <c r="F178" s="14">
        <f>'data 2019'!AO68</f>
        <v>0</v>
      </c>
      <c r="G178" s="14">
        <f>'data 2019'!AP68</f>
        <v>641638.14999999991</v>
      </c>
      <c r="H178" s="14">
        <f>'data 2019'!AQ68</f>
        <v>0</v>
      </c>
      <c r="I178" s="14">
        <f>'data 2019'!AR68</f>
        <v>-115.17</v>
      </c>
    </row>
    <row r="179" spans="1:9" ht="20.100000000000001" customHeight="1" x14ac:dyDescent="0.25">
      <c r="A179" s="23">
        <v>14</v>
      </c>
      <c r="B179" s="14" t="s">
        <v>241</v>
      </c>
      <c r="C179" s="14">
        <f>'data 2019'!AL69</f>
        <v>239.43</v>
      </c>
      <c r="D179" s="14">
        <f>'data 2019'!AM69</f>
        <v>0</v>
      </c>
      <c r="E179" s="14">
        <f>'data 2019'!AN69</f>
        <v>0</v>
      </c>
      <c r="F179" s="14">
        <f>'data 2019'!AO69</f>
        <v>0</v>
      </c>
      <c r="G179" s="14">
        <f>'data 2019'!AP69</f>
        <v>286341.84000000003</v>
      </c>
      <c r="H179" s="14">
        <f>'data 2019'!AQ69</f>
        <v>0</v>
      </c>
      <c r="I179" s="14">
        <f>'data 2019'!AR69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-'data 2019'!AL70</f>
        <v>0</v>
      </c>
      <c r="D180" s="14">
        <f>-'data 2019'!AM70</f>
        <v>0</v>
      </c>
      <c r="E180" s="14">
        <f>-'data 2019'!AN70</f>
        <v>0</v>
      </c>
      <c r="F180" s="14">
        <f>-'data 2019'!AO70</f>
        <v>0</v>
      </c>
      <c r="G180" s="14">
        <f>-'data 2019'!AP70</f>
        <v>-358858</v>
      </c>
      <c r="H180" s="14">
        <f>-'data 2019'!AQ70</f>
        <v>0</v>
      </c>
      <c r="I180" s="14">
        <f>-'data 2019'!AR70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'data 2019'!AL71</f>
        <v>134477.01</v>
      </c>
      <c r="D181" s="14">
        <f>'data 2019'!AM71</f>
        <v>0</v>
      </c>
      <c r="E181" s="14">
        <f>'data 2019'!AN71</f>
        <v>0</v>
      </c>
      <c r="F181" s="14">
        <f>'data 2019'!AO71</f>
        <v>0</v>
      </c>
      <c r="G181" s="14">
        <f>'data 2019'!AP71</f>
        <v>35887869.309999995</v>
      </c>
      <c r="H181" s="14">
        <f>'data 2019'!AQ71</f>
        <v>0</v>
      </c>
      <c r="I181" s="14">
        <f>'data 2019'!AR71</f>
        <v>7395.5199999999995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+'data 2019'!M703</f>
        <v>39629</v>
      </c>
      <c r="D183" s="48">
        <f>+'data 2019'!M704</f>
        <v>0</v>
      </c>
      <c r="E183" s="48">
        <f>+'data 2019'!M705</f>
        <v>0</v>
      </c>
      <c r="F183" s="48">
        <f>+'data 2019'!M706</f>
        <v>0</v>
      </c>
      <c r="G183" s="48">
        <f>+'data 2019'!M707</f>
        <v>11345245</v>
      </c>
      <c r="H183" s="48">
        <f>+'data 2019'!M708</f>
        <v>0</v>
      </c>
      <c r="I183" s="48">
        <f>+'data 2019'!M709</f>
        <v>574</v>
      </c>
    </row>
    <row r="184" spans="1:9" ht="20.100000000000001" customHeight="1" x14ac:dyDescent="0.25">
      <c r="A184" s="23">
        <v>19</v>
      </c>
      <c r="B184" s="48" t="s">
        <v>1182</v>
      </c>
      <c r="C184" s="14">
        <f>'data 2019'!AL73</f>
        <v>427211.77</v>
      </c>
      <c r="D184" s="14">
        <f>'data 2019'!AM73</f>
        <v>0</v>
      </c>
      <c r="E184" s="14">
        <f>'data 2019'!AN73</f>
        <v>0</v>
      </c>
      <c r="F184" s="14">
        <f>'data 2019'!AO73</f>
        <v>0</v>
      </c>
      <c r="G184" s="14">
        <f>'data 2019'!AP73</f>
        <v>0</v>
      </c>
      <c r="H184" s="14">
        <f>'data 2019'!AQ73</f>
        <v>0</v>
      </c>
      <c r="I184" s="14">
        <f>'data 2019'!AR73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'data 2019'!AL74</f>
        <v>144555.87</v>
      </c>
      <c r="D185" s="14">
        <f>'data 2019'!AM74</f>
        <v>0</v>
      </c>
      <c r="E185" s="14">
        <f>'data 2019'!AN74</f>
        <v>0</v>
      </c>
      <c r="F185" s="14">
        <f>'data 2019'!AO74</f>
        <v>0</v>
      </c>
      <c r="G185" s="14">
        <f>'data 2019'!AP74</f>
        <v>64663609.57</v>
      </c>
      <c r="H185" s="14">
        <f>'data 2019'!AQ74</f>
        <v>0</v>
      </c>
      <c r="I185" s="14">
        <f>'data 2019'!AR74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'data 2019'!AL75</f>
        <v>571767.64</v>
      </c>
      <c r="D186" s="14">
        <f>'data 2019'!AM75</f>
        <v>0</v>
      </c>
      <c r="E186" s="14">
        <f>'data 2019'!AN75</f>
        <v>0</v>
      </c>
      <c r="F186" s="14">
        <f>'data 2019'!AO75</f>
        <v>0</v>
      </c>
      <c r="G186" s="14">
        <f>'data 2019'!AP75</f>
        <v>64663609.57</v>
      </c>
      <c r="H186" s="14">
        <f>'data 2019'!AQ75</f>
        <v>0</v>
      </c>
      <c r="I186" s="14">
        <f>'data 2019'!AR75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'data 2019'!AL76</f>
        <v>200</v>
      </c>
      <c r="D188" s="14">
        <f>'data 2019'!AM76</f>
        <v>0</v>
      </c>
      <c r="E188" s="14">
        <f>'data 2019'!AN76</f>
        <v>0</v>
      </c>
      <c r="F188" s="14">
        <f>'data 2019'!AO76</f>
        <v>0</v>
      </c>
      <c r="G188" s="14">
        <f>'data 2019'!AP76</f>
        <v>107477</v>
      </c>
      <c r="H188" s="14">
        <f>'data 2019'!AQ76</f>
        <v>0</v>
      </c>
      <c r="I188" s="14">
        <f>'data 2019'!AR76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'data 2019'!AL77</f>
        <v>0</v>
      </c>
      <c r="D189" s="14">
        <f>'data 2019'!AM77</f>
        <v>0</v>
      </c>
      <c r="E189" s="14">
        <f>'data 2019'!AN77</f>
        <v>0</v>
      </c>
      <c r="F189" s="14">
        <f>'data 2019'!AO77</f>
        <v>0</v>
      </c>
      <c r="G189" s="14">
        <f>'data 2019'!AP77</f>
        <v>0</v>
      </c>
      <c r="H189" s="14">
        <f>'data 2019'!AQ77</f>
        <v>0</v>
      </c>
      <c r="I189" s="14">
        <f>'data 2019'!AR77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'data 2019'!AL78</f>
        <v>27.617327138144045</v>
      </c>
      <c r="D190" s="14">
        <f>'data 2019'!AM78</f>
        <v>0</v>
      </c>
      <c r="E190" s="14">
        <f>'data 2019'!AN78</f>
        <v>0</v>
      </c>
      <c r="F190" s="14">
        <f>'data 2019'!AO78</f>
        <v>0</v>
      </c>
      <c r="G190" s="14">
        <f>'data 2019'!AP78</f>
        <v>14841.137344131537</v>
      </c>
      <c r="H190" s="14">
        <f>'data 2019'!AQ78</f>
        <v>0</v>
      </c>
      <c r="I190" s="14">
        <f>'data 2019'!AR78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'data 2019'!AL79</f>
        <v>0</v>
      </c>
      <c r="D191" s="14">
        <f>'data 2019'!AM79</f>
        <v>0</v>
      </c>
      <c r="E191" s="14">
        <f>'data 2019'!AN79</f>
        <v>0</v>
      </c>
      <c r="F191" s="14">
        <f>'data 2019'!AO79</f>
        <v>0</v>
      </c>
      <c r="G191" s="14">
        <f>'data 2019'!AP79</f>
        <v>0</v>
      </c>
      <c r="H191" s="14">
        <f>'data 2019'!AQ79</f>
        <v>0</v>
      </c>
      <c r="I191" s="14">
        <f>'data 2019'!AR79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'data 2019'!AL80</f>
        <v>0</v>
      </c>
      <c r="D192" s="26">
        <f>'data 2019'!AM80</f>
        <v>0</v>
      </c>
      <c r="E192" s="26">
        <f>'data 2019'!AN80</f>
        <v>0</v>
      </c>
      <c r="F192" s="26">
        <f>'data 2019'!AO80</f>
        <v>0</v>
      </c>
      <c r="G192" s="26">
        <f>'data 2019'!AP80</f>
        <v>0.9</v>
      </c>
      <c r="H192" s="26">
        <f>'data 2019'!AQ80</f>
        <v>0</v>
      </c>
      <c r="I192" s="26">
        <f>'data 2019'!AR80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"&amp;'data 2019'!C84</f>
        <v>HOSPITAL NAME: RCCH Trios Health LLC</v>
      </c>
      <c r="B196" s="77"/>
      <c r="C196" s="77"/>
      <c r="D196" s="77"/>
      <c r="E196" s="77"/>
      <c r="F196" s="77"/>
      <c r="G196" s="80"/>
      <c r="H196" s="79" t="str">
        <f>"FYE: "&amp;'data 2019'!C82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'data 2019'!AS59</f>
        <v>0</v>
      </c>
      <c r="D201" s="14">
        <f>'data 2019'!AT59</f>
        <v>0</v>
      </c>
      <c r="E201" s="14">
        <f>'data 2019'!AU59</f>
        <v>0</v>
      </c>
      <c r="F201" s="212"/>
      <c r="G201" s="212"/>
      <c r="H201" s="212"/>
      <c r="I201" s="14">
        <f>'data 2019'!AY59</f>
        <v>343945</v>
      </c>
    </row>
    <row r="202" spans="1:9" ht="20.100000000000001" customHeight="1" x14ac:dyDescent="0.25">
      <c r="A202" s="23">
        <v>5</v>
      </c>
      <c r="B202" s="14" t="s">
        <v>234</v>
      </c>
      <c r="C202" s="26">
        <f>'data 2019'!AS60</f>
        <v>0</v>
      </c>
      <c r="D202" s="26">
        <f>'data 2019'!AT60</f>
        <v>0</v>
      </c>
      <c r="E202" s="26">
        <f>'data 2019'!AU60</f>
        <v>0</v>
      </c>
      <c r="F202" s="26">
        <f>'data 2019'!AV60</f>
        <v>0</v>
      </c>
      <c r="G202" s="26">
        <f>'data 2019'!AW60</f>
        <v>37.5</v>
      </c>
      <c r="H202" s="26">
        <f>'data 2019'!AX60</f>
        <v>0</v>
      </c>
      <c r="I202" s="26">
        <f>'data 2019'!AY60</f>
        <v>25.15</v>
      </c>
    </row>
    <row r="203" spans="1:9" ht="20.100000000000001" customHeight="1" x14ac:dyDescent="0.25">
      <c r="A203" s="23">
        <v>6</v>
      </c>
      <c r="B203" s="14" t="s">
        <v>235</v>
      </c>
      <c r="C203" s="14">
        <f>'data 2019'!AS61</f>
        <v>0</v>
      </c>
      <c r="D203" s="14">
        <f>'data 2019'!AT61</f>
        <v>0</v>
      </c>
      <c r="E203" s="14">
        <f>'data 2019'!AU61</f>
        <v>0</v>
      </c>
      <c r="F203" s="14">
        <f>'data 2019'!AV61</f>
        <v>0</v>
      </c>
      <c r="G203" s="14">
        <f>'data 2019'!AW61</f>
        <v>2002824</v>
      </c>
      <c r="H203" s="14">
        <f>'data 2019'!AX61</f>
        <v>0</v>
      </c>
      <c r="I203" s="14">
        <f>'data 2019'!AY61</f>
        <v>862041</v>
      </c>
    </row>
    <row r="204" spans="1:9" ht="20.100000000000001" customHeight="1" x14ac:dyDescent="0.25">
      <c r="A204" s="23">
        <v>7</v>
      </c>
      <c r="B204" s="14" t="s">
        <v>3</v>
      </c>
      <c r="C204" s="14">
        <f>'data 2019'!AS62</f>
        <v>0</v>
      </c>
      <c r="D204" s="14">
        <f>'data 2019'!AT62</f>
        <v>0</v>
      </c>
      <c r="E204" s="14">
        <f>'data 2019'!AU62</f>
        <v>0</v>
      </c>
      <c r="F204" s="14">
        <f>'data 2019'!AV62</f>
        <v>0</v>
      </c>
      <c r="G204" s="14">
        <f>'data 2019'!AW62</f>
        <v>440792</v>
      </c>
      <c r="H204" s="14">
        <f>'data 2019'!AX62</f>
        <v>0</v>
      </c>
      <c r="I204" s="14">
        <f>'data 2019'!AY62</f>
        <v>189723</v>
      </c>
    </row>
    <row r="205" spans="1:9" ht="20.100000000000001" customHeight="1" x14ac:dyDescent="0.25">
      <c r="A205" s="23">
        <v>8</v>
      </c>
      <c r="B205" s="14" t="s">
        <v>236</v>
      </c>
      <c r="C205" s="14">
        <f>'data 2019'!AS63</f>
        <v>0</v>
      </c>
      <c r="D205" s="14">
        <f>'data 2019'!AT63</f>
        <v>0</v>
      </c>
      <c r="E205" s="14">
        <f>'data 2019'!AU63</f>
        <v>0</v>
      </c>
      <c r="F205" s="14">
        <f>'data 2019'!AV63</f>
        <v>0</v>
      </c>
      <c r="G205" s="14">
        <f>'data 2019'!AW63</f>
        <v>41500</v>
      </c>
      <c r="H205" s="14">
        <f>'data 2019'!AX63</f>
        <v>0</v>
      </c>
      <c r="I205" s="14">
        <f>'data 2019'!AY63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'data 2019'!AS64</f>
        <v>0</v>
      </c>
      <c r="D206" s="14">
        <f>'data 2019'!AT64</f>
        <v>0</v>
      </c>
      <c r="E206" s="14">
        <f>'data 2019'!AU64</f>
        <v>0</v>
      </c>
      <c r="F206" s="14">
        <f>'data 2019'!AV64</f>
        <v>0</v>
      </c>
      <c r="G206" s="14">
        <f>'data 2019'!AW64</f>
        <v>47202.51</v>
      </c>
      <c r="H206" s="14">
        <f>'data 2019'!AX64</f>
        <v>0</v>
      </c>
      <c r="I206" s="14">
        <f>'data 2019'!AY64</f>
        <v>459538.73</v>
      </c>
    </row>
    <row r="207" spans="1:9" ht="20.100000000000001" customHeight="1" x14ac:dyDescent="0.25">
      <c r="A207" s="23">
        <v>10</v>
      </c>
      <c r="B207" s="14" t="s">
        <v>444</v>
      </c>
      <c r="C207" s="14">
        <f>'data 2019'!AS65</f>
        <v>0</v>
      </c>
      <c r="D207" s="14">
        <f>'data 2019'!AT65</f>
        <v>0</v>
      </c>
      <c r="E207" s="14">
        <f>'data 2019'!AU65</f>
        <v>0</v>
      </c>
      <c r="F207" s="14">
        <f>'data 2019'!AV65</f>
        <v>0</v>
      </c>
      <c r="G207" s="14">
        <f>'data 2019'!AW65</f>
        <v>0</v>
      </c>
      <c r="H207" s="14">
        <f>'data 2019'!AX65</f>
        <v>0</v>
      </c>
      <c r="I207" s="14">
        <f>'data 2019'!AY65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'data 2019'!AS66</f>
        <v>0</v>
      </c>
      <c r="D208" s="14">
        <f>'data 2019'!AT66</f>
        <v>0</v>
      </c>
      <c r="E208" s="14">
        <f>'data 2019'!AU66</f>
        <v>0</v>
      </c>
      <c r="F208" s="14">
        <f>'data 2019'!AV66</f>
        <v>0</v>
      </c>
      <c r="G208" s="14">
        <f>'data 2019'!AW66</f>
        <v>7679.74</v>
      </c>
      <c r="H208" s="14">
        <f>'data 2019'!AX66</f>
        <v>0</v>
      </c>
      <c r="I208" s="14">
        <f>'data 2019'!AY66</f>
        <v>29281.8</v>
      </c>
    </row>
    <row r="209" spans="1:9" ht="20.100000000000001" customHeight="1" x14ac:dyDescent="0.25">
      <c r="A209" s="23">
        <v>12</v>
      </c>
      <c r="B209" s="14" t="s">
        <v>6</v>
      </c>
      <c r="C209" s="14">
        <f>'data 2019'!AS67</f>
        <v>0</v>
      </c>
      <c r="D209" s="14">
        <f>'data 2019'!AT67</f>
        <v>0</v>
      </c>
      <c r="E209" s="14">
        <f>'data 2019'!AU67</f>
        <v>0</v>
      </c>
      <c r="F209" s="14">
        <f>'data 2019'!AV67</f>
        <v>0</v>
      </c>
      <c r="G209" s="14">
        <f>'data 2019'!AW67</f>
        <v>23835</v>
      </c>
      <c r="H209" s="14">
        <f>'data 2019'!AX67</f>
        <v>0</v>
      </c>
      <c r="I209" s="14">
        <f>'data 2019'!AY67</f>
        <v>177676</v>
      </c>
    </row>
    <row r="210" spans="1:9" ht="20.100000000000001" customHeight="1" x14ac:dyDescent="0.25">
      <c r="A210" s="23">
        <v>13</v>
      </c>
      <c r="B210" s="14" t="s">
        <v>474</v>
      </c>
      <c r="C210" s="14">
        <f>'data 2019'!AS68</f>
        <v>0</v>
      </c>
      <c r="D210" s="14">
        <f>'data 2019'!AT68</f>
        <v>0</v>
      </c>
      <c r="E210" s="14">
        <f>'data 2019'!AU68</f>
        <v>0</v>
      </c>
      <c r="F210" s="14">
        <f>'data 2019'!AV68</f>
        <v>0</v>
      </c>
      <c r="G210" s="14">
        <f>'data 2019'!AW68</f>
        <v>3284.54</v>
      </c>
      <c r="H210" s="14">
        <f>'data 2019'!AX68</f>
        <v>0</v>
      </c>
      <c r="I210" s="14">
        <f>'data 2019'!AY68</f>
        <v>1892.89</v>
      </c>
    </row>
    <row r="211" spans="1:9" ht="20.100000000000001" customHeight="1" x14ac:dyDescent="0.25">
      <c r="A211" s="23">
        <v>14</v>
      </c>
      <c r="B211" s="14" t="s">
        <v>241</v>
      </c>
      <c r="C211" s="14">
        <f>'data 2019'!AS69</f>
        <v>0</v>
      </c>
      <c r="D211" s="14">
        <f>'data 2019'!AT69</f>
        <v>0</v>
      </c>
      <c r="E211" s="14">
        <f>'data 2019'!AU69</f>
        <v>0</v>
      </c>
      <c r="F211" s="14">
        <f>'data 2019'!AV69</f>
        <v>0</v>
      </c>
      <c r="G211" s="14">
        <f>'data 2019'!AW69</f>
        <v>33475.21</v>
      </c>
      <c r="H211" s="14">
        <f>'data 2019'!AX69</f>
        <v>0</v>
      </c>
      <c r="I211" s="14">
        <f>'data 2019'!AY69</f>
        <v>1055.81</v>
      </c>
    </row>
    <row r="212" spans="1:9" ht="20.100000000000001" customHeight="1" x14ac:dyDescent="0.25">
      <c r="A212" s="23">
        <v>15</v>
      </c>
      <c r="B212" s="14" t="s">
        <v>242</v>
      </c>
      <c r="C212" s="14">
        <f>-'data 2019'!AS70</f>
        <v>0</v>
      </c>
      <c r="D212" s="14">
        <f>-'data 2019'!AT70</f>
        <v>0</v>
      </c>
      <c r="E212" s="14">
        <f>-'data 2019'!AU70</f>
        <v>0</v>
      </c>
      <c r="F212" s="14">
        <f>-'data 2019'!AV70</f>
        <v>0</v>
      </c>
      <c r="G212" s="14">
        <f>-'data 2019'!AW70</f>
        <v>-51625</v>
      </c>
      <c r="H212" s="14">
        <f>-'data 2019'!AX70</f>
        <v>0</v>
      </c>
      <c r="I212" s="14">
        <f>-'data 2019'!AY70</f>
        <v>-444566.83</v>
      </c>
    </row>
    <row r="213" spans="1:9" ht="20.100000000000001" customHeight="1" x14ac:dyDescent="0.25">
      <c r="A213" s="23">
        <v>16</v>
      </c>
      <c r="B213" s="48" t="s">
        <v>1180</v>
      </c>
      <c r="C213" s="14">
        <f>'data 2019'!AS71</f>
        <v>0</v>
      </c>
      <c r="D213" s="14">
        <f>'data 2019'!AT71</f>
        <v>0</v>
      </c>
      <c r="E213" s="14">
        <f>'data 2019'!AU71</f>
        <v>0</v>
      </c>
      <c r="F213" s="14">
        <f>'data 2019'!AV71</f>
        <v>0</v>
      </c>
      <c r="G213" s="14">
        <f>'data 2019'!AW71</f>
        <v>2548968</v>
      </c>
      <c r="H213" s="14">
        <f>'data 2019'!AX71</f>
        <v>0</v>
      </c>
      <c r="I213" s="14">
        <f>'data 2019'!AY71</f>
        <v>1276642.3999999999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+'data 2019'!M710</f>
        <v>0</v>
      </c>
      <c r="D215" s="48">
        <f>+'data 2019'!M711</f>
        <v>0</v>
      </c>
      <c r="E215" s="48">
        <f>+'data 2019'!M712</f>
        <v>0</v>
      </c>
      <c r="F215" s="48">
        <f>+'data 2019'!M713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'data 2019'!AS73</f>
        <v>0</v>
      </c>
      <c r="D216" s="14">
        <f>'data 2019'!AT73</f>
        <v>0</v>
      </c>
      <c r="E216" s="14">
        <f>'data 2019'!AU73</f>
        <v>0</v>
      </c>
      <c r="F216" s="14">
        <f>'data 2019'!AV73</f>
        <v>0</v>
      </c>
      <c r="G216" s="213" t="str">
        <f>IF('data 2019'!AW73&gt;0,'data 2019'!AW73,"")</f>
        <v>x</v>
      </c>
      <c r="H216" s="213" t="str">
        <f>IF('data 2019'!AX73&gt;0,'data 2019'!AX73,"")</f>
        <v>x</v>
      </c>
      <c r="I216" s="213" t="str">
        <f>IF('data 2019'!AY73&gt;0,'data 2019'!AY73,"")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'data 2019'!AS74</f>
        <v>0</v>
      </c>
      <c r="D217" s="14">
        <f>'data 2019'!AT74</f>
        <v>0</v>
      </c>
      <c r="E217" s="14">
        <f>'data 2019'!AU74</f>
        <v>0</v>
      </c>
      <c r="F217" s="14">
        <f>'data 2019'!AV74</f>
        <v>0</v>
      </c>
      <c r="G217" s="213" t="str">
        <f>IF('data 2019'!AW74&gt;0,'data 2019'!AW74,"")</f>
        <v>x</v>
      </c>
      <c r="H217" s="213" t="str">
        <f>IF('data 2019'!AX74&gt;0,'data 2019'!AX74,"")</f>
        <v>x</v>
      </c>
      <c r="I217" s="213" t="str">
        <f>IF('data 2019'!AY74&gt;0,'data 2019'!AY74,"")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'data 2019'!AS75</f>
        <v>0</v>
      </c>
      <c r="D218" s="14">
        <f>'data 2019'!AT75</f>
        <v>0</v>
      </c>
      <c r="E218" s="14">
        <f>'data 2019'!AU75</f>
        <v>0</v>
      </c>
      <c r="F218" s="14">
        <f>'data 2019'!AV75</f>
        <v>0</v>
      </c>
      <c r="G218" s="213" t="str">
        <f>IF('data 2019'!AW75&gt;0,'data 2019'!AW75,"")</f>
        <v>x</v>
      </c>
      <c r="H218" s="213" t="str">
        <f>IF('data 2019'!AX75&gt;0,'data 2019'!AX75,"")</f>
        <v>x</v>
      </c>
      <c r="I218" s="213" t="str">
        <f>IF('data 2019'!AY75&gt;0,'data 2019'!AY75,"")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'data 2019'!AS76</f>
        <v>0</v>
      </c>
      <c r="D220" s="14">
        <f>'data 2019'!AT76</f>
        <v>0</v>
      </c>
      <c r="E220" s="14">
        <f>'data 2019'!AU76</f>
        <v>0</v>
      </c>
      <c r="F220" s="14">
        <f>'data 2019'!AV76</f>
        <v>0</v>
      </c>
      <c r="G220" s="14">
        <f>'data 2019'!AW76</f>
        <v>1395</v>
      </c>
      <c r="H220" s="14">
        <f>'data 2019'!AX76</f>
        <v>0</v>
      </c>
      <c r="I220" s="85">
        <f>'data 2019'!AY76</f>
        <v>10399</v>
      </c>
    </row>
    <row r="221" spans="1:9" ht="20.100000000000001" customHeight="1" x14ac:dyDescent="0.25">
      <c r="A221" s="23">
        <v>23</v>
      </c>
      <c r="B221" s="14" t="s">
        <v>1187</v>
      </c>
      <c r="C221" s="14">
        <f>'data 2019'!AS77</f>
        <v>0</v>
      </c>
      <c r="D221" s="14">
        <f>'data 2019'!AT77</f>
        <v>0</v>
      </c>
      <c r="E221" s="14">
        <f>'data 2019'!AU77</f>
        <v>0</v>
      </c>
      <c r="F221" s="14">
        <f>'data 2019'!AV77</f>
        <v>0</v>
      </c>
      <c r="G221" s="14">
        <f>'data 2019'!AW77</f>
        <v>0</v>
      </c>
      <c r="H221" s="213" t="str">
        <f>IF('data 2019'!AX77&gt;0,'data 2019'!AX77,"")</f>
        <v>x</v>
      </c>
      <c r="I221" s="213" t="str">
        <f>IF('data 2019'!AY77&gt;0,'data 2019'!AY77,"")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'data 2019'!AS78</f>
        <v>0</v>
      </c>
      <c r="D222" s="14">
        <f>'data 2019'!AT78</f>
        <v>0</v>
      </c>
      <c r="E222" s="14">
        <f>'data 2019'!AU78</f>
        <v>0</v>
      </c>
      <c r="F222" s="14">
        <f>'data 2019'!AV78</f>
        <v>0</v>
      </c>
      <c r="G222" s="14">
        <f>'data 2019'!AW78</f>
        <v>192.63085678855472</v>
      </c>
      <c r="H222" s="213" t="str">
        <f>IF('data 2019'!AX78&gt;0,'data 2019'!AX78,"")</f>
        <v>x</v>
      </c>
      <c r="I222" s="213" t="str">
        <f>IF('data 2019'!AY78&gt;0,'data 2019'!AY78,"")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'data 2019'!AS79</f>
        <v>0</v>
      </c>
      <c r="D223" s="14">
        <f>'data 2019'!AT79</f>
        <v>0</v>
      </c>
      <c r="E223" s="14">
        <f>'data 2019'!AU79</f>
        <v>0</v>
      </c>
      <c r="F223" s="14">
        <f>'data 2019'!AV79</f>
        <v>0</v>
      </c>
      <c r="G223" s="14">
        <f>'data 2019'!AW79</f>
        <v>0</v>
      </c>
      <c r="H223" s="213" t="str">
        <f>IF('data 2019'!AX79&gt;0,'data 2019'!AX79,"")</f>
        <v>x</v>
      </c>
      <c r="I223" s="213" t="str">
        <f>IF('data 2019'!AY79&gt;0,'data 2019'!AY79,"")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'data 2019'!AS80</f>
        <v>0</v>
      </c>
      <c r="D224" s="26">
        <f>'data 2019'!AT80</f>
        <v>0</v>
      </c>
      <c r="E224" s="26">
        <f>'data 2019'!AU80</f>
        <v>0</v>
      </c>
      <c r="F224" s="26">
        <f>'data 2019'!AV80</f>
        <v>0</v>
      </c>
      <c r="G224" s="213" t="str">
        <f>IF('data 2019'!AW80&gt;0,'data 2019'!AW80,"")</f>
        <v>x</v>
      </c>
      <c r="H224" s="213" t="str">
        <f>IF('data 2019'!AX80&gt;0,'data 2019'!AX80,"")</f>
        <v>x</v>
      </c>
      <c r="I224" s="213" t="str">
        <f>IF('data 2019'!AY80&gt;0,'data 2019'!AY80,"")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"&amp;'data 2019'!C84</f>
        <v>HOSPITAL NAME: RCCH Trios Health LLC</v>
      </c>
      <c r="B228" s="77"/>
      <c r="C228" s="77"/>
      <c r="D228" s="77"/>
      <c r="E228" s="77"/>
      <c r="F228" s="77"/>
      <c r="G228" s="80"/>
      <c r="H228" s="79" t="str">
        <f>"FYE: "&amp;'data 2019'!C82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'data 2019'!AZ59</f>
        <v>0</v>
      </c>
      <c r="D233" s="14">
        <f>'data 2019'!BA59</f>
        <v>0</v>
      </c>
      <c r="E233" s="212"/>
      <c r="F233" s="212"/>
      <c r="G233" s="212"/>
      <c r="H233" s="14">
        <f>'data 2019'!BE59</f>
        <v>522556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'data 2019'!AZ60</f>
        <v>0</v>
      </c>
      <c r="D234" s="26">
        <f>'data 2019'!BA60</f>
        <v>0</v>
      </c>
      <c r="E234" s="26">
        <f>'data 2019'!BB60</f>
        <v>0</v>
      </c>
      <c r="F234" s="26">
        <f>'data 2019'!BC60</f>
        <v>0</v>
      </c>
      <c r="G234" s="26">
        <f>'data 2019'!BD60</f>
        <v>8.4</v>
      </c>
      <c r="H234" s="26">
        <f>'data 2019'!BE60</f>
        <v>16.45</v>
      </c>
      <c r="I234" s="26">
        <f>'data 2019'!BF60</f>
        <v>41.2</v>
      </c>
    </row>
    <row r="235" spans="1:9" ht="20.100000000000001" customHeight="1" x14ac:dyDescent="0.25">
      <c r="A235" s="23">
        <v>6</v>
      </c>
      <c r="B235" s="14" t="s">
        <v>235</v>
      </c>
      <c r="C235" s="14">
        <f>'data 2019'!AZ61</f>
        <v>0</v>
      </c>
      <c r="D235" s="14">
        <f>'data 2019'!BA61</f>
        <v>0</v>
      </c>
      <c r="E235" s="14">
        <f>'data 2019'!BB61</f>
        <v>0</v>
      </c>
      <c r="F235" s="14">
        <f>'data 2019'!BC61</f>
        <v>0</v>
      </c>
      <c r="G235" s="14">
        <f>'data 2019'!BD61</f>
        <v>400397</v>
      </c>
      <c r="H235" s="14">
        <f>'data 2019'!BE61</f>
        <v>585111</v>
      </c>
      <c r="I235" s="14">
        <f>'data 2019'!BF61</f>
        <v>1500794</v>
      </c>
    </row>
    <row r="236" spans="1:9" ht="20.100000000000001" customHeight="1" x14ac:dyDescent="0.25">
      <c r="A236" s="23">
        <v>7</v>
      </c>
      <c r="B236" s="14" t="s">
        <v>3</v>
      </c>
      <c r="C236" s="14">
        <f>'data 2019'!AZ62</f>
        <v>0</v>
      </c>
      <c r="D236" s="14">
        <f>'data 2019'!BA62</f>
        <v>0</v>
      </c>
      <c r="E236" s="14">
        <f>'data 2019'!BB62</f>
        <v>0</v>
      </c>
      <c r="F236" s="14">
        <f>'data 2019'!BC62</f>
        <v>0</v>
      </c>
      <c r="G236" s="14">
        <f>'data 2019'!BD62</f>
        <v>88121</v>
      </c>
      <c r="H236" s="14">
        <f>'data 2019'!BE62</f>
        <v>128774</v>
      </c>
      <c r="I236" s="14">
        <f>'data 2019'!BF62</f>
        <v>330303</v>
      </c>
    </row>
    <row r="237" spans="1:9" ht="20.100000000000001" customHeight="1" x14ac:dyDescent="0.25">
      <c r="A237" s="23">
        <v>8</v>
      </c>
      <c r="B237" s="14" t="s">
        <v>236</v>
      </c>
      <c r="C237" s="14">
        <f>'data 2019'!AZ63</f>
        <v>0</v>
      </c>
      <c r="D237" s="14">
        <f>'data 2019'!BA63</f>
        <v>0</v>
      </c>
      <c r="E237" s="14">
        <f>'data 2019'!BB63</f>
        <v>0</v>
      </c>
      <c r="F237" s="14">
        <f>'data 2019'!BC63</f>
        <v>0</v>
      </c>
      <c r="G237" s="14">
        <f>'data 2019'!BD63</f>
        <v>106800</v>
      </c>
      <c r="H237" s="14">
        <f>'data 2019'!BE63</f>
        <v>0</v>
      </c>
      <c r="I237" s="14">
        <f>'data 2019'!BF63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'data 2019'!AZ64</f>
        <v>0</v>
      </c>
      <c r="D238" s="14">
        <f>'data 2019'!BA64</f>
        <v>42932.29</v>
      </c>
      <c r="E238" s="14">
        <f>'data 2019'!BB64</f>
        <v>0</v>
      </c>
      <c r="F238" s="14">
        <f>'data 2019'!BC64</f>
        <v>0</v>
      </c>
      <c r="G238" s="14">
        <f>'data 2019'!BD64</f>
        <v>-162242.27000000002</v>
      </c>
      <c r="H238" s="14">
        <f>'data 2019'!BE64</f>
        <v>49743.31</v>
      </c>
      <c r="I238" s="14">
        <f>'data 2019'!BF64</f>
        <v>136124.14000000001</v>
      </c>
    </row>
    <row r="239" spans="1:9" ht="20.100000000000001" customHeight="1" x14ac:dyDescent="0.25">
      <c r="A239" s="23">
        <v>10</v>
      </c>
      <c r="B239" s="14" t="s">
        <v>444</v>
      </c>
      <c r="C239" s="14">
        <f>'data 2019'!AZ65</f>
        <v>0</v>
      </c>
      <c r="D239" s="14">
        <f>'data 2019'!BA65</f>
        <v>0</v>
      </c>
      <c r="E239" s="14">
        <f>'data 2019'!BB65</f>
        <v>0</v>
      </c>
      <c r="F239" s="14">
        <f>'data 2019'!BC65</f>
        <v>0</v>
      </c>
      <c r="G239" s="14">
        <f>'data 2019'!BD65</f>
        <v>30459.67</v>
      </c>
      <c r="H239" s="14">
        <f>'data 2019'!BE65</f>
        <v>1379211.2599999998</v>
      </c>
      <c r="I239" s="14">
        <f>'data 2019'!BF65</f>
        <v>119168.74</v>
      </c>
    </row>
    <row r="240" spans="1:9" ht="20.100000000000001" customHeight="1" x14ac:dyDescent="0.25">
      <c r="A240" s="23">
        <v>11</v>
      </c>
      <c r="B240" s="14" t="s">
        <v>445</v>
      </c>
      <c r="C240" s="14">
        <f>'data 2019'!AZ66</f>
        <v>0</v>
      </c>
      <c r="D240" s="14">
        <f>'data 2019'!BA66</f>
        <v>307258.25</v>
      </c>
      <c r="E240" s="14">
        <f>'data 2019'!BB66</f>
        <v>0</v>
      </c>
      <c r="F240" s="14">
        <f>'data 2019'!BC66</f>
        <v>0</v>
      </c>
      <c r="G240" s="14">
        <f>'data 2019'!BD66</f>
        <v>32177.399999999998</v>
      </c>
      <c r="H240" s="14">
        <f>'data 2019'!BE66</f>
        <v>1056142.18</v>
      </c>
      <c r="I240" s="14">
        <f>'data 2019'!BF66</f>
        <v>70875.48</v>
      </c>
    </row>
    <row r="241" spans="1:9" ht="20.100000000000001" customHeight="1" x14ac:dyDescent="0.25">
      <c r="A241" s="23">
        <v>12</v>
      </c>
      <c r="B241" s="14" t="s">
        <v>6</v>
      </c>
      <c r="C241" s="14">
        <f>'data 2019'!AZ67</f>
        <v>0</v>
      </c>
      <c r="D241" s="14">
        <f>'data 2019'!BA67</f>
        <v>29217</v>
      </c>
      <c r="E241" s="14">
        <f>'data 2019'!BB67</f>
        <v>0</v>
      </c>
      <c r="F241" s="14">
        <f>'data 2019'!BC67</f>
        <v>0</v>
      </c>
      <c r="G241" s="14">
        <f>'data 2019'!BD67</f>
        <v>248240</v>
      </c>
      <c r="H241" s="14">
        <f>'data 2019'!BE67</f>
        <v>749522</v>
      </c>
      <c r="I241" s="14">
        <f>'data 2019'!BF67</f>
        <v>51685</v>
      </c>
    </row>
    <row r="242" spans="1:9" ht="20.100000000000001" customHeight="1" x14ac:dyDescent="0.25">
      <c r="A242" s="23">
        <v>13</v>
      </c>
      <c r="B242" s="14" t="s">
        <v>474</v>
      </c>
      <c r="C242" s="14">
        <f>'data 2019'!AZ68</f>
        <v>0</v>
      </c>
      <c r="D242" s="14">
        <f>'data 2019'!BA68</f>
        <v>0</v>
      </c>
      <c r="E242" s="14">
        <f>'data 2019'!BB68</f>
        <v>0</v>
      </c>
      <c r="F242" s="14">
        <f>'data 2019'!BC68</f>
        <v>0</v>
      </c>
      <c r="G242" s="14">
        <f>'data 2019'!BD68</f>
        <v>13209.3</v>
      </c>
      <c r="H242" s="14">
        <f>'data 2019'!BE68</f>
        <v>4658.05</v>
      </c>
      <c r="I242" s="14">
        <f>'data 2019'!BF68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'data 2019'!AZ69</f>
        <v>0</v>
      </c>
      <c r="D243" s="14">
        <f>'data 2019'!BA69</f>
        <v>0</v>
      </c>
      <c r="E243" s="14">
        <f>'data 2019'!BB69</f>
        <v>0</v>
      </c>
      <c r="F243" s="14">
        <f>'data 2019'!BC69</f>
        <v>0</v>
      </c>
      <c r="G243" s="14">
        <f>'data 2019'!BD69</f>
        <v>253389.11</v>
      </c>
      <c r="H243" s="14">
        <f>'data 2019'!BE69</f>
        <v>11385.44</v>
      </c>
      <c r="I243" s="14">
        <f>'data 2019'!BF69</f>
        <v>607.01</v>
      </c>
    </row>
    <row r="244" spans="1:9" ht="20.100000000000001" customHeight="1" x14ac:dyDescent="0.25">
      <c r="A244" s="23">
        <v>15</v>
      </c>
      <c r="B244" s="14" t="s">
        <v>242</v>
      </c>
      <c r="C244" s="14">
        <f>-'data 2019'!AZ70</f>
        <v>0</v>
      </c>
      <c r="D244" s="14">
        <f>-'data 2019'!BA70</f>
        <v>-31800</v>
      </c>
      <c r="E244" s="14">
        <f>-'data 2019'!BB70</f>
        <v>0</v>
      </c>
      <c r="F244" s="14">
        <f>-'data 2019'!BC70</f>
        <v>0</v>
      </c>
      <c r="G244" s="14">
        <f>-'data 2019'!BD70</f>
        <v>-510460.4</v>
      </c>
      <c r="H244" s="14">
        <f>-'data 2019'!BE70</f>
        <v>-3262.99</v>
      </c>
      <c r="I244" s="14">
        <f>-'data 2019'!BF70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'data 2019'!AZ71</f>
        <v>0</v>
      </c>
      <c r="D245" s="14">
        <f>'data 2019'!BA71</f>
        <v>347607.54</v>
      </c>
      <c r="E245" s="14">
        <f>'data 2019'!BB71</f>
        <v>0</v>
      </c>
      <c r="F245" s="14">
        <f>'data 2019'!BC71</f>
        <v>0</v>
      </c>
      <c r="G245" s="14">
        <f>'data 2019'!BD71</f>
        <v>500090.81000000006</v>
      </c>
      <c r="H245" s="14">
        <f>'data 2019'!BE71</f>
        <v>3961284.2499999995</v>
      </c>
      <c r="I245" s="14">
        <f>'data 2019'!BF71</f>
        <v>2209557.37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IF('data 2019'!AZ73&gt;0,'data 2019'!AZ73,"")</f>
        <v>x</v>
      </c>
      <c r="D248" s="213" t="str">
        <f>IF('data 2019'!BA73&gt;0,'data 2019'!BA73,"")</f>
        <v>x</v>
      </c>
      <c r="E248" s="213" t="str">
        <f>IF('data 2019'!BB73&gt;0,'data 2019'!BB73,"")</f>
        <v>x</v>
      </c>
      <c r="F248" s="213" t="str">
        <f>IF('data 2019'!BC73&gt;0,'data 2019'!BC73,"")</f>
        <v>x</v>
      </c>
      <c r="G248" s="213" t="str">
        <f>IF('data 2019'!BD73&gt;0,'data 2019'!BD73,"")</f>
        <v>x</v>
      </c>
      <c r="H248" s="213" t="str">
        <f>IF('data 2019'!BE73&gt;0,'data 2019'!BE73,"")</f>
        <v>x</v>
      </c>
      <c r="I248" s="213" t="str">
        <f>IF('data 2019'!BF73&gt;0,'data 2019'!BF73,"")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IF('data 2019'!AZ74&gt;0,'data 2019'!AZ74,"")</f>
        <v>x</v>
      </c>
      <c r="D249" s="213" t="str">
        <f>IF('data 2019'!BA74&gt;0,'data 2019'!BA74,"")</f>
        <v>x</v>
      </c>
      <c r="E249" s="213" t="str">
        <f>IF('data 2019'!BB74&gt;0,'data 2019'!BB74,"")</f>
        <v>x</v>
      </c>
      <c r="F249" s="213" t="str">
        <f>IF('data 2019'!BC74&gt;0,'data 2019'!BC74,"")</f>
        <v>x</v>
      </c>
      <c r="G249" s="213" t="str">
        <f>IF('data 2019'!BD74&gt;0,'data 2019'!BD74,"")</f>
        <v>x</v>
      </c>
      <c r="H249" s="213" t="str">
        <f>IF('data 2019'!BE74&gt;0,'data 2019'!BE74,"")</f>
        <v>x</v>
      </c>
      <c r="I249" s="213" t="str">
        <f>IF('data 2019'!BF74&gt;0,'data 2019'!BF74,"")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IF('data 2019'!AZ75&gt;0,'data 2019'!AZ75,"")</f>
        <v>x</v>
      </c>
      <c r="D250" s="213" t="str">
        <f>IF('data 2019'!BA75&gt;0,'data 2019'!BA75,"")</f>
        <v>x</v>
      </c>
      <c r="E250" s="213" t="str">
        <f>IF('data 2019'!BB75&gt;0,'data 2019'!BB75,"")</f>
        <v>x</v>
      </c>
      <c r="F250" s="213" t="str">
        <f>IF('data 2019'!BC75&gt;0,'data 2019'!BC75,"")</f>
        <v>x</v>
      </c>
      <c r="G250" s="213" t="str">
        <f>IF('data 2019'!BD75&gt;0,'data 2019'!BD75,"")</f>
        <v>x</v>
      </c>
      <c r="H250" s="213" t="str">
        <f>IF('data 2019'!BE75&gt;0,'data 2019'!BE75,"")</f>
        <v>x</v>
      </c>
      <c r="I250" s="213" t="str">
        <f>IF('data 2019'!BF75&gt;0,'data 2019'!BF75,"")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'data 2019'!AZ76</f>
        <v>0</v>
      </c>
      <c r="D252" s="85">
        <f>'data 2019'!BA76</f>
        <v>1710</v>
      </c>
      <c r="E252" s="85">
        <f>'data 2019'!BB76</f>
        <v>0</v>
      </c>
      <c r="F252" s="85">
        <f>'data 2019'!BC76</f>
        <v>0</v>
      </c>
      <c r="G252" s="85">
        <f>'data 2019'!BD76</f>
        <v>14529</v>
      </c>
      <c r="H252" s="85">
        <f>'data 2019'!BE76</f>
        <v>43868</v>
      </c>
      <c r="I252" s="85">
        <f>'data 2019'!BF76</f>
        <v>3025</v>
      </c>
    </row>
    <row r="253" spans="1:9" ht="20.100000000000001" customHeight="1" x14ac:dyDescent="0.25">
      <c r="A253" s="23">
        <v>23</v>
      </c>
      <c r="B253" s="14" t="s">
        <v>1187</v>
      </c>
      <c r="C253" s="85">
        <f>'data 2019'!AZ77</f>
        <v>285283</v>
      </c>
      <c r="D253" s="85">
        <f>'data 2019'!BA77</f>
        <v>0</v>
      </c>
      <c r="E253" s="85">
        <f>'data 2019'!BB77</f>
        <v>0</v>
      </c>
      <c r="F253" s="85">
        <f>'data 2019'!BC77</f>
        <v>0</v>
      </c>
      <c r="G253" s="213" t="str">
        <f>IF('data 2019'!BD77&gt;0,'data 2019'!BD77,"")</f>
        <v>x</v>
      </c>
      <c r="H253" s="213" t="str">
        <f>IF('data 2019'!BE77&gt;0,'data 2019'!BE77,"")</f>
        <v>x</v>
      </c>
      <c r="I253" s="85">
        <f>'data 2019'!BF77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IF('data 2019'!AZ78&gt;0,'data 2019'!AZ78,"")</f>
        <v>x</v>
      </c>
      <c r="D254" s="85">
        <f>'data 2019'!BA78</f>
        <v>236.12814703113159</v>
      </c>
      <c r="E254" s="85">
        <f>'data 2019'!BB78</f>
        <v>0</v>
      </c>
      <c r="F254" s="85">
        <f>'data 2019'!BC78</f>
        <v>0</v>
      </c>
      <c r="G254" s="213" t="str">
        <f>IF('data 2019'!BD78&gt;0,'data 2019'!BD78,"")</f>
        <v>x</v>
      </c>
      <c r="H254" s="213" t="str">
        <f>IF('data 2019'!BE78&gt;0,'data 2019'!BE78,"")</f>
        <v>x</v>
      </c>
      <c r="I254" s="213" t="str">
        <f>IF('data 2019'!BF78&gt;0,'data 2019'!BF78,"")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IF('data 2019'!AZ79&gt;0,'data 2019'!AZ79,"")</f>
        <v>x</v>
      </c>
      <c r="D255" s="213" t="str">
        <f>IF('data 2019'!BA79&gt;0,'data 2019'!BA79,"")</f>
        <v>x</v>
      </c>
      <c r="E255" s="85">
        <f>'data 2019'!BB79</f>
        <v>0</v>
      </c>
      <c r="F255" s="85">
        <f>'data 2019'!BC79</f>
        <v>0</v>
      </c>
      <c r="G255" s="213" t="str">
        <f>IF('data 2019'!BD79&gt;0,'data 2019'!BD79,"")</f>
        <v>x</v>
      </c>
      <c r="H255" s="213" t="str">
        <f>IF('data 2019'!BE79&gt;0,'data 2019'!BE79,"")</f>
        <v>x</v>
      </c>
      <c r="I255" s="213" t="str">
        <f>IF('data 2019'!BF79&gt;0,'data 2019'!BF79,"")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IF('data 2019'!AZ80&gt;0,'data 2019'!AZ80,"")</f>
        <v>x</v>
      </c>
      <c r="D256" s="213" t="str">
        <f>IF('data 2019'!BA80&gt;0,'data 2019'!BA80,"")</f>
        <v>x</v>
      </c>
      <c r="E256" s="213" t="str">
        <f>IF('data 2019'!BB80&gt;0,'data 2019'!BB80,"")</f>
        <v>x</v>
      </c>
      <c r="F256" s="213" t="str">
        <f>IF('data 2019'!BC80&gt;0,'data 2019'!BC80,"")</f>
        <v>x</v>
      </c>
      <c r="G256" s="213" t="str">
        <f>IF('data 2019'!BD80&gt;0,'data 2019'!BD80,"")</f>
        <v>x</v>
      </c>
      <c r="H256" s="213" t="str">
        <f>IF('data 2019'!BE80&gt;0,'data 2019'!BE80,"")</f>
        <v>x</v>
      </c>
      <c r="I256" s="213" t="str">
        <f>IF('data 2019'!BF80&gt;0,'data 2019'!BF80,"")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"&amp;'data 2019'!C84</f>
        <v>HOSPITAL NAME: RCCH Trios Health LLC</v>
      </c>
      <c r="B260" s="77"/>
      <c r="C260" s="77"/>
      <c r="D260" s="77"/>
      <c r="E260" s="77"/>
      <c r="F260" s="77"/>
      <c r="G260" s="80"/>
      <c r="H260" s="79" t="str">
        <f>"FYE: "&amp;'data 2019'!C82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'data 2019'!BG60</f>
        <v>2</v>
      </c>
      <c r="D266" s="26">
        <f>'data 2019'!BH60</f>
        <v>17.600000000000001</v>
      </c>
      <c r="E266" s="26">
        <f>'data 2019'!BI60</f>
        <v>0</v>
      </c>
      <c r="F266" s="26">
        <f>'data 2019'!BJ60</f>
        <v>6</v>
      </c>
      <c r="G266" s="26">
        <f>'data 2019'!BK60</f>
        <v>21</v>
      </c>
      <c r="H266" s="26">
        <f>'data 2019'!BL60</f>
        <v>30</v>
      </c>
      <c r="I266" s="26">
        <f>'data 2019'!BM60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'data 2019'!BG61</f>
        <v>31895</v>
      </c>
      <c r="D267" s="14">
        <f>'data 2019'!BH61</f>
        <v>1380828</v>
      </c>
      <c r="E267" s="14">
        <f>'data 2019'!BI61</f>
        <v>0</v>
      </c>
      <c r="F267" s="14">
        <f>'data 2019'!BJ61</f>
        <v>448983</v>
      </c>
      <c r="G267" s="14">
        <f>'data 2019'!BK61</f>
        <v>424989</v>
      </c>
      <c r="H267" s="14">
        <f>'data 2019'!BL61</f>
        <v>739828</v>
      </c>
      <c r="I267" s="14">
        <f>'data 2019'!BM61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'data 2019'!BG62</f>
        <v>7020</v>
      </c>
      <c r="D268" s="14">
        <f>'data 2019'!BH62</f>
        <v>303900</v>
      </c>
      <c r="E268" s="14">
        <f>'data 2019'!BI62</f>
        <v>0</v>
      </c>
      <c r="F268" s="14">
        <f>'data 2019'!BJ62</f>
        <v>98815</v>
      </c>
      <c r="G268" s="14">
        <f>'data 2019'!BK62</f>
        <v>93534</v>
      </c>
      <c r="H268" s="14">
        <f>'data 2019'!BL62</f>
        <v>162825</v>
      </c>
      <c r="I268" s="14">
        <f>'data 2019'!BM62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'data 2019'!BG63</f>
        <v>0</v>
      </c>
      <c r="D269" s="14">
        <f>'data 2019'!BH63</f>
        <v>216.25</v>
      </c>
      <c r="E269" s="14">
        <f>'data 2019'!BI63</f>
        <v>0</v>
      </c>
      <c r="F269" s="14">
        <f>'data 2019'!BJ63</f>
        <v>25978</v>
      </c>
      <c r="G269" s="14">
        <f>'data 2019'!BK63</f>
        <v>0</v>
      </c>
      <c r="H269" s="14">
        <f>'data 2019'!BL63</f>
        <v>85026.44</v>
      </c>
      <c r="I269" s="14">
        <f>'data 2019'!BM63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'data 2019'!BG64</f>
        <v>3004</v>
      </c>
      <c r="D270" s="14">
        <f>'data 2019'!BH64</f>
        <v>-8963.58</v>
      </c>
      <c r="E270" s="14">
        <f>'data 2019'!BI64</f>
        <v>0</v>
      </c>
      <c r="F270" s="14">
        <f>'data 2019'!BJ64</f>
        <v>5242.16</v>
      </c>
      <c r="G270" s="14">
        <f>'data 2019'!BK64</f>
        <v>5323.78</v>
      </c>
      <c r="H270" s="14">
        <f>'data 2019'!BL64</f>
        <v>14730.97</v>
      </c>
      <c r="I270" s="14">
        <f>'data 2019'!BM64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'data 2019'!BG65</f>
        <v>1035</v>
      </c>
      <c r="D271" s="14">
        <f>'data 2019'!BH65</f>
        <v>249971.27</v>
      </c>
      <c r="E271" s="14">
        <f>'data 2019'!BI65</f>
        <v>0</v>
      </c>
      <c r="F271" s="14">
        <f>'data 2019'!BJ65</f>
        <v>8468.39</v>
      </c>
      <c r="G271" s="14">
        <f>'data 2019'!BK65</f>
        <v>0</v>
      </c>
      <c r="H271" s="14">
        <f>'data 2019'!BL65</f>
        <v>-395</v>
      </c>
      <c r="I271" s="14">
        <f>'data 2019'!BM65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'data 2019'!BG66</f>
        <v>416209.57</v>
      </c>
      <c r="D272" s="14">
        <f>'data 2019'!BH66</f>
        <v>1198741.1200000001</v>
      </c>
      <c r="E272" s="14">
        <f>'data 2019'!BI66</f>
        <v>0</v>
      </c>
      <c r="F272" s="14">
        <f>'data 2019'!BJ66</f>
        <v>73236.47</v>
      </c>
      <c r="G272" s="14">
        <f>'data 2019'!BK66</f>
        <v>685946.95</v>
      </c>
      <c r="H272" s="14">
        <f>'data 2019'!BL66</f>
        <v>8400.6</v>
      </c>
      <c r="I272" s="14">
        <f>'data 2019'!BM66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'data 2019'!BG67</f>
        <v>24501</v>
      </c>
      <c r="D273" s="14">
        <f>'data 2019'!BH67</f>
        <v>154439</v>
      </c>
      <c r="E273" s="14">
        <f>'data 2019'!BI67</f>
        <v>0</v>
      </c>
      <c r="F273" s="14">
        <f>'data 2019'!BJ67</f>
        <v>10969</v>
      </c>
      <c r="G273" s="14">
        <f>'data 2019'!BK67</f>
        <v>70257</v>
      </c>
      <c r="H273" s="14">
        <f>'data 2019'!BL67</f>
        <v>100055</v>
      </c>
      <c r="I273" s="14">
        <f>'data 2019'!BM67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'data 2019'!BG68</f>
        <v>0</v>
      </c>
      <c r="D274" s="14">
        <f>'data 2019'!BH68</f>
        <v>4106.1400000000003</v>
      </c>
      <c r="E274" s="14">
        <f>'data 2019'!BI68</f>
        <v>0</v>
      </c>
      <c r="F274" s="14">
        <f>'data 2019'!BJ68</f>
        <v>4415.2299999999996</v>
      </c>
      <c r="G274" s="14">
        <f>'data 2019'!BK68</f>
        <v>35454.910000000003</v>
      </c>
      <c r="H274" s="14">
        <f>'data 2019'!BL68</f>
        <v>11373.91</v>
      </c>
      <c r="I274" s="14">
        <f>'data 2019'!BM68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'data 2019'!BG69</f>
        <v>233.19</v>
      </c>
      <c r="D275" s="14">
        <f>'data 2019'!BH69</f>
        <v>9436.81</v>
      </c>
      <c r="E275" s="14">
        <f>'data 2019'!BI69</f>
        <v>0</v>
      </c>
      <c r="F275" s="14">
        <f>'data 2019'!BJ69</f>
        <v>1038.31</v>
      </c>
      <c r="G275" s="14">
        <f>'data 2019'!BK69</f>
        <v>57679.43</v>
      </c>
      <c r="H275" s="14">
        <f>'data 2019'!BL69</f>
        <v>0</v>
      </c>
      <c r="I275" s="14">
        <f>'data 2019'!BM69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-'data 2019'!BG70</f>
        <v>0</v>
      </c>
      <c r="D276" s="14">
        <f>-'data 2019'!BH70</f>
        <v>-2670</v>
      </c>
      <c r="E276" s="14">
        <f>-'data 2019'!BI70</f>
        <v>0</v>
      </c>
      <c r="F276" s="14">
        <f>-'data 2019'!BJ70</f>
        <v>0</v>
      </c>
      <c r="G276" s="14">
        <f>-'data 2019'!BK70</f>
        <v>182.61</v>
      </c>
      <c r="H276" s="14">
        <f>-'data 2019'!BL70</f>
        <v>0</v>
      </c>
      <c r="I276" s="14">
        <f>-'data 2019'!BM70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'data 2019'!BG71</f>
        <v>483897.76</v>
      </c>
      <c r="D277" s="14">
        <f>'data 2019'!BH71</f>
        <v>3290005.0100000002</v>
      </c>
      <c r="E277" s="14">
        <f>'data 2019'!BI71</f>
        <v>0</v>
      </c>
      <c r="F277" s="14">
        <f>'data 2019'!BJ71</f>
        <v>677145.56</v>
      </c>
      <c r="G277" s="14">
        <f>'data 2019'!BK71</f>
        <v>1373367.68</v>
      </c>
      <c r="H277" s="14">
        <f>'data 2019'!BL71</f>
        <v>1121844.9199999997</v>
      </c>
      <c r="I277" s="14">
        <f>'data 2019'!BM71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IF('data 2019'!BG73&gt;0,'data 2019'!BG73,"")</f>
        <v>x</v>
      </c>
      <c r="D280" s="213" t="str">
        <f>IF('data 2019'!BH73&gt;0,'data 2019'!BH73,"")</f>
        <v>x</v>
      </c>
      <c r="E280" s="213" t="str">
        <f>IF('data 2019'!BI73&gt;0,'data 2019'!BI73,"")</f>
        <v>x</v>
      </c>
      <c r="F280" s="213" t="str">
        <f>IF('data 2019'!BJ73&gt;0,'data 2019'!BJ73,"")</f>
        <v>x</v>
      </c>
      <c r="G280" s="213" t="str">
        <f>IF('data 2019'!BK73&gt;0,'data 2019'!BK73,"")</f>
        <v>x</v>
      </c>
      <c r="H280" s="213" t="str">
        <f>IF('data 2019'!BL73&gt;0,'data 2019'!BL73,"")</f>
        <v>x</v>
      </c>
      <c r="I280" s="213" t="str">
        <f>IF('data 2019'!BM73&gt;0,'data 2019'!BM73,"")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IF('data 2019'!BG74&gt;0,'data 2019'!BG74,"")</f>
        <v>x</v>
      </c>
      <c r="D281" s="213" t="str">
        <f>IF('data 2019'!BH74&gt;0,'data 2019'!BH74,"")</f>
        <v>x</v>
      </c>
      <c r="E281" s="213" t="str">
        <f>IF('data 2019'!BI74&gt;0,'data 2019'!BI74,"")</f>
        <v>x</v>
      </c>
      <c r="F281" s="213" t="str">
        <f>IF('data 2019'!BJ74&gt;0,'data 2019'!BJ74,"")</f>
        <v>x</v>
      </c>
      <c r="G281" s="213" t="str">
        <f>IF('data 2019'!BK74&gt;0,'data 2019'!BK74,"")</f>
        <v>x</v>
      </c>
      <c r="H281" s="213" t="str">
        <f>IF('data 2019'!BL74&gt;0,'data 2019'!BL74,"")</f>
        <v>x</v>
      </c>
      <c r="I281" s="213" t="str">
        <f>IF('data 2019'!BM74&gt;0,'data 2019'!BM74,"")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IF('data 2019'!BG75&gt;0,'data 2019'!BG75,"")</f>
        <v>x</v>
      </c>
      <c r="D282" s="213" t="str">
        <f>IF('data 2019'!BH75&gt;0,'data 2019'!BH75,"")</f>
        <v>x</v>
      </c>
      <c r="E282" s="213" t="str">
        <f>IF('data 2019'!BI75&gt;0,'data 2019'!BI75,"")</f>
        <v>x</v>
      </c>
      <c r="F282" s="213" t="str">
        <f>IF('data 2019'!BJ75&gt;0,'data 2019'!BJ75,"")</f>
        <v>x</v>
      </c>
      <c r="G282" s="213" t="str">
        <f>IF('data 2019'!BK75&gt;0,'data 2019'!BK75,"")</f>
        <v>x</v>
      </c>
      <c r="H282" s="213" t="str">
        <f>IF('data 2019'!BL75&gt;0,'data 2019'!BL75,"")</f>
        <v>x</v>
      </c>
      <c r="I282" s="213" t="str">
        <f>IF('data 2019'!BM75&gt;0,'data 2019'!BM75,"")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'data 2019'!BG76</f>
        <v>1434</v>
      </c>
      <c r="D284" s="85">
        <f>'data 2019'!BH76</f>
        <v>9039</v>
      </c>
      <c r="E284" s="85">
        <f>'data 2019'!BI76</f>
        <v>0</v>
      </c>
      <c r="F284" s="85">
        <f>'data 2019'!BJ76</f>
        <v>642</v>
      </c>
      <c r="G284" s="85">
        <f>'data 2019'!BK76</f>
        <v>4112</v>
      </c>
      <c r="H284" s="85">
        <f>'data 2019'!BL76</f>
        <v>5856</v>
      </c>
      <c r="I284" s="85">
        <f>'data 2019'!BM76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IF('data 2019'!BG77&gt;0,'data 2019'!BG77,"")</f>
        <v>x</v>
      </c>
      <c r="D285" s="85">
        <f>'data 2019'!BH77</f>
        <v>0</v>
      </c>
      <c r="E285" s="85">
        <f>'data 2019'!BI77</f>
        <v>0</v>
      </c>
      <c r="F285" s="213" t="str">
        <f>IF('data 2019'!BJ77&gt;0,'data 2019'!BJ77,"")</f>
        <v>x</v>
      </c>
      <c r="G285" s="85">
        <f>'data 2019'!BK77</f>
        <v>0</v>
      </c>
      <c r="H285" s="85">
        <f>'data 2019'!BL77</f>
        <v>0</v>
      </c>
      <c r="I285" s="85">
        <f>'data 2019'!BM77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IF('data 2019'!BG78&gt;0,'data 2019'!BG78,"")</f>
        <v>x</v>
      </c>
      <c r="D286" s="85">
        <f>'data 2019'!BH78</f>
        <v>1248.16510000842</v>
      </c>
      <c r="E286" s="85">
        <f>'data 2019'!BI78</f>
        <v>0</v>
      </c>
      <c r="F286" s="213" t="str">
        <f>IF('data 2019'!BJ78&gt;0,'data 2019'!BJ78,"")</f>
        <v>x</v>
      </c>
      <c r="G286" s="85">
        <f>'data 2019'!BK78</f>
        <v>567.81224596024163</v>
      </c>
      <c r="H286" s="85">
        <f>'data 2019'!BL78</f>
        <v>808.63533860485757</v>
      </c>
      <c r="I286" s="85">
        <f>'data 2019'!BM78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IF('data 2019'!BG79&gt;0,'data 2019'!BG79,"")</f>
        <v>x</v>
      </c>
      <c r="D287" s="85">
        <f>'data 2019'!BH79</f>
        <v>0</v>
      </c>
      <c r="E287" s="85">
        <f>'data 2019'!BI79</f>
        <v>0</v>
      </c>
      <c r="F287" s="213" t="str">
        <f>IF('data 2019'!BJ79&gt;0,'data 2019'!BJ79,"")</f>
        <v>x</v>
      </c>
      <c r="G287" s="85">
        <f>'data 2019'!BK79</f>
        <v>0</v>
      </c>
      <c r="H287" s="85">
        <f>'data 2019'!BL79</f>
        <v>0</v>
      </c>
      <c r="I287" s="85">
        <f>'data 2019'!BM79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IF('data 2019'!BG80&gt;0,'data 2019'!BG80,"")</f>
        <v>x</v>
      </c>
      <c r="D288" s="213" t="str">
        <f>IF('data 2019'!BH80&gt;0,'data 2019'!BH80,"")</f>
        <v>x</v>
      </c>
      <c r="E288" s="213" t="str">
        <f>IF('data 2019'!BI80&gt;0,'data 2019'!BI80,"")</f>
        <v>x</v>
      </c>
      <c r="F288" s="213" t="str">
        <f>IF('data 2019'!BJ80&gt;0,'data 2019'!BJ80,"")</f>
        <v>x</v>
      </c>
      <c r="G288" s="213" t="str">
        <f>IF('data 2019'!BK80&gt;0,'data 2019'!BK80,"")</f>
        <v>x</v>
      </c>
      <c r="H288" s="213" t="str">
        <f>IF('data 2019'!BL80&gt;0,'data 2019'!BL80,"")</f>
        <v>x</v>
      </c>
      <c r="I288" s="213" t="str">
        <f>IF('data 2019'!BM80&gt;0,'data 2019'!BM80,"")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"&amp;'data 2019'!C84</f>
        <v>HOSPITAL NAME: RCCH Trios Health LLC</v>
      </c>
      <c r="B292" s="77"/>
      <c r="C292" s="77"/>
      <c r="D292" s="77"/>
      <c r="E292" s="77"/>
      <c r="F292" s="77"/>
      <c r="G292" s="80"/>
      <c r="H292" s="79" t="str">
        <f>"FYE: "&amp;'data 2019'!C82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'data 2019'!BN60</f>
        <v>5</v>
      </c>
      <c r="D298" s="26">
        <f>'data 2019'!BO60</f>
        <v>0.5</v>
      </c>
      <c r="E298" s="26">
        <f>'data 2019'!BP60</f>
        <v>1</v>
      </c>
      <c r="F298" s="26">
        <f>'data 2019'!BQ60</f>
        <v>0</v>
      </c>
      <c r="G298" s="26">
        <f>'data 2019'!BR60</f>
        <v>6.6</v>
      </c>
      <c r="H298" s="26">
        <f>'data 2019'!BS60</f>
        <v>1</v>
      </c>
      <c r="I298" s="26">
        <f>'data 2019'!BT60</f>
        <v>2</v>
      </c>
    </row>
    <row r="299" spans="1:9" ht="20.100000000000001" customHeight="1" x14ac:dyDescent="0.25">
      <c r="A299" s="23">
        <v>6</v>
      </c>
      <c r="B299" s="14" t="s">
        <v>235</v>
      </c>
      <c r="C299" s="14">
        <f>'data 2019'!BN61</f>
        <v>1805916</v>
      </c>
      <c r="D299" s="14">
        <f>'data 2019'!BO61</f>
        <v>68050</v>
      </c>
      <c r="E299" s="14">
        <f>'data 2019'!BP61</f>
        <v>81350</v>
      </c>
      <c r="F299" s="14">
        <f>'data 2019'!BQ61</f>
        <v>0</v>
      </c>
      <c r="G299" s="14">
        <f>'data 2019'!BR61</f>
        <v>428974</v>
      </c>
      <c r="H299" s="14">
        <f>'data 2019'!BS61</f>
        <v>21583</v>
      </c>
      <c r="I299" s="14">
        <f>'data 2019'!BT61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'data 2019'!BN62</f>
        <v>397456</v>
      </c>
      <c r="D300" s="14">
        <f>'data 2019'!BO62</f>
        <v>14977</v>
      </c>
      <c r="E300" s="14">
        <f>'data 2019'!BP62</f>
        <v>17904</v>
      </c>
      <c r="F300" s="14">
        <f>'data 2019'!BQ62</f>
        <v>0</v>
      </c>
      <c r="G300" s="14">
        <f>'data 2019'!BR62</f>
        <v>94411</v>
      </c>
      <c r="H300" s="14">
        <f>'data 2019'!BS62</f>
        <v>4750</v>
      </c>
      <c r="I300" s="14">
        <f>'data 2019'!BT62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'data 2019'!BN63</f>
        <v>157505.46999999994</v>
      </c>
      <c r="D301" s="14">
        <f>'data 2019'!BO63</f>
        <v>0</v>
      </c>
      <c r="E301" s="14">
        <f>'data 2019'!BP63</f>
        <v>0</v>
      </c>
      <c r="F301" s="14">
        <f>'data 2019'!BQ63</f>
        <v>0</v>
      </c>
      <c r="G301" s="14">
        <f>'data 2019'!BR63</f>
        <v>0</v>
      </c>
      <c r="H301" s="14">
        <f>'data 2019'!BS63</f>
        <v>0</v>
      </c>
      <c r="I301" s="14">
        <f>'data 2019'!BT63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'data 2019'!BN64</f>
        <v>30839.07</v>
      </c>
      <c r="D302" s="14">
        <f>'data 2019'!BO64</f>
        <v>27336.39</v>
      </c>
      <c r="E302" s="14">
        <f>'data 2019'!BP64</f>
        <v>3174.83</v>
      </c>
      <c r="F302" s="14">
        <f>'data 2019'!BQ64</f>
        <v>0</v>
      </c>
      <c r="G302" s="14">
        <f>'data 2019'!BR64</f>
        <v>6213.43</v>
      </c>
      <c r="H302" s="14">
        <f>'data 2019'!BS64</f>
        <v>11414.92</v>
      </c>
      <c r="I302" s="14">
        <f>'data 2019'!BT64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'data 2019'!BN65</f>
        <v>550</v>
      </c>
      <c r="D303" s="14">
        <f>'data 2019'!BO65</f>
        <v>0</v>
      </c>
      <c r="E303" s="14">
        <f>'data 2019'!BP65</f>
        <v>0</v>
      </c>
      <c r="F303" s="14">
        <f>'data 2019'!BQ65</f>
        <v>0</v>
      </c>
      <c r="G303" s="14">
        <f>'data 2019'!BR65</f>
        <v>22400.99</v>
      </c>
      <c r="H303" s="14">
        <f>'data 2019'!BS65</f>
        <v>0</v>
      </c>
      <c r="I303" s="14">
        <f>'data 2019'!BT65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'data 2019'!BN66</f>
        <v>381445.31</v>
      </c>
      <c r="D304" s="14">
        <f>'data 2019'!BO66</f>
        <v>215452.65</v>
      </c>
      <c r="E304" s="14">
        <f>'data 2019'!BP66</f>
        <v>-40046.86</v>
      </c>
      <c r="F304" s="14">
        <f>'data 2019'!BQ66</f>
        <v>0</v>
      </c>
      <c r="G304" s="14">
        <f>'data 2019'!BR66</f>
        <v>274487.94</v>
      </c>
      <c r="H304" s="14">
        <f>'data 2019'!BS66</f>
        <v>223.16</v>
      </c>
      <c r="I304" s="14">
        <f>'data 2019'!BT66</f>
        <v>69617.34</v>
      </c>
    </row>
    <row r="305" spans="1:9" ht="20.100000000000001" customHeight="1" x14ac:dyDescent="0.25">
      <c r="A305" s="23">
        <v>12</v>
      </c>
      <c r="B305" s="14" t="s">
        <v>6</v>
      </c>
      <c r="C305" s="14">
        <f>'data 2019'!BN67</f>
        <v>29234</v>
      </c>
      <c r="D305" s="14">
        <f>'data 2019'!BO67</f>
        <v>4220</v>
      </c>
      <c r="E305" s="14">
        <f>'data 2019'!BP67</f>
        <v>4442</v>
      </c>
      <c r="F305" s="14">
        <f>'data 2019'!BQ67</f>
        <v>0</v>
      </c>
      <c r="G305" s="14">
        <f>'data 2019'!BR67</f>
        <v>32121</v>
      </c>
      <c r="H305" s="14">
        <f>'data 2019'!BS67</f>
        <v>37469</v>
      </c>
      <c r="I305" s="14">
        <f>'data 2019'!BT67</f>
        <v>14745</v>
      </c>
    </row>
    <row r="306" spans="1:9" ht="20.100000000000001" customHeight="1" x14ac:dyDescent="0.25">
      <c r="A306" s="23">
        <v>13</v>
      </c>
      <c r="B306" s="14" t="s">
        <v>474</v>
      </c>
      <c r="C306" s="14">
        <f>'data 2019'!BN68</f>
        <v>18113.560000000001</v>
      </c>
      <c r="D306" s="14">
        <f>'data 2019'!BO68</f>
        <v>707.6</v>
      </c>
      <c r="E306" s="14">
        <f>'data 2019'!BP68</f>
        <v>4333.0600000000004</v>
      </c>
      <c r="F306" s="14">
        <f>'data 2019'!BQ68</f>
        <v>0</v>
      </c>
      <c r="G306" s="14">
        <f>'data 2019'!BR68</f>
        <v>7259.92</v>
      </c>
      <c r="H306" s="14">
        <f>'data 2019'!BS68</f>
        <v>178.38</v>
      </c>
      <c r="I306" s="14">
        <f>'data 2019'!BT68</f>
        <v>687.89</v>
      </c>
    </row>
    <row r="307" spans="1:9" ht="20.100000000000001" customHeight="1" x14ac:dyDescent="0.25">
      <c r="A307" s="23">
        <v>14</v>
      </c>
      <c r="B307" s="14" t="s">
        <v>241</v>
      </c>
      <c r="C307" s="14">
        <f>'data 2019'!BN69</f>
        <v>661057.82000000007</v>
      </c>
      <c r="D307" s="14">
        <f>'data 2019'!BO69</f>
        <v>0</v>
      </c>
      <c r="E307" s="14">
        <f>'data 2019'!BP69</f>
        <v>0</v>
      </c>
      <c r="F307" s="14">
        <f>'data 2019'!BQ69</f>
        <v>0</v>
      </c>
      <c r="G307" s="14">
        <f>'data 2019'!BR69</f>
        <v>66211.850000000006</v>
      </c>
      <c r="H307" s="14">
        <f>'data 2019'!BS69</f>
        <v>0</v>
      </c>
      <c r="I307" s="14">
        <f>'data 2019'!BT69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-'data 2019'!BN70</f>
        <v>0</v>
      </c>
      <c r="D308" s="14">
        <f>-'data 2019'!BO70</f>
        <v>0</v>
      </c>
      <c r="E308" s="14">
        <f>-'data 2019'!BP70</f>
        <v>0</v>
      </c>
      <c r="F308" s="14">
        <f>-'data 2019'!BQ70</f>
        <v>0</v>
      </c>
      <c r="G308" s="14">
        <f>-'data 2019'!BR70</f>
        <v>0</v>
      </c>
      <c r="H308" s="14">
        <f>-'data 2019'!BS70</f>
        <v>0</v>
      </c>
      <c r="I308" s="14">
        <f>-'data 2019'!BT70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'data 2019'!BN71</f>
        <v>3482117.2299999995</v>
      </c>
      <c r="D309" s="14">
        <f>'data 2019'!BO71</f>
        <v>330743.63999999996</v>
      </c>
      <c r="E309" s="14">
        <f>'data 2019'!BP71</f>
        <v>71157.03</v>
      </c>
      <c r="F309" s="14">
        <f>'data 2019'!BQ71</f>
        <v>0</v>
      </c>
      <c r="G309" s="14">
        <f>'data 2019'!BR71</f>
        <v>932080.13000000012</v>
      </c>
      <c r="H309" s="14">
        <f>'data 2019'!BS71</f>
        <v>75618.460000000006</v>
      </c>
      <c r="I309" s="14">
        <f>'data 2019'!BT71</f>
        <v>85050.23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IF('data 2019'!BN73&gt;0,'data 2019'!BN73,"")</f>
        <v>x</v>
      </c>
      <c r="D312" s="213" t="str">
        <f>IF('data 2019'!BO73&gt;0,'data 2019'!BO73,"")</f>
        <v>x</v>
      </c>
      <c r="E312" s="213" t="str">
        <f>IF('data 2019'!BP73&gt;0,'data 2019'!BP73,"")</f>
        <v>x</v>
      </c>
      <c r="F312" s="213" t="str">
        <f>IF('data 2019'!BQ73&gt;0,'data 2019'!BQ73,"")</f>
        <v>x</v>
      </c>
      <c r="G312" s="213" t="str">
        <f>IF('data 2019'!BR73&gt;0,'data 2019'!BR73,"")</f>
        <v>x</v>
      </c>
      <c r="H312" s="213" t="str">
        <f>IF('data 2019'!BS73&gt;0,'data 2019'!BS73,"")</f>
        <v>x</v>
      </c>
      <c r="I312" s="213" t="str">
        <f>IF('data 2019'!BT73&gt;0,'data 2019'!BT73,"")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IF('data 2019'!BN74&gt;0,'data 2019'!BN74,"")</f>
        <v>x</v>
      </c>
      <c r="D313" s="213" t="str">
        <f>IF('data 2019'!BO74&gt;0,'data 2019'!BO74,"")</f>
        <v>x</v>
      </c>
      <c r="E313" s="213" t="str">
        <f>IF('data 2019'!BP74&gt;0,'data 2019'!BP74,"")</f>
        <v>x</v>
      </c>
      <c r="F313" s="213" t="str">
        <f>IF('data 2019'!BQ74&gt;0,'data 2019'!BQ74,"")</f>
        <v>x</v>
      </c>
      <c r="G313" s="213" t="str">
        <f>IF('data 2019'!BR74&gt;0,'data 2019'!BR74,"")</f>
        <v>x</v>
      </c>
      <c r="H313" s="213" t="str">
        <f>IF('data 2019'!BS74&gt;0,'data 2019'!BS74,"")</f>
        <v>x</v>
      </c>
      <c r="I313" s="213" t="str">
        <f>IF('data 2019'!BT74&gt;0,'data 2019'!BT74,"")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IF('data 2019'!BN75&gt;0,'data 2019'!BN75,"")</f>
        <v>x</v>
      </c>
      <c r="D314" s="213" t="str">
        <f>IF('data 2019'!BO75&gt;0,'data 2019'!BO75,"")</f>
        <v>x</v>
      </c>
      <c r="E314" s="213" t="str">
        <f>IF('data 2019'!BP75&gt;0,'data 2019'!BP75,"")</f>
        <v>x</v>
      </c>
      <c r="F314" s="213" t="str">
        <f>IF('data 2019'!BQ75&gt;0,'data 2019'!BQ75,"")</f>
        <v>x</v>
      </c>
      <c r="G314" s="213" t="str">
        <f>IF('data 2019'!BR75&gt;0,'data 2019'!BR75,"")</f>
        <v>x</v>
      </c>
      <c r="H314" s="213" t="str">
        <f>IF('data 2019'!BS75&gt;0,'data 2019'!BS75,"")</f>
        <v>x</v>
      </c>
      <c r="I314" s="213" t="str">
        <f>IF('data 2019'!BT75&gt;0,'data 2019'!BT75,"")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'data 2019'!BN76</f>
        <v>1711</v>
      </c>
      <c r="D316" s="85">
        <f>'data 2019'!BO76</f>
        <v>247</v>
      </c>
      <c r="E316" s="85">
        <f>'data 2019'!BP76</f>
        <v>260</v>
      </c>
      <c r="F316" s="85">
        <f>'data 2019'!BQ76</f>
        <v>0</v>
      </c>
      <c r="G316" s="85">
        <f>'data 2019'!BR76</f>
        <v>1880</v>
      </c>
      <c r="H316" s="85">
        <f>'data 2019'!BS76</f>
        <v>2193</v>
      </c>
      <c r="I316" s="85">
        <f>'data 2019'!BT76</f>
        <v>863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IF('data 2019'!BN77&gt;0,'data 2019'!BN77,"")</f>
        <v>x</v>
      </c>
      <c r="D317" s="213" t="str">
        <f>IF('data 2019'!BO77&gt;0,'data 2019'!BO77,"")</f>
        <v>x</v>
      </c>
      <c r="E317" s="213" t="str">
        <f>IF('data 2019'!BP77&gt;0,'data 2019'!BP77,"")</f>
        <v>x</v>
      </c>
      <c r="F317" s="213" t="str">
        <f>IF('data 2019'!BQ77&gt;0,'data 2019'!BQ77,"")</f>
        <v>x</v>
      </c>
      <c r="G317" s="85">
        <f>'data 2019'!BR77</f>
        <v>0</v>
      </c>
      <c r="H317" s="85">
        <f>'data 2019'!BS77</f>
        <v>0</v>
      </c>
      <c r="I317" s="85">
        <f>'data 2019'!BT77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IF('data 2019'!BN78&gt;0,'data 2019'!BN78,"")</f>
        <v>x</v>
      </c>
      <c r="D318" s="213" t="str">
        <f>IF('data 2019'!BO78&gt;0,'data 2019'!BO78,"")</f>
        <v>x</v>
      </c>
      <c r="E318" s="213" t="str">
        <f>IF('data 2019'!BP78&gt;0,'data 2019'!BP78,"")</f>
        <v>x</v>
      </c>
      <c r="F318" s="213" t="str">
        <f>IF('data 2019'!BQ78&gt;0,'data 2019'!BQ78,"")</f>
        <v>x</v>
      </c>
      <c r="G318" s="213" t="str">
        <f>IF('data 2019'!BR78&gt;0,'data 2019'!BR78,"")</f>
        <v>x</v>
      </c>
      <c r="H318" s="85">
        <f>'data 2019'!BS78</f>
        <v>302.82399206974947</v>
      </c>
      <c r="I318" s="85">
        <f>'data 2019'!BT78</f>
        <v>119.16876660109156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IF('data 2019'!BN79&gt;0,'data 2019'!BN79,"")</f>
        <v>x</v>
      </c>
      <c r="D319" s="213" t="str">
        <f>IF('data 2019'!BO79&gt;0,'data 2019'!BO79,"")</f>
        <v>x</v>
      </c>
      <c r="E319" s="213" t="str">
        <f>IF('data 2019'!BP79&gt;0,'data 2019'!BP79,"")</f>
        <v>x</v>
      </c>
      <c r="F319" s="213" t="str">
        <f>IF('data 2019'!BQ79&gt;0,'data 2019'!BQ79,"")</f>
        <v>x</v>
      </c>
      <c r="G319" s="213" t="str">
        <f>IF('data 2019'!BR79&gt;0,'data 2019'!BR79,"")</f>
        <v>x</v>
      </c>
      <c r="H319" s="85">
        <f>'data 2019'!BS79</f>
        <v>0</v>
      </c>
      <c r="I319" s="85">
        <f>'data 2019'!BT79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IF('data 2019'!BN80&gt;0,'data 2019'!BN80,"")</f>
        <v>x</v>
      </c>
      <c r="D320" s="216" t="str">
        <f>IF('data 2019'!BO80&gt;0,'data 2019'!BO80,"")</f>
        <v>x</v>
      </c>
      <c r="E320" s="216" t="str">
        <f>IF('data 2019'!BP80&gt;0,'data 2019'!BP80,"")</f>
        <v>x</v>
      </c>
      <c r="F320" s="216" t="str">
        <f>IF('data 2019'!BQ80&gt;0,'data 2019'!BQ80,"")</f>
        <v>x</v>
      </c>
      <c r="G320" s="216" t="str">
        <f>IF('data 2019'!BR80&gt;0,'data 2019'!BR80,"")</f>
        <v>x</v>
      </c>
      <c r="H320" s="216" t="str">
        <f>IF('data 2019'!BS80&gt;0,'data 2019'!BS80,"")</f>
        <v>x</v>
      </c>
      <c r="I320" s="216" t="str">
        <f>IF('data 2019'!BT80&gt;0,'data 2019'!BT80,"")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"&amp;'data 2019'!C84</f>
        <v>HOSPITAL NAME: RCCH Trios Health LLC</v>
      </c>
      <c r="B324" s="77"/>
      <c r="C324" s="77"/>
      <c r="D324" s="77"/>
      <c r="E324" s="77"/>
      <c r="F324" s="77"/>
      <c r="G324" s="80"/>
      <c r="H324" s="79" t="str">
        <f>"FYE: "&amp;'data 2019'!C82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'data 2019'!BU60</f>
        <v>0</v>
      </c>
      <c r="D330" s="26">
        <f>'data 2019'!BV60</f>
        <v>7</v>
      </c>
      <c r="E330" s="26">
        <f>'data 2019'!BW60</f>
        <v>2</v>
      </c>
      <c r="F330" s="26">
        <f>'data 2019'!BX60</f>
        <v>17</v>
      </c>
      <c r="G330" s="26">
        <f>'data 2019'!BY60</f>
        <v>19.100000000000001</v>
      </c>
      <c r="H330" s="26">
        <f>'data 2019'!BZ60</f>
        <v>0</v>
      </c>
      <c r="I330" s="26">
        <f>'data 2019'!CA60</f>
        <v>1</v>
      </c>
    </row>
    <row r="331" spans="1:9" ht="20.100000000000001" customHeight="1" x14ac:dyDescent="0.25">
      <c r="A331" s="23">
        <v>6</v>
      </c>
      <c r="B331" s="14" t="s">
        <v>235</v>
      </c>
      <c r="C331" s="86">
        <f>'data 2019'!BU61</f>
        <v>0</v>
      </c>
      <c r="D331" s="86">
        <f>'data 2019'!BV61</f>
        <v>331719</v>
      </c>
      <c r="E331" s="86">
        <f>'data 2019'!BW61</f>
        <v>142710</v>
      </c>
      <c r="F331" s="86">
        <f>'data 2019'!BX61</f>
        <v>850813</v>
      </c>
      <c r="G331" s="86">
        <f>'data 2019'!BY61</f>
        <v>851668</v>
      </c>
      <c r="H331" s="86">
        <f>'data 2019'!BZ61</f>
        <v>0</v>
      </c>
      <c r="I331" s="86">
        <f>'data 2019'!CA61</f>
        <v>186566</v>
      </c>
    </row>
    <row r="332" spans="1:9" ht="20.100000000000001" customHeight="1" x14ac:dyDescent="0.25">
      <c r="A332" s="23">
        <v>7</v>
      </c>
      <c r="B332" s="14" t="s">
        <v>3</v>
      </c>
      <c r="C332" s="86">
        <f>'data 2019'!BU62</f>
        <v>0</v>
      </c>
      <c r="D332" s="86">
        <f>'data 2019'!BV62</f>
        <v>73006</v>
      </c>
      <c r="E332" s="86">
        <f>'data 2019'!BW62</f>
        <v>31408</v>
      </c>
      <c r="F332" s="86">
        <f>'data 2019'!BX62</f>
        <v>187251</v>
      </c>
      <c r="G332" s="86">
        <f>'data 2019'!BY62</f>
        <v>187440</v>
      </c>
      <c r="H332" s="86">
        <f>'data 2019'!BZ62</f>
        <v>0</v>
      </c>
      <c r="I332" s="86">
        <f>'data 2019'!CA62</f>
        <v>41060</v>
      </c>
    </row>
    <row r="333" spans="1:9" ht="20.100000000000001" customHeight="1" x14ac:dyDescent="0.25">
      <c r="A333" s="23">
        <v>8</v>
      </c>
      <c r="B333" s="14" t="s">
        <v>236</v>
      </c>
      <c r="C333" s="86">
        <f>'data 2019'!BU63</f>
        <v>0</v>
      </c>
      <c r="D333" s="86">
        <f>'data 2019'!BV63</f>
        <v>0</v>
      </c>
      <c r="E333" s="86">
        <f>'data 2019'!BW63</f>
        <v>10375</v>
      </c>
      <c r="F333" s="86">
        <f>'data 2019'!BX63</f>
        <v>115590</v>
      </c>
      <c r="G333" s="86">
        <f>'data 2019'!BY63</f>
        <v>0</v>
      </c>
      <c r="H333" s="86">
        <f>'data 2019'!BZ63</f>
        <v>0</v>
      </c>
      <c r="I333" s="86">
        <f>'data 2019'!CA63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'data 2019'!BU64</f>
        <v>0</v>
      </c>
      <c r="D334" s="86">
        <f>'data 2019'!BV64</f>
        <v>4189.78</v>
      </c>
      <c r="E334" s="86">
        <f>'data 2019'!BW64</f>
        <v>66126.52</v>
      </c>
      <c r="F334" s="86">
        <f>'data 2019'!BX64</f>
        <v>13761.59</v>
      </c>
      <c r="G334" s="86">
        <f>'data 2019'!BY64</f>
        <v>740.09</v>
      </c>
      <c r="H334" s="86">
        <f>'data 2019'!BZ64</f>
        <v>0</v>
      </c>
      <c r="I334" s="86">
        <f>'data 2019'!CA64</f>
        <v>7421.7</v>
      </c>
    </row>
    <row r="335" spans="1:9" ht="20.100000000000001" customHeight="1" x14ac:dyDescent="0.25">
      <c r="A335" s="23">
        <v>10</v>
      </c>
      <c r="B335" s="14" t="s">
        <v>444</v>
      </c>
      <c r="C335" s="86">
        <f>'data 2019'!BU65</f>
        <v>0</v>
      </c>
      <c r="D335" s="86">
        <f>'data 2019'!BV65</f>
        <v>0</v>
      </c>
      <c r="E335" s="86">
        <f>'data 2019'!BW65</f>
        <v>0</v>
      </c>
      <c r="F335" s="86">
        <f>'data 2019'!BX65</f>
        <v>0</v>
      </c>
      <c r="G335" s="86">
        <f>'data 2019'!BY65</f>
        <v>828</v>
      </c>
      <c r="H335" s="86">
        <f>'data 2019'!BZ65</f>
        <v>0</v>
      </c>
      <c r="I335" s="86">
        <f>'data 2019'!CA65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'data 2019'!BU66</f>
        <v>0</v>
      </c>
      <c r="D336" s="86">
        <f>'data 2019'!BV66</f>
        <v>613378.79</v>
      </c>
      <c r="E336" s="86">
        <f>'data 2019'!BW66</f>
        <v>112334.76</v>
      </c>
      <c r="F336" s="86">
        <f>'data 2019'!BX66</f>
        <v>235296.43</v>
      </c>
      <c r="G336" s="86">
        <f>'data 2019'!BY66</f>
        <v>42677.02</v>
      </c>
      <c r="H336" s="86">
        <f>'data 2019'!BZ66</f>
        <v>0</v>
      </c>
      <c r="I336" s="86">
        <f>'data 2019'!CA66</f>
        <v>125178.82</v>
      </c>
    </row>
    <row r="337" spans="1:9" ht="20.100000000000001" customHeight="1" x14ac:dyDescent="0.25">
      <c r="A337" s="23">
        <v>12</v>
      </c>
      <c r="B337" s="14" t="s">
        <v>6</v>
      </c>
      <c r="C337" s="86">
        <f>'data 2019'!BU67</f>
        <v>0</v>
      </c>
      <c r="D337" s="86">
        <f>'data 2019'!BV67</f>
        <v>12097</v>
      </c>
      <c r="E337" s="86">
        <f>'data 2019'!BW67</f>
        <v>140394</v>
      </c>
      <c r="F337" s="86">
        <f>'data 2019'!BX67</f>
        <v>9090</v>
      </c>
      <c r="G337" s="86">
        <f>'data 2019'!BY67</f>
        <v>15087</v>
      </c>
      <c r="H337" s="86">
        <f>'data 2019'!BZ67</f>
        <v>0</v>
      </c>
      <c r="I337" s="86">
        <f>'data 2019'!CA67</f>
        <v>4306</v>
      </c>
    </row>
    <row r="338" spans="1:9" ht="20.100000000000001" customHeight="1" x14ac:dyDescent="0.25">
      <c r="A338" s="23">
        <v>13</v>
      </c>
      <c r="B338" s="14" t="s">
        <v>474</v>
      </c>
      <c r="C338" s="86">
        <f>'data 2019'!BU68</f>
        <v>0</v>
      </c>
      <c r="D338" s="86">
        <f>'data 2019'!BV68</f>
        <v>7156.27</v>
      </c>
      <c r="E338" s="86">
        <f>'data 2019'!BW68</f>
        <v>860.77</v>
      </c>
      <c r="F338" s="86">
        <f>'data 2019'!BX68</f>
        <v>48512.45</v>
      </c>
      <c r="G338" s="86">
        <f>'data 2019'!BY68</f>
        <v>3173.29</v>
      </c>
      <c r="H338" s="86">
        <f>'data 2019'!BZ68</f>
        <v>0</v>
      </c>
      <c r="I338" s="86">
        <f>'data 2019'!CA68</f>
        <v>6670.9</v>
      </c>
    </row>
    <row r="339" spans="1:9" ht="20.100000000000001" customHeight="1" x14ac:dyDescent="0.25">
      <c r="A339" s="23">
        <v>14</v>
      </c>
      <c r="B339" s="14" t="s">
        <v>241</v>
      </c>
      <c r="C339" s="86">
        <f>'data 2019'!BU69</f>
        <v>0</v>
      </c>
      <c r="D339" s="86">
        <f>'data 2019'!BV69</f>
        <v>3461.1</v>
      </c>
      <c r="E339" s="86">
        <f>'data 2019'!BW69</f>
        <v>980</v>
      </c>
      <c r="F339" s="86">
        <f>'data 2019'!BX69</f>
        <v>27096.309999999998</v>
      </c>
      <c r="G339" s="86">
        <f>'data 2019'!BY69</f>
        <v>0</v>
      </c>
      <c r="H339" s="86">
        <f>'data 2019'!BZ69</f>
        <v>0</v>
      </c>
      <c r="I339" s="86">
        <f>'data 2019'!CA69</f>
        <v>10457.5</v>
      </c>
    </row>
    <row r="340" spans="1:9" ht="20.100000000000001" customHeight="1" x14ac:dyDescent="0.25">
      <c r="A340" s="23">
        <v>15</v>
      </c>
      <c r="B340" s="14" t="s">
        <v>242</v>
      </c>
      <c r="C340" s="14">
        <f>-'data 2019'!BU70</f>
        <v>0</v>
      </c>
      <c r="D340" s="14">
        <f>-'data 2019'!BV70</f>
        <v>-698.07</v>
      </c>
      <c r="E340" s="14">
        <f>-'data 2019'!BW70</f>
        <v>-27900</v>
      </c>
      <c r="F340" s="14">
        <f>-'data 2019'!BX70</f>
        <v>0</v>
      </c>
      <c r="G340" s="14">
        <f>-'data 2019'!BY70</f>
        <v>0</v>
      </c>
      <c r="H340" s="14">
        <f>-'data 2019'!BZ70</f>
        <v>0</v>
      </c>
      <c r="I340" s="14">
        <f>-'data 2019'!CA70</f>
        <v>-5719.46</v>
      </c>
    </row>
    <row r="341" spans="1:9" ht="20.100000000000001" customHeight="1" x14ac:dyDescent="0.25">
      <c r="A341" s="23">
        <v>16</v>
      </c>
      <c r="B341" s="48" t="s">
        <v>1180</v>
      </c>
      <c r="C341" s="14">
        <f>'data 2019'!BU71</f>
        <v>0</v>
      </c>
      <c r="D341" s="14">
        <f>'data 2019'!BV71</f>
        <v>1044309.8700000001</v>
      </c>
      <c r="E341" s="14">
        <f>'data 2019'!BW71</f>
        <v>477289.05000000005</v>
      </c>
      <c r="F341" s="14">
        <f>'data 2019'!BX71</f>
        <v>1487410.78</v>
      </c>
      <c r="G341" s="14">
        <f>'data 2019'!BY71</f>
        <v>1101613.3999999999</v>
      </c>
      <c r="H341" s="14">
        <f>'data 2019'!BZ71</f>
        <v>0</v>
      </c>
      <c r="I341" s="14">
        <f>'data 2019'!CA71</f>
        <v>375941.46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IF('data 2019'!BU73&gt;0,'data 2019'!BU73,"")</f>
        <v>x</v>
      </c>
      <c r="D344" s="213" t="str">
        <f>IF('data 2019'!BV73&gt;0,'data 2019'!BV73,"")</f>
        <v>x</v>
      </c>
      <c r="E344" s="213" t="str">
        <f>IF('data 2019'!BW73&gt;0,'data 2019'!BW73,"")</f>
        <v>x</v>
      </c>
      <c r="F344" s="213" t="str">
        <f>IF('data 2019'!BX73&gt;0,'data 2019'!BX73,"")</f>
        <v>x</v>
      </c>
      <c r="G344" s="213" t="str">
        <f>IF('data 2019'!BY73&gt;0,'data 2019'!BY73,"")</f>
        <v>x</v>
      </c>
      <c r="H344" s="213" t="str">
        <f>IF('data 2019'!BZ73&gt;0,'data 2019'!BZ73,"")</f>
        <v>x</v>
      </c>
      <c r="I344" s="213" t="str">
        <f>IF('data 2019'!CA73&gt;0,'data 2019'!CA73,"")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IF('data 2019'!BU74&gt;0,'data 2019'!BU74,"")</f>
        <v>x</v>
      </c>
      <c r="D345" s="213" t="str">
        <f>IF('data 2019'!BV74&gt;0,'data 2019'!BV74,"")</f>
        <v>x</v>
      </c>
      <c r="E345" s="213" t="str">
        <f>IF('data 2019'!BW74&gt;0,'data 2019'!BW74,"")</f>
        <v>x</v>
      </c>
      <c r="F345" s="213" t="str">
        <f>IF('data 2019'!BX74&gt;0,'data 2019'!BX74,"")</f>
        <v>x</v>
      </c>
      <c r="G345" s="213" t="str">
        <f>IF('data 2019'!BY74&gt;0,'data 2019'!BY74,"")</f>
        <v>x</v>
      </c>
      <c r="H345" s="213" t="str">
        <f>IF('data 2019'!BZ74&gt;0,'data 2019'!BZ74,"")</f>
        <v>x</v>
      </c>
      <c r="I345" s="213" t="str">
        <f>IF('data 2019'!CA74&gt;0,'data 2019'!CA74,"")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IF('data 2019'!BU75&gt;0,'data 2019'!BU75,"")</f>
        <v>x</v>
      </c>
      <c r="D346" s="213" t="str">
        <f>IF('data 2019'!BV75&gt;0,'data 2019'!BV75,"")</f>
        <v>x</v>
      </c>
      <c r="E346" s="213" t="str">
        <f>IF('data 2019'!BW75&gt;0,'data 2019'!BW75,"")</f>
        <v>x</v>
      </c>
      <c r="F346" s="213" t="str">
        <f>IF('data 2019'!BX75&gt;0,'data 2019'!BX75,"")</f>
        <v>x</v>
      </c>
      <c r="G346" s="213" t="str">
        <f>IF('data 2019'!BY75&gt;0,'data 2019'!BY75,"")</f>
        <v>x</v>
      </c>
      <c r="H346" s="213" t="str">
        <f>IF('data 2019'!BZ75&gt;0,'data 2019'!BZ75,"")</f>
        <v>x</v>
      </c>
      <c r="I346" s="213" t="str">
        <f>IF('data 2019'!CA75&gt;0,'data 2019'!CA75,"")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'data 2019'!BU76</f>
        <v>0</v>
      </c>
      <c r="D348" s="85">
        <f>'data 2019'!BV76</f>
        <v>708</v>
      </c>
      <c r="E348" s="85">
        <f>'data 2019'!BW76</f>
        <v>8217</v>
      </c>
      <c r="F348" s="85">
        <f>'data 2019'!BX76</f>
        <v>532</v>
      </c>
      <c r="G348" s="85">
        <f>'data 2019'!BY76</f>
        <v>883</v>
      </c>
      <c r="H348" s="85">
        <f>'data 2019'!BZ76</f>
        <v>0</v>
      </c>
      <c r="I348" s="85">
        <f>'data 2019'!CA76</f>
        <v>252</v>
      </c>
    </row>
    <row r="349" spans="1:9" ht="20.100000000000001" customHeight="1" x14ac:dyDescent="0.25">
      <c r="A349" s="23">
        <v>23</v>
      </c>
      <c r="B349" s="14" t="s">
        <v>1187</v>
      </c>
      <c r="C349" s="85">
        <f>'data 2019'!BU77</f>
        <v>0</v>
      </c>
      <c r="D349" s="85">
        <f>'data 2019'!BV77</f>
        <v>0</v>
      </c>
      <c r="E349" s="85">
        <f>'data 2019'!BW77</f>
        <v>0</v>
      </c>
      <c r="F349" s="85">
        <f>'data 2019'!BX77</f>
        <v>0</v>
      </c>
      <c r="G349" s="85">
        <f>'data 2019'!BY77</f>
        <v>0</v>
      </c>
      <c r="H349" s="85">
        <f>'data 2019'!BZ77</f>
        <v>0</v>
      </c>
      <c r="I349" s="85">
        <f>'data 2019'!CA77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'data 2019'!BU78</f>
        <v>0</v>
      </c>
      <c r="D350" s="85">
        <f>'data 2019'!BV78</f>
        <v>97.765338069029923</v>
      </c>
      <c r="E350" s="85">
        <f>'data 2019'!BW78</f>
        <v>1134.6578854706481</v>
      </c>
      <c r="F350" s="85">
        <f>'data 2019'!BX78</f>
        <v>73.462090187463161</v>
      </c>
      <c r="G350" s="85">
        <f>'data 2019'!BY78</f>
        <v>121.93049931490597</v>
      </c>
      <c r="H350" s="85">
        <f>'data 2019'!BZ78</f>
        <v>0</v>
      </c>
      <c r="I350" s="85">
        <f>'data 2019'!CA78</f>
        <v>34.797832194061499</v>
      </c>
    </row>
    <row r="351" spans="1:9" ht="20.100000000000001" customHeight="1" x14ac:dyDescent="0.25">
      <c r="A351" s="23">
        <v>25</v>
      </c>
      <c r="B351" s="14" t="s">
        <v>1189</v>
      </c>
      <c r="C351" s="85">
        <f>'data 2019'!BU79</f>
        <v>0</v>
      </c>
      <c r="D351" s="85">
        <f>'data 2019'!BV79</f>
        <v>0</v>
      </c>
      <c r="E351" s="85">
        <f>'data 2019'!BW79</f>
        <v>0</v>
      </c>
      <c r="F351" s="85">
        <f>'data 2019'!BX79</f>
        <v>0</v>
      </c>
      <c r="G351" s="85">
        <f>'data 2019'!BY79</f>
        <v>0</v>
      </c>
      <c r="H351" s="85">
        <f>'data 2019'!BZ79</f>
        <v>0</v>
      </c>
      <c r="I351" s="85">
        <f>'data 2019'!CA79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IF('data 2019'!BU80&gt;0,'data 2019'!BU80,"")</f>
        <v/>
      </c>
      <c r="D352" s="216" t="str">
        <f>IF('data 2019'!BV80&gt;0,'data 2019'!BV80,"")</f>
        <v/>
      </c>
      <c r="E352" s="216" t="str">
        <f>IF('data 2019'!BW80&gt;0,'data 2019'!BW80,"")</f>
        <v/>
      </c>
      <c r="F352" s="216" t="str">
        <f>IF('data 2019'!BX80&gt;0,'data 2019'!BX80,"")</f>
        <v/>
      </c>
      <c r="G352" s="216" t="str">
        <f>IF('data 2019'!BY80&gt;0,'data 2019'!BY80,"")</f>
        <v/>
      </c>
      <c r="H352" s="216" t="str">
        <f>IF('data 2019'!BZ80&gt;0,'data 2019'!BZ80,"")</f>
        <v/>
      </c>
      <c r="I352" s="216" t="str">
        <f>IF('data 2019'!CA80&gt;0,'data 2019'!CA80,"")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"&amp;'data 2019'!C84</f>
        <v>HOSPITAL NAME: RCCH Trios Health LLC</v>
      </c>
      <c r="B356" s="77"/>
      <c r="C356" s="77"/>
      <c r="D356" s="77"/>
      <c r="E356" s="77"/>
      <c r="F356" s="77"/>
      <c r="G356" s="80"/>
      <c r="H356" s="79" t="str">
        <f>"FYE: "&amp;'data 2019'!C82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'data 2019'!CB60</f>
        <v>4.8</v>
      </c>
      <c r="D362" s="26">
        <f>'data 2019'!CC60</f>
        <v>0</v>
      </c>
      <c r="E362" s="217"/>
      <c r="F362" s="211"/>
      <c r="G362" s="211"/>
      <c r="H362" s="211"/>
      <c r="I362" s="87">
        <f>'data 2019'!CE60</f>
        <v>973.31000000000006</v>
      </c>
    </row>
    <row r="363" spans="1:9" ht="20.100000000000001" customHeight="1" x14ac:dyDescent="0.25">
      <c r="A363" s="23">
        <v>6</v>
      </c>
      <c r="B363" s="14" t="s">
        <v>235</v>
      </c>
      <c r="C363" s="86">
        <f>'data 2019'!CB61</f>
        <v>11714</v>
      </c>
      <c r="D363" s="86">
        <f>'data 2019'!CC61</f>
        <v>14750</v>
      </c>
      <c r="E363" s="218"/>
      <c r="F363" s="219"/>
      <c r="G363" s="219"/>
      <c r="H363" s="219"/>
      <c r="I363" s="86">
        <f>'data 2019'!CE61</f>
        <v>70381674</v>
      </c>
    </row>
    <row r="364" spans="1:9" ht="20.100000000000001" customHeight="1" x14ac:dyDescent="0.25">
      <c r="A364" s="23">
        <v>7</v>
      </c>
      <c r="B364" s="14" t="s">
        <v>3</v>
      </c>
      <c r="C364" s="86">
        <f>'data 2019'!CB62</f>
        <v>2578</v>
      </c>
      <c r="D364" s="86">
        <f>'data 2019'!CC62</f>
        <v>3246</v>
      </c>
      <c r="E364" s="218"/>
      <c r="F364" s="219"/>
      <c r="G364" s="219"/>
      <c r="H364" s="219"/>
      <c r="I364" s="86">
        <f>'data 2019'!CE62</f>
        <v>15489967</v>
      </c>
    </row>
    <row r="365" spans="1:9" ht="20.100000000000001" customHeight="1" x14ac:dyDescent="0.25">
      <c r="A365" s="23">
        <v>8</v>
      </c>
      <c r="B365" s="14" t="s">
        <v>236</v>
      </c>
      <c r="C365" s="86">
        <f>'data 2019'!CB63</f>
        <v>0</v>
      </c>
      <c r="D365" s="86">
        <f>'data 2019'!CC63</f>
        <v>90055.679999999993</v>
      </c>
      <c r="E365" s="218"/>
      <c r="F365" s="219"/>
      <c r="G365" s="219"/>
      <c r="H365" s="219"/>
      <c r="I365" s="86">
        <f>'data 2019'!CE63</f>
        <v>5394348.8899999987</v>
      </c>
    </row>
    <row r="366" spans="1:9" ht="20.100000000000001" customHeight="1" x14ac:dyDescent="0.25">
      <c r="A366" s="23">
        <v>9</v>
      </c>
      <c r="B366" s="14" t="s">
        <v>237</v>
      </c>
      <c r="C366" s="86">
        <f>'data 2019'!CB64</f>
        <v>2461.7399999999998</v>
      </c>
      <c r="D366" s="86">
        <f>'data 2019'!CC64</f>
        <v>2642.42</v>
      </c>
      <c r="E366" s="218"/>
      <c r="F366" s="219"/>
      <c r="G366" s="219"/>
      <c r="H366" s="219"/>
      <c r="I366" s="86">
        <f>'data 2019'!CE64</f>
        <v>29057063.109999999</v>
      </c>
    </row>
    <row r="367" spans="1:9" ht="20.100000000000001" customHeight="1" x14ac:dyDescent="0.25">
      <c r="A367" s="23">
        <v>10</v>
      </c>
      <c r="B367" s="14" t="s">
        <v>444</v>
      </c>
      <c r="C367" s="86">
        <f>'data 2019'!CB65</f>
        <v>0</v>
      </c>
      <c r="D367" s="86">
        <f>'data 2019'!CC65</f>
        <v>828</v>
      </c>
      <c r="E367" s="218"/>
      <c r="F367" s="219"/>
      <c r="G367" s="219"/>
      <c r="H367" s="219"/>
      <c r="I367" s="86">
        <f>'data 2019'!CE65</f>
        <v>2209838.21</v>
      </c>
    </row>
    <row r="368" spans="1:9" ht="20.100000000000001" customHeight="1" x14ac:dyDescent="0.25">
      <c r="A368" s="23">
        <v>11</v>
      </c>
      <c r="B368" s="14" t="s">
        <v>445</v>
      </c>
      <c r="C368" s="86">
        <f>'data 2019'!CB66</f>
        <v>186721.8</v>
      </c>
      <c r="D368" s="86">
        <f>'data 2019'!CC66</f>
        <v>190</v>
      </c>
      <c r="E368" s="218"/>
      <c r="F368" s="219"/>
      <c r="G368" s="219"/>
      <c r="H368" s="219"/>
      <c r="I368" s="86">
        <f>'data 2019'!CE66</f>
        <v>14476036.000000002</v>
      </c>
    </row>
    <row r="369" spans="1:9" ht="20.100000000000001" customHeight="1" x14ac:dyDescent="0.25">
      <c r="A369" s="23">
        <v>12</v>
      </c>
      <c r="B369" s="14" t="s">
        <v>6</v>
      </c>
      <c r="C369" s="86">
        <f>'data 2019'!CB67</f>
        <v>5280</v>
      </c>
      <c r="D369" s="86">
        <f>'data 2019'!CC67</f>
        <v>1853899</v>
      </c>
      <c r="E369" s="218"/>
      <c r="F369" s="219"/>
      <c r="G369" s="219"/>
      <c r="H369" s="219"/>
      <c r="I369" s="86">
        <f>'data 2019'!CE67</f>
        <v>8928310</v>
      </c>
    </row>
    <row r="370" spans="1:9" ht="20.100000000000001" customHeight="1" x14ac:dyDescent="0.25">
      <c r="A370" s="23">
        <v>13</v>
      </c>
      <c r="B370" s="14" t="s">
        <v>474</v>
      </c>
      <c r="C370" s="86">
        <f>'data 2019'!CB68</f>
        <v>0</v>
      </c>
      <c r="D370" s="86">
        <f>'data 2019'!CC68</f>
        <v>0</v>
      </c>
      <c r="E370" s="218"/>
      <c r="F370" s="219"/>
      <c r="G370" s="219"/>
      <c r="H370" s="219"/>
      <c r="I370" s="86">
        <f>'data 2019'!CE68</f>
        <v>1211472.7199999997</v>
      </c>
    </row>
    <row r="371" spans="1:9" ht="20.100000000000001" customHeight="1" x14ac:dyDescent="0.25">
      <c r="A371" s="23">
        <v>14</v>
      </c>
      <c r="B371" s="14" t="s">
        <v>241</v>
      </c>
      <c r="C371" s="86">
        <f>'data 2019'!CB69</f>
        <v>0</v>
      </c>
      <c r="D371" s="86">
        <f>'data 2019'!CC69</f>
        <v>39200.130000000005</v>
      </c>
      <c r="E371" s="86">
        <f>'data 2019'!CD69</f>
        <v>17934866.879999999</v>
      </c>
      <c r="F371" s="219"/>
      <c r="G371" s="219"/>
      <c r="H371" s="219"/>
      <c r="I371" s="86">
        <f>'data 2019'!CE69</f>
        <v>19515797.739999998</v>
      </c>
    </row>
    <row r="372" spans="1:9" ht="20.100000000000001" customHeight="1" x14ac:dyDescent="0.25">
      <c r="A372" s="23">
        <v>15</v>
      </c>
      <c r="B372" s="14" t="s">
        <v>242</v>
      </c>
      <c r="C372" s="14">
        <f>-'data 2019'!CB70</f>
        <v>-6987.5</v>
      </c>
      <c r="D372" s="14">
        <f>-'data 2019'!CC70</f>
        <v>0</v>
      </c>
      <c r="E372" s="229">
        <f>'data 2019'!CD70</f>
        <v>1407545.0400000003</v>
      </c>
      <c r="F372" s="220"/>
      <c r="G372" s="220"/>
      <c r="H372" s="220"/>
      <c r="I372" s="14">
        <f>-'data 2019'!CE70</f>
        <v>-3632078.66</v>
      </c>
    </row>
    <row r="373" spans="1:9" ht="20.100000000000001" customHeight="1" x14ac:dyDescent="0.25">
      <c r="A373" s="23">
        <v>16</v>
      </c>
      <c r="B373" s="48" t="s">
        <v>1180</v>
      </c>
      <c r="C373" s="86">
        <f>'data 2019'!CB71</f>
        <v>201768.03999999998</v>
      </c>
      <c r="D373" s="86">
        <f>'data 2019'!CC71</f>
        <v>2004811.23</v>
      </c>
      <c r="E373" s="86">
        <f>'data 2019'!CD71</f>
        <v>16527321.839999998</v>
      </c>
      <c r="F373" s="219"/>
      <c r="G373" s="219"/>
      <c r="H373" s="219"/>
      <c r="I373" s="14">
        <f>'data 2019'!CE71</f>
        <v>163032429.01000002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-'data 2019'!CE72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IF('data 2019'!CB73&gt;0,'data 2019'!CB73,"")</f>
        <v>x</v>
      </c>
      <c r="D376" s="213" t="str">
        <f>IF('data 2019'!CC73&gt;0,'data 2019'!CC73,"")</f>
        <v>x</v>
      </c>
      <c r="E376" s="214"/>
      <c r="F376" s="211"/>
      <c r="G376" s="211"/>
      <c r="H376" s="211"/>
      <c r="I376" s="85">
        <f>'data 2019'!CE73</f>
        <v>187622517.21000001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IF('data 2019'!CB74&gt;0,'data 2019'!CB74,"")</f>
        <v>x</v>
      </c>
      <c r="D377" s="213" t="str">
        <f>IF('data 2019'!CC74&gt;0,'data 2019'!CC74,"")</f>
        <v>x</v>
      </c>
      <c r="E377" s="214"/>
      <c r="F377" s="211"/>
      <c r="G377" s="211"/>
      <c r="H377" s="211"/>
      <c r="I377" s="85">
        <f>'data 2019'!CE74</f>
        <v>315304432.86000001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IF('data 2019'!CB75&gt;0,'data 2019'!CB75,"")</f>
        <v>x</v>
      </c>
      <c r="D378" s="213" t="str">
        <f>IF('data 2019'!CC75&gt;0,'data 2019'!CC75,"")</f>
        <v>x</v>
      </c>
      <c r="E378" s="214"/>
      <c r="F378" s="211"/>
      <c r="G378" s="211"/>
      <c r="H378" s="211"/>
      <c r="I378" s="85">
        <f>'data 2019'!CE75</f>
        <v>502926950.06999999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'data 2019'!CB76</f>
        <v>309</v>
      </c>
      <c r="D380" s="85">
        <f>'data 2019'!CC76</f>
        <v>108505</v>
      </c>
      <c r="E380" s="214"/>
      <c r="F380" s="211"/>
      <c r="G380" s="211"/>
      <c r="H380" s="211"/>
      <c r="I380" s="14">
        <f>'data 2019'!CE76</f>
        <v>522556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IF('data 2019'!CB77&gt;0,'data 2019'!CB77,"")</f>
        <v/>
      </c>
      <c r="D381" s="213" t="str">
        <f>IF('data 2019'!CC77&gt;0,'data 2019'!CC77,"")</f>
        <v>x</v>
      </c>
      <c r="E381" s="214"/>
      <c r="F381" s="211"/>
      <c r="G381" s="211"/>
      <c r="H381" s="211"/>
      <c r="I381" s="14">
        <f>'data 2019'!CE77</f>
        <v>343945</v>
      </c>
    </row>
    <row r="382" spans="1:9" ht="20.100000000000001" customHeight="1" x14ac:dyDescent="0.25">
      <c r="A382" s="23">
        <v>24</v>
      </c>
      <c r="B382" s="14" t="s">
        <v>1188</v>
      </c>
      <c r="C382" s="14">
        <f>IF('data 2019'!CB78&gt;0,'data 2019'!CB78,"")</f>
        <v>42.668770428432552</v>
      </c>
      <c r="D382" s="213" t="str">
        <f>IF('data 2019'!CC78&gt;0,'data 2019'!CC78,"")</f>
        <v>x</v>
      </c>
      <c r="E382" s="214"/>
      <c r="F382" s="211"/>
      <c r="G382" s="211"/>
      <c r="H382" s="211"/>
      <c r="I382" s="14">
        <f>'data 2019'!CE78</f>
        <v>46404.842443680674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IF('data 2019'!CB79&gt;0,'data 2019'!CB79,"")</f>
        <v/>
      </c>
      <c r="D383" s="213" t="str">
        <f>IF('data 2019'!CC79&gt;0,'data 2019'!CC79,"")</f>
        <v>x</v>
      </c>
      <c r="E383" s="214"/>
      <c r="F383" s="211"/>
      <c r="G383" s="211"/>
      <c r="H383" s="211"/>
      <c r="I383" s="14">
        <f>'data 2019'!CE79</f>
        <v>639909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IF('data 2019'!CB80&gt;0,'data 2019'!CB80,"")</f>
        <v/>
      </c>
      <c r="D384" s="213" t="str">
        <f>IF('data 2019'!CC80&gt;0,'data 2019'!CC80,"")</f>
        <v>x</v>
      </c>
      <c r="E384" s="217"/>
      <c r="F384" s="211"/>
      <c r="G384" s="211"/>
      <c r="H384" s="211"/>
      <c r="I384" s="84">
        <f>'data 2019'!CE80</f>
        <v>216.41000000000003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 2019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'data 2019'!Print_Area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Trios Year End Report</dc:title>
  <dc:subject>2019 Trios Year End Report</dc:subject>
  <dc:creator>Washington State Dept of Health - HSQA - Community Health Systems</dc:creator>
  <cp:keywords>hospital financial reports</cp:keywords>
  <cp:lastModifiedBy>Huyck, Randall  (DOH)</cp:lastModifiedBy>
  <cp:lastPrinted>2020-06-24T21:40:19Z</cp:lastPrinted>
  <dcterms:created xsi:type="dcterms:W3CDTF">1999-06-02T22:01:56Z</dcterms:created>
  <dcterms:modified xsi:type="dcterms:W3CDTF">2020-09-02T22:50:49Z</dcterms:modified>
</cp:coreProperties>
</file>