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data!$A$1:$I$396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Year'!$A$1:$I$396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39" i="1" l="1"/>
  <c r="C234" i="1"/>
  <c r="C365" i="1"/>
  <c r="C142" i="1"/>
  <c r="D141" i="1"/>
  <c r="C141" i="1"/>
  <c r="CC61" i="1" l="1"/>
  <c r="S74" i="1"/>
  <c r="S73" i="1"/>
  <c r="BN76" i="1"/>
  <c r="C231" i="1" l="1"/>
  <c r="C233" i="1"/>
  <c r="C228" i="1"/>
  <c r="C227" i="1"/>
  <c r="C226" i="1"/>
  <c r="C224" i="1"/>
  <c r="C389" i="1"/>
  <c r="C370" i="1"/>
  <c r="C387" i="1"/>
  <c r="C385" i="1"/>
  <c r="C379" i="1"/>
  <c r="C378" i="1"/>
  <c r="C312" i="1"/>
  <c r="C307" i="1"/>
  <c r="C306" i="1"/>
  <c r="C305" i="1"/>
  <c r="C276" i="1"/>
  <c r="C252" i="1"/>
  <c r="C213" i="1"/>
  <c r="C211" i="1"/>
  <c r="C210" i="1"/>
  <c r="C209" i="1"/>
  <c r="C203" i="1"/>
  <c r="C200" i="1"/>
  <c r="C198" i="1"/>
  <c r="C197" i="1"/>
  <c r="C176" i="1"/>
  <c r="C171" i="1"/>
  <c r="C170" i="1"/>
  <c r="C168" i="1"/>
  <c r="B157" i="1"/>
  <c r="D140" i="1"/>
  <c r="C140" i="1"/>
  <c r="D139" i="1"/>
  <c r="C139" i="1"/>
  <c r="D138" i="1"/>
  <c r="C138" i="1"/>
  <c r="O817" i="10" l="1"/>
  <c r="J817" i="10"/>
  <c r="I817" i="10"/>
  <c r="H817" i="10"/>
  <c r="G817" i="10"/>
  <c r="F817" i="10"/>
  <c r="V815" i="10"/>
  <c r="X813" i="10"/>
  <c r="X815" i="10" s="1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I752" i="10"/>
  <c r="H752" i="10"/>
  <c r="G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W730" i="10"/>
  <c r="BV730" i="10"/>
  <c r="BU730" i="10"/>
  <c r="BT730" i="10"/>
  <c r="BS730" i="10"/>
  <c r="BP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Q730" i="10"/>
  <c r="AP730" i="10"/>
  <c r="AO730" i="10"/>
  <c r="AN730" i="10"/>
  <c r="AM730" i="10"/>
  <c r="AL730" i="10"/>
  <c r="AK730" i="10"/>
  <c r="AG730" i="10"/>
  <c r="AF730" i="10"/>
  <c r="AE730" i="10"/>
  <c r="AD730" i="10"/>
  <c r="AC730" i="10"/>
  <c r="AB730" i="10"/>
  <c r="AA730" i="10"/>
  <c r="Z730" i="10"/>
  <c r="Y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I726" i="10"/>
  <c r="AH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BZ722" i="10"/>
  <c r="BY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I722" i="10"/>
  <c r="H722" i="10"/>
  <c r="D722" i="10"/>
  <c r="C722" i="10"/>
  <c r="B722" i="10"/>
  <c r="A722" i="10"/>
  <c r="C615" i="10"/>
  <c r="E550" i="10"/>
  <c r="F550" i="10"/>
  <c r="E546" i="10"/>
  <c r="F546" i="10"/>
  <c r="F544" i="10"/>
  <c r="E544" i="10"/>
  <c r="H540" i="10"/>
  <c r="F540" i="10"/>
  <c r="E540" i="10"/>
  <c r="E539" i="10"/>
  <c r="E538" i="10"/>
  <c r="H538" i="10"/>
  <c r="F537" i="10"/>
  <c r="E537" i="10"/>
  <c r="H537" i="10"/>
  <c r="H536" i="10"/>
  <c r="E536" i="10"/>
  <c r="F536" i="10"/>
  <c r="H535" i="10"/>
  <c r="F535" i="10"/>
  <c r="E535" i="10"/>
  <c r="E534" i="10"/>
  <c r="F533" i="10"/>
  <c r="E533" i="10"/>
  <c r="H533" i="10"/>
  <c r="H532" i="10"/>
  <c r="F532" i="10"/>
  <c r="E532" i="10"/>
  <c r="H531" i="10"/>
  <c r="E531" i="10"/>
  <c r="F531" i="10"/>
  <c r="E530" i="10"/>
  <c r="F529" i="10"/>
  <c r="E529" i="10"/>
  <c r="E528" i="10"/>
  <c r="F528" i="10"/>
  <c r="H527" i="10"/>
  <c r="F527" i="10"/>
  <c r="E527" i="10"/>
  <c r="E526" i="10"/>
  <c r="H526" i="10"/>
  <c r="F525" i="10"/>
  <c r="E525" i="10"/>
  <c r="H525" i="10"/>
  <c r="E524" i="10"/>
  <c r="F524" i="10"/>
  <c r="E523" i="10"/>
  <c r="F523" i="10"/>
  <c r="E522" i="10"/>
  <c r="H521" i="10"/>
  <c r="F521" i="10"/>
  <c r="H520" i="10"/>
  <c r="E520" i="10"/>
  <c r="F520" i="10"/>
  <c r="F519" i="10"/>
  <c r="E519" i="10"/>
  <c r="H519" i="10"/>
  <c r="F518" i="10"/>
  <c r="E518" i="10"/>
  <c r="E517" i="10"/>
  <c r="F517" i="10"/>
  <c r="E516" i="10"/>
  <c r="F515" i="10"/>
  <c r="E515" i="10"/>
  <c r="H515" i="10"/>
  <c r="F514" i="10"/>
  <c r="H513" i="10"/>
  <c r="F513" i="10"/>
  <c r="F511" i="10"/>
  <c r="E511" i="10"/>
  <c r="H511" i="10"/>
  <c r="E510" i="10"/>
  <c r="F510" i="10"/>
  <c r="E509" i="10"/>
  <c r="F509" i="10"/>
  <c r="H508" i="10"/>
  <c r="F508" i="10"/>
  <c r="E508" i="10"/>
  <c r="E507" i="10"/>
  <c r="H507" i="10"/>
  <c r="F506" i="10"/>
  <c r="E506" i="10"/>
  <c r="H506" i="10"/>
  <c r="H505" i="10"/>
  <c r="E505" i="10"/>
  <c r="F505" i="10"/>
  <c r="E504" i="10"/>
  <c r="F503" i="10"/>
  <c r="E503" i="10"/>
  <c r="H503" i="10"/>
  <c r="H502" i="10"/>
  <c r="E502" i="10"/>
  <c r="F502" i="10"/>
  <c r="H501" i="10"/>
  <c r="F501" i="10"/>
  <c r="E501" i="10"/>
  <c r="H500" i="10"/>
  <c r="F500" i="10"/>
  <c r="E500" i="10"/>
  <c r="F499" i="10"/>
  <c r="E499" i="10"/>
  <c r="H499" i="10"/>
  <c r="E498" i="10"/>
  <c r="F498" i="10"/>
  <c r="H497" i="10"/>
  <c r="E497" i="10"/>
  <c r="F497" i="10"/>
  <c r="E496" i="10"/>
  <c r="G493" i="10"/>
  <c r="E493" i="10"/>
  <c r="C493" i="10"/>
  <c r="A493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3" i="10"/>
  <c r="C444" i="10"/>
  <c r="C439" i="10"/>
  <c r="C438" i="10"/>
  <c r="B438" i="10"/>
  <c r="B437" i="10"/>
  <c r="B436" i="10"/>
  <c r="B435" i="10"/>
  <c r="B433" i="10"/>
  <c r="B432" i="10"/>
  <c r="B431" i="10"/>
  <c r="B430" i="10"/>
  <c r="B429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C389" i="10"/>
  <c r="C385" i="10"/>
  <c r="B434" i="10" s="1"/>
  <c r="C379" i="10"/>
  <c r="B428" i="10" s="1"/>
  <c r="C378" i="10"/>
  <c r="B427" i="10" s="1"/>
  <c r="D372" i="10"/>
  <c r="C370" i="10"/>
  <c r="D361" i="10"/>
  <c r="N817" i="10" s="1"/>
  <c r="D329" i="10"/>
  <c r="D328" i="10"/>
  <c r="D330" i="10" s="1"/>
  <c r="D319" i="10"/>
  <c r="C317" i="10"/>
  <c r="AR730" i="10" s="1"/>
  <c r="C307" i="10"/>
  <c r="AJ730" i="10" s="1"/>
  <c r="C306" i="10"/>
  <c r="AI730" i="10" s="1"/>
  <c r="C305" i="10"/>
  <c r="D290" i="10"/>
  <c r="D283" i="10"/>
  <c r="C276" i="10"/>
  <c r="X730" i="10" s="1"/>
  <c r="D275" i="10"/>
  <c r="D265" i="10"/>
  <c r="D260" i="10"/>
  <c r="C239" i="10"/>
  <c r="CC722" i="10" s="1"/>
  <c r="C233" i="10"/>
  <c r="C227" i="10"/>
  <c r="BX722" i="10" s="1"/>
  <c r="C226" i="10"/>
  <c r="BW722" i="10" s="1"/>
  <c r="C224" i="10"/>
  <c r="BU722" i="10" s="1"/>
  <c r="C223" i="10"/>
  <c r="BT722" i="10" s="1"/>
  <c r="D221" i="10"/>
  <c r="CD722" i="10" s="1"/>
  <c r="D217" i="10"/>
  <c r="C217" i="10"/>
  <c r="D433" i="10" s="1"/>
  <c r="E216" i="10"/>
  <c r="E215" i="10"/>
  <c r="E214" i="10"/>
  <c r="B213" i="10"/>
  <c r="BH722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8" i="10" s="1"/>
  <c r="D181" i="10"/>
  <c r="D435" i="10" s="1"/>
  <c r="C176" i="10"/>
  <c r="J722" i="10" s="1"/>
  <c r="C170" i="10"/>
  <c r="G722" i="10" s="1"/>
  <c r="C169" i="10"/>
  <c r="F722" i="10" s="1"/>
  <c r="C168" i="10"/>
  <c r="B157" i="10"/>
  <c r="BQ726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D141" i="10"/>
  <c r="AK726" i="10" s="1"/>
  <c r="C141" i="10"/>
  <c r="AF726" i="10" s="1"/>
  <c r="B141" i="10"/>
  <c r="AA726" i="10" s="1"/>
  <c r="D140" i="10"/>
  <c r="AJ726" i="10" s="1"/>
  <c r="C140" i="10"/>
  <c r="AE726" i="10" s="1"/>
  <c r="E139" i="10"/>
  <c r="C415" i="10" s="1"/>
  <c r="E138" i="10"/>
  <c r="C414" i="10" s="1"/>
  <c r="E127" i="10"/>
  <c r="CE80" i="10"/>
  <c r="T816" i="10" s="1"/>
  <c r="CF79" i="10"/>
  <c r="CE79" i="10"/>
  <c r="CE78" i="10"/>
  <c r="R816" i="10" s="1"/>
  <c r="CE77" i="10"/>
  <c r="CF76" i="10"/>
  <c r="CA52" i="10" s="1"/>
  <c r="CA67" i="10" s="1"/>
  <c r="J810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I75" i="10"/>
  <c r="N766" i="10" s="1"/>
  <c r="AH75" i="10"/>
  <c r="N765" i="10" s="1"/>
  <c r="AG75" i="10"/>
  <c r="N764" i="10" s="1"/>
  <c r="AF75" i="10"/>
  <c r="N763" i="10" s="1"/>
  <c r="AD75" i="10"/>
  <c r="N761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AK74" i="10"/>
  <c r="AK75" i="10" s="1"/>
  <c r="N768" i="10" s="1"/>
  <c r="AJ74" i="10"/>
  <c r="AE74" i="10"/>
  <c r="AC74" i="10"/>
  <c r="AB74" i="10"/>
  <c r="S74" i="10"/>
  <c r="AJ73" i="10"/>
  <c r="O767" i="10" s="1"/>
  <c r="AE73" i="10"/>
  <c r="O762" i="10" s="1"/>
  <c r="AC73" i="10"/>
  <c r="AB73" i="10"/>
  <c r="O759" i="10" s="1"/>
  <c r="Y73" i="10"/>
  <c r="O756" i="10" s="1"/>
  <c r="U73" i="10"/>
  <c r="O752" i="10" s="1"/>
  <c r="S73" i="10"/>
  <c r="O750" i="10" s="1"/>
  <c r="E73" i="10"/>
  <c r="CD71" i="10"/>
  <c r="C575" i="10" s="1"/>
  <c r="CE70" i="10"/>
  <c r="M816" i="10" s="1"/>
  <c r="CE69" i="10"/>
  <c r="CE68" i="10"/>
  <c r="K816" i="10" s="1"/>
  <c r="CE66" i="10"/>
  <c r="CE65" i="10"/>
  <c r="H816" i="10" s="1"/>
  <c r="CE64" i="10"/>
  <c r="CE63" i="10"/>
  <c r="F816" i="10" s="1"/>
  <c r="CE61" i="10"/>
  <c r="D816" i="10" s="1"/>
  <c r="CE60" i="10"/>
  <c r="AZ59" i="10"/>
  <c r="U59" i="10"/>
  <c r="B752" i="10" s="1"/>
  <c r="B53" i="10"/>
  <c r="CC52" i="10"/>
  <c r="CC67" i="10" s="1"/>
  <c r="J812" i="10" s="1"/>
  <c r="BZ52" i="10"/>
  <c r="BZ67" i="10" s="1"/>
  <c r="J809" i="10" s="1"/>
  <c r="BV52" i="10"/>
  <c r="BV67" i="10" s="1"/>
  <c r="J805" i="10" s="1"/>
  <c r="BR52" i="10"/>
  <c r="BR67" i="10" s="1"/>
  <c r="J801" i="10" s="1"/>
  <c r="BN52" i="10"/>
  <c r="BN67" i="10" s="1"/>
  <c r="J797" i="10" s="1"/>
  <c r="BM52" i="10"/>
  <c r="BM67" i="10" s="1"/>
  <c r="J796" i="10" s="1"/>
  <c r="BF52" i="10"/>
  <c r="BF67" i="10" s="1"/>
  <c r="J789" i="10" s="1"/>
  <c r="BE52" i="10"/>
  <c r="BE67" i="10" s="1"/>
  <c r="J788" i="10" s="1"/>
  <c r="BB52" i="10"/>
  <c r="BB67" i="10" s="1"/>
  <c r="J785" i="10" s="1"/>
  <c r="AW52" i="10"/>
  <c r="AW67" i="10" s="1"/>
  <c r="J780" i="10" s="1"/>
  <c r="AT52" i="10"/>
  <c r="AT67" i="10" s="1"/>
  <c r="J777" i="10" s="1"/>
  <c r="AP52" i="10"/>
  <c r="AP67" i="10" s="1"/>
  <c r="J773" i="10" s="1"/>
  <c r="AL52" i="10"/>
  <c r="AL67" i="10" s="1"/>
  <c r="J769" i="10" s="1"/>
  <c r="AH52" i="10"/>
  <c r="AH67" i="10" s="1"/>
  <c r="J765" i="10" s="1"/>
  <c r="AG52" i="10"/>
  <c r="AG67" i="10" s="1"/>
  <c r="J764" i="10" s="1"/>
  <c r="Z52" i="10"/>
  <c r="Z67" i="10" s="1"/>
  <c r="J757" i="10" s="1"/>
  <c r="Y52" i="10"/>
  <c r="Y67" i="10" s="1"/>
  <c r="J756" i="10" s="1"/>
  <c r="V52" i="10"/>
  <c r="V67" i="10" s="1"/>
  <c r="J753" i="10" s="1"/>
  <c r="Q52" i="10"/>
  <c r="Q67" i="10" s="1"/>
  <c r="J748" i="10" s="1"/>
  <c r="N52" i="10"/>
  <c r="N67" i="10" s="1"/>
  <c r="J745" i="10" s="1"/>
  <c r="J52" i="10"/>
  <c r="J67" i="10" s="1"/>
  <c r="J741" i="10" s="1"/>
  <c r="F52" i="10"/>
  <c r="F67" i="10" s="1"/>
  <c r="J737" i="10" s="1"/>
  <c r="CE51" i="10"/>
  <c r="B49" i="10"/>
  <c r="BX48" i="10"/>
  <c r="BX62" i="10" s="1"/>
  <c r="BT48" i="10"/>
  <c r="BT62" i="10" s="1"/>
  <c r="BO48" i="10"/>
  <c r="BO62" i="10" s="1"/>
  <c r="BH48" i="10"/>
  <c r="BH62" i="10" s="1"/>
  <c r="BD48" i="10"/>
  <c r="BD62" i="10" s="1"/>
  <c r="AY48" i="10"/>
  <c r="AY62" i="10" s="1"/>
  <c r="AR48" i="10"/>
  <c r="AR62" i="10" s="1"/>
  <c r="AN48" i="10"/>
  <c r="AN62" i="10" s="1"/>
  <c r="AI48" i="10"/>
  <c r="AI62" i="10" s="1"/>
  <c r="AB48" i="10"/>
  <c r="AB62" i="10" s="1"/>
  <c r="X48" i="10"/>
  <c r="X62" i="10" s="1"/>
  <c r="S48" i="10"/>
  <c r="S62" i="10" s="1"/>
  <c r="L48" i="10"/>
  <c r="L62" i="10" s="1"/>
  <c r="H48" i="10"/>
  <c r="H62" i="10" s="1"/>
  <c r="C48" i="10"/>
  <c r="B48" i="10"/>
  <c r="CA48" i="10" s="1"/>
  <c r="CA62" i="10" s="1"/>
  <c r="CE47" i="10"/>
  <c r="D48" i="10" l="1"/>
  <c r="D62" i="10" s="1"/>
  <c r="P48" i="10"/>
  <c r="P62" i="10" s="1"/>
  <c r="E747" i="10" s="1"/>
  <c r="AA48" i="10"/>
  <c r="AA62" i="10" s="1"/>
  <c r="AJ48" i="10"/>
  <c r="AJ62" i="10" s="1"/>
  <c r="AJ71" i="10" s="1"/>
  <c r="AV48" i="10"/>
  <c r="AV62" i="10" s="1"/>
  <c r="E779" i="10" s="1"/>
  <c r="BG48" i="10"/>
  <c r="BG62" i="10" s="1"/>
  <c r="BP48" i="10"/>
  <c r="BP62" i="10" s="1"/>
  <c r="CB48" i="10"/>
  <c r="CB62" i="10" s="1"/>
  <c r="E811" i="10" s="1"/>
  <c r="I52" i="10"/>
  <c r="I67" i="10" s="1"/>
  <c r="J740" i="10" s="1"/>
  <c r="R52" i="10"/>
  <c r="R67" i="10" s="1"/>
  <c r="J749" i="10" s="1"/>
  <c r="AD52" i="10"/>
  <c r="AD67" i="10" s="1"/>
  <c r="J761" i="10" s="1"/>
  <c r="AO52" i="10"/>
  <c r="AO67" i="10" s="1"/>
  <c r="J772" i="10" s="1"/>
  <c r="AX52" i="10"/>
  <c r="AX67" i="10" s="1"/>
  <c r="J781" i="10" s="1"/>
  <c r="BJ52" i="10"/>
  <c r="BJ67" i="10" s="1"/>
  <c r="J793" i="10" s="1"/>
  <c r="BU52" i="10"/>
  <c r="BU67" i="10" s="1"/>
  <c r="J804" i="10" s="1"/>
  <c r="AE75" i="10"/>
  <c r="N762" i="10" s="1"/>
  <c r="E140" i="10"/>
  <c r="B142" i="10"/>
  <c r="AB726" i="10" s="1"/>
  <c r="E213" i="10"/>
  <c r="B217" i="10"/>
  <c r="D229" i="10"/>
  <c r="D390" i="10"/>
  <c r="B441" i="10" s="1"/>
  <c r="B478" i="10"/>
  <c r="E514" i="10"/>
  <c r="R815" i="10"/>
  <c r="S75" i="10"/>
  <c r="N750" i="10" s="1"/>
  <c r="I612" i="10"/>
  <c r="C431" i="10"/>
  <c r="B465" i="10"/>
  <c r="K48" i="10"/>
  <c r="K62" i="10" s="1"/>
  <c r="T48" i="10"/>
  <c r="T62" i="10" s="1"/>
  <c r="AF48" i="10"/>
  <c r="AF62" i="10" s="1"/>
  <c r="E763" i="10" s="1"/>
  <c r="AQ48" i="10"/>
  <c r="AQ62" i="10" s="1"/>
  <c r="AZ48" i="10"/>
  <c r="AZ62" i="10" s="1"/>
  <c r="BL48" i="10"/>
  <c r="BL62" i="10" s="1"/>
  <c r="BW48" i="10"/>
  <c r="BW62" i="10" s="1"/>
  <c r="E806" i="10" s="1"/>
  <c r="AJ75" i="10"/>
  <c r="N767" i="10" s="1"/>
  <c r="AB75" i="10"/>
  <c r="N759" i="10" s="1"/>
  <c r="C429" i="10"/>
  <c r="B444" i="10"/>
  <c r="D612" i="10"/>
  <c r="E810" i="10"/>
  <c r="CA71" i="10"/>
  <c r="E775" i="10"/>
  <c r="E735" i="10"/>
  <c r="E758" i="10"/>
  <c r="E799" i="10"/>
  <c r="E739" i="10"/>
  <c r="E759" i="10"/>
  <c r="E782" i="10"/>
  <c r="E803" i="10"/>
  <c r="BT71" i="10"/>
  <c r="E783" i="10"/>
  <c r="E743" i="10"/>
  <c r="E766" i="10"/>
  <c r="E787" i="10"/>
  <c r="E807" i="10"/>
  <c r="E742" i="10"/>
  <c r="K71" i="10"/>
  <c r="E755" i="10"/>
  <c r="E767" i="10"/>
  <c r="E790" i="10"/>
  <c r="E750" i="10"/>
  <c r="E771" i="10"/>
  <c r="E791" i="10"/>
  <c r="E751" i="10"/>
  <c r="E774" i="10"/>
  <c r="E795" i="10"/>
  <c r="E798" i="10"/>
  <c r="BO71" i="10"/>
  <c r="L816" i="10"/>
  <c r="C440" i="10"/>
  <c r="Q48" i="10"/>
  <c r="Q62" i="10" s="1"/>
  <c r="Y48" i="10"/>
  <c r="Y62" i="10" s="1"/>
  <c r="AO48" i="10"/>
  <c r="AO62" i="10" s="1"/>
  <c r="BE48" i="10"/>
  <c r="BE62" i="10" s="1"/>
  <c r="BM48" i="10"/>
  <c r="BM62" i="10" s="1"/>
  <c r="CC48" i="10"/>
  <c r="CC62" i="10" s="1"/>
  <c r="O52" i="10"/>
  <c r="O67" i="10" s="1"/>
  <c r="J746" i="10" s="1"/>
  <c r="AE52" i="10"/>
  <c r="AE67" i="10" s="1"/>
  <c r="J762" i="10" s="1"/>
  <c r="AU52" i="10"/>
  <c r="AU67" i="10" s="1"/>
  <c r="J778" i="10" s="1"/>
  <c r="BK52" i="10"/>
  <c r="BK67" i="10" s="1"/>
  <c r="J794" i="10" s="1"/>
  <c r="BS52" i="10"/>
  <c r="BS67" i="10" s="1"/>
  <c r="J802" i="10" s="1"/>
  <c r="C62" i="10"/>
  <c r="Q816" i="10"/>
  <c r="G612" i="10"/>
  <c r="CF77" i="10"/>
  <c r="D177" i="10"/>
  <c r="D434" i="10" s="1"/>
  <c r="E204" i="10"/>
  <c r="C476" i="10" s="1"/>
  <c r="D277" i="10"/>
  <c r="D292" i="10" s="1"/>
  <c r="D341" i="10" s="1"/>
  <c r="C481" i="10" s="1"/>
  <c r="B476" i="10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H52" i="10"/>
  <c r="H67" i="10" s="1"/>
  <c r="J739" i="10" s="1"/>
  <c r="P52" i="10"/>
  <c r="P67" i="10" s="1"/>
  <c r="J747" i="10" s="1"/>
  <c r="X52" i="10"/>
  <c r="X67" i="10" s="1"/>
  <c r="J755" i="10" s="1"/>
  <c r="AF52" i="10"/>
  <c r="AF67" i="10" s="1"/>
  <c r="J763" i="10" s="1"/>
  <c r="AN52" i="10"/>
  <c r="AN67" i="10" s="1"/>
  <c r="J771" i="10" s="1"/>
  <c r="AV52" i="10"/>
  <c r="AV67" i="10" s="1"/>
  <c r="J779" i="10" s="1"/>
  <c r="BD52" i="10"/>
  <c r="BD67" i="10" s="1"/>
  <c r="J787" i="10" s="1"/>
  <c r="BL52" i="10"/>
  <c r="BL67" i="10" s="1"/>
  <c r="J795" i="10" s="1"/>
  <c r="BT52" i="10"/>
  <c r="BT67" i="10" s="1"/>
  <c r="J803" i="10" s="1"/>
  <c r="CB52" i="10"/>
  <c r="CB67" i="10" s="1"/>
  <c r="J811" i="10" s="1"/>
  <c r="E217" i="10"/>
  <c r="C478" i="10" s="1"/>
  <c r="M817" i="10"/>
  <c r="BO730" i="10"/>
  <c r="B458" i="10"/>
  <c r="H523" i="10"/>
  <c r="S816" i="10"/>
  <c r="J612" i="10"/>
  <c r="D436" i="10"/>
  <c r="C427" i="10"/>
  <c r="E48" i="10"/>
  <c r="E62" i="10" s="1"/>
  <c r="AC48" i="10"/>
  <c r="AC62" i="10" s="1"/>
  <c r="BI48" i="10"/>
  <c r="BI62" i="10" s="1"/>
  <c r="C52" i="10"/>
  <c r="AA52" i="10"/>
  <c r="AA67" i="10" s="1"/>
  <c r="J758" i="10" s="1"/>
  <c r="AY52" i="10"/>
  <c r="AY67" i="10" s="1"/>
  <c r="J782" i="10" s="1"/>
  <c r="BO52" i="10"/>
  <c r="BO67" i="10" s="1"/>
  <c r="J798" i="10" s="1"/>
  <c r="AH730" i="10"/>
  <c r="D314" i="10"/>
  <c r="D339" i="10" s="1"/>
  <c r="C482" i="10" s="1"/>
  <c r="CA722" i="10"/>
  <c r="B454" i="10"/>
  <c r="C234" i="10"/>
  <c r="D236" i="10" s="1"/>
  <c r="U48" i="10"/>
  <c r="U62" i="10" s="1"/>
  <c r="AS48" i="10"/>
  <c r="AS62" i="10" s="1"/>
  <c r="BQ48" i="10"/>
  <c r="BQ62" i="10" s="1"/>
  <c r="K52" i="10"/>
  <c r="K67" i="10" s="1"/>
  <c r="J742" i="10" s="1"/>
  <c r="AI52" i="10"/>
  <c r="AI67" i="10" s="1"/>
  <c r="J766" i="10" s="1"/>
  <c r="CE74" i="10"/>
  <c r="C464" i="10" s="1"/>
  <c r="BR730" i="10"/>
  <c r="E817" i="10"/>
  <c r="F48" i="10"/>
  <c r="F62" i="10" s="1"/>
  <c r="V48" i="10"/>
  <c r="V62" i="10" s="1"/>
  <c r="AD48" i="10"/>
  <c r="AD62" i="10" s="1"/>
  <c r="AT48" i="10"/>
  <c r="AT62" i="10" s="1"/>
  <c r="BB48" i="10"/>
  <c r="BB62" i="10" s="1"/>
  <c r="BZ48" i="10"/>
  <c r="BZ62" i="10" s="1"/>
  <c r="L52" i="10"/>
  <c r="L67" i="10" s="1"/>
  <c r="J743" i="10" s="1"/>
  <c r="T52" i="10"/>
  <c r="T67" i="10" s="1"/>
  <c r="J751" i="10" s="1"/>
  <c r="AJ52" i="10"/>
  <c r="AJ67" i="10" s="1"/>
  <c r="J767" i="10" s="1"/>
  <c r="BH52" i="10"/>
  <c r="BH67" i="10" s="1"/>
  <c r="J791" i="10" s="1"/>
  <c r="BX52" i="10"/>
  <c r="BX67" i="10" s="1"/>
  <c r="J807" i="10" s="1"/>
  <c r="G816" i="10"/>
  <c r="F612" i="10"/>
  <c r="C430" i="10"/>
  <c r="O736" i="10"/>
  <c r="E75" i="10"/>
  <c r="N736" i="10" s="1"/>
  <c r="CE73" i="10"/>
  <c r="N734" i="10"/>
  <c r="D240" i="10"/>
  <c r="H504" i="10"/>
  <c r="F504" i="10"/>
  <c r="F526" i="10"/>
  <c r="O760" i="10"/>
  <c r="AC75" i="10"/>
  <c r="N760" i="10" s="1"/>
  <c r="H512" i="10"/>
  <c r="F512" i="10"/>
  <c r="M48" i="10"/>
  <c r="M62" i="10" s="1"/>
  <c r="AK48" i="10"/>
  <c r="AK62" i="10" s="1"/>
  <c r="BA48" i="10"/>
  <c r="BA62" i="10" s="1"/>
  <c r="BY48" i="10"/>
  <c r="BY62" i="10" s="1"/>
  <c r="S52" i="10"/>
  <c r="S67" i="10" s="1"/>
  <c r="J750" i="10" s="1"/>
  <c r="AQ52" i="10"/>
  <c r="AQ67" i="10" s="1"/>
  <c r="J774" i="10" s="1"/>
  <c r="BG52" i="10"/>
  <c r="BG67" i="10" s="1"/>
  <c r="J790" i="10" s="1"/>
  <c r="BW52" i="10"/>
  <c r="BW67" i="10" s="1"/>
  <c r="J806" i="10" s="1"/>
  <c r="E722" i="10"/>
  <c r="D173" i="10"/>
  <c r="D428" i="10" s="1"/>
  <c r="N48" i="10"/>
  <c r="N62" i="10" s="1"/>
  <c r="AL48" i="10"/>
  <c r="AL62" i="10" s="1"/>
  <c r="BJ48" i="10"/>
  <c r="BJ62" i="10" s="1"/>
  <c r="BR48" i="10"/>
  <c r="BR62" i="10" s="1"/>
  <c r="D52" i="10"/>
  <c r="D67" i="10" s="1"/>
  <c r="J735" i="10" s="1"/>
  <c r="AB52" i="10"/>
  <c r="AB67" i="10" s="1"/>
  <c r="J759" i="10" s="1"/>
  <c r="AR52" i="10"/>
  <c r="AR67" i="10" s="1"/>
  <c r="J775" i="10" s="1"/>
  <c r="AZ52" i="10"/>
  <c r="AZ67" i="10" s="1"/>
  <c r="J783" i="10" s="1"/>
  <c r="BP52" i="10"/>
  <c r="BP67" i="10" s="1"/>
  <c r="J799" i="10" s="1"/>
  <c r="B783" i="10"/>
  <c r="E545" i="10"/>
  <c r="G48" i="10"/>
  <c r="G62" i="10" s="1"/>
  <c r="O48" i="10"/>
  <c r="O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E52" i="10"/>
  <c r="E67" i="10" s="1"/>
  <c r="J736" i="10" s="1"/>
  <c r="M52" i="10"/>
  <c r="M67" i="10" s="1"/>
  <c r="J744" i="10" s="1"/>
  <c r="U52" i="10"/>
  <c r="U67" i="10" s="1"/>
  <c r="J752" i="10" s="1"/>
  <c r="AC52" i="10"/>
  <c r="AC67" i="10" s="1"/>
  <c r="J760" i="10" s="1"/>
  <c r="AK52" i="10"/>
  <c r="AK67" i="10" s="1"/>
  <c r="J768" i="10" s="1"/>
  <c r="AS52" i="10"/>
  <c r="AS67" i="10" s="1"/>
  <c r="J776" i="10" s="1"/>
  <c r="BA52" i="10"/>
  <c r="BA67" i="10" s="1"/>
  <c r="J784" i="10" s="1"/>
  <c r="BI52" i="10"/>
  <c r="BI67" i="10" s="1"/>
  <c r="J792" i="10" s="1"/>
  <c r="BQ52" i="10"/>
  <c r="BQ67" i="10" s="1"/>
  <c r="J800" i="10" s="1"/>
  <c r="BY52" i="10"/>
  <c r="BY67" i="10" s="1"/>
  <c r="J808" i="10" s="1"/>
  <c r="E141" i="10"/>
  <c r="D463" i="10" s="1"/>
  <c r="C434" i="10"/>
  <c r="F507" i="10"/>
  <c r="F539" i="10"/>
  <c r="H539" i="10"/>
  <c r="I816" i="10"/>
  <c r="C432" i="10"/>
  <c r="H534" i="10"/>
  <c r="F534" i="10"/>
  <c r="C364" i="10"/>
  <c r="B445" i="10"/>
  <c r="H496" i="10"/>
  <c r="F496" i="10"/>
  <c r="I48" i="10"/>
  <c r="I62" i="10" s="1"/>
  <c r="AG48" i="10"/>
  <c r="AG62" i="10" s="1"/>
  <c r="AW48" i="10"/>
  <c r="AW62" i="10" s="1"/>
  <c r="BU48" i="10"/>
  <c r="BU62" i="10" s="1"/>
  <c r="G52" i="10"/>
  <c r="G67" i="10" s="1"/>
  <c r="J738" i="10" s="1"/>
  <c r="W52" i="10"/>
  <c r="W67" i="10" s="1"/>
  <c r="J754" i="10" s="1"/>
  <c r="AM52" i="10"/>
  <c r="AM67" i="10" s="1"/>
  <c r="J770" i="10" s="1"/>
  <c r="BC52" i="10"/>
  <c r="BC67" i="10" s="1"/>
  <c r="J786" i="10" s="1"/>
  <c r="H516" i="10"/>
  <c r="F516" i="10"/>
  <c r="BI730" i="10"/>
  <c r="C816" i="10"/>
  <c r="H612" i="10"/>
  <c r="Y75" i="10"/>
  <c r="N756" i="10" s="1"/>
  <c r="L817" i="10"/>
  <c r="CC730" i="10"/>
  <c r="C458" i="10"/>
  <c r="D815" i="10"/>
  <c r="L612" i="10"/>
  <c r="H815" i="10"/>
  <c r="Q815" i="10"/>
  <c r="U75" i="10"/>
  <c r="N752" i="10" s="1"/>
  <c r="C142" i="10"/>
  <c r="B439" i="10"/>
  <c r="B440" i="10" s="1"/>
  <c r="H517" i="10"/>
  <c r="H528" i="10"/>
  <c r="F538" i="10"/>
  <c r="S815" i="10"/>
  <c r="BQ730" i="10"/>
  <c r="D817" i="10"/>
  <c r="F545" i="10"/>
  <c r="K815" i="10"/>
  <c r="I815" i="10"/>
  <c r="BX730" i="10"/>
  <c r="K817" i="10"/>
  <c r="F522" i="10"/>
  <c r="F530" i="10"/>
  <c r="G815" i="10"/>
  <c r="T815" i="10"/>
  <c r="L815" i="10"/>
  <c r="C815" i="10"/>
  <c r="M815" i="10"/>
  <c r="F815" i="10"/>
  <c r="P815" i="10"/>
  <c r="BH71" i="10" l="1"/>
  <c r="L71" i="10"/>
  <c r="O815" i="10"/>
  <c r="AV71" i="10"/>
  <c r="C541" i="10" s="1"/>
  <c r="P71" i="10"/>
  <c r="AN71" i="10"/>
  <c r="C365" i="10"/>
  <c r="B446" i="10"/>
  <c r="D242" i="10"/>
  <c r="B448" i="10" s="1"/>
  <c r="E808" i="10"/>
  <c r="BY71" i="10"/>
  <c r="E765" i="10"/>
  <c r="AH71" i="10"/>
  <c r="E784" i="10"/>
  <c r="BA71" i="10"/>
  <c r="CE52" i="10"/>
  <c r="C67" i="10"/>
  <c r="D142" i="10"/>
  <c r="AG726" i="10"/>
  <c r="E780" i="10"/>
  <c r="AW71" i="10"/>
  <c r="E762" i="10"/>
  <c r="AE71" i="10"/>
  <c r="E768" i="10"/>
  <c r="AK71" i="10"/>
  <c r="E809" i="10"/>
  <c r="BZ71" i="10"/>
  <c r="E792" i="10"/>
  <c r="BI71" i="10"/>
  <c r="E749" i="10"/>
  <c r="R71" i="10"/>
  <c r="E812" i="10"/>
  <c r="CC71" i="10"/>
  <c r="AY71" i="10"/>
  <c r="AA71" i="10"/>
  <c r="E785" i="10"/>
  <c r="BB71" i="10"/>
  <c r="E796" i="10"/>
  <c r="BM71" i="10"/>
  <c r="E740" i="10"/>
  <c r="I71" i="10"/>
  <c r="E746" i="10"/>
  <c r="O71" i="10"/>
  <c r="CE75" i="10"/>
  <c r="E777" i="10"/>
  <c r="AT71" i="10"/>
  <c r="E736" i="10"/>
  <c r="E71" i="10"/>
  <c r="E797" i="10"/>
  <c r="BN71" i="10"/>
  <c r="E734" i="10"/>
  <c r="CE62" i="10"/>
  <c r="C71" i="10"/>
  <c r="E788" i="10"/>
  <c r="BE71" i="10"/>
  <c r="AB71" i="10"/>
  <c r="D71" i="10"/>
  <c r="E764" i="10"/>
  <c r="AG71" i="10"/>
  <c r="E744" i="10"/>
  <c r="M71" i="10"/>
  <c r="E760" i="10"/>
  <c r="AC71" i="10"/>
  <c r="E741" i="10"/>
  <c r="J71" i="10"/>
  <c r="C553" i="10"/>
  <c r="C636" i="10"/>
  <c r="C701" i="10"/>
  <c r="C529" i="10"/>
  <c r="E738" i="10"/>
  <c r="G71" i="10"/>
  <c r="C676" i="10"/>
  <c r="C504" i="10"/>
  <c r="G504" i="10" s="1"/>
  <c r="E802" i="10"/>
  <c r="BS71" i="10"/>
  <c r="N815" i="10"/>
  <c r="E800" i="10"/>
  <c r="BQ71" i="10"/>
  <c r="E772" i="10"/>
  <c r="AO71" i="10"/>
  <c r="E794" i="10"/>
  <c r="BK71" i="10"/>
  <c r="E793" i="10"/>
  <c r="BJ71" i="10"/>
  <c r="O816" i="10"/>
  <c r="C463" i="10"/>
  <c r="E753" i="10"/>
  <c r="V71" i="10"/>
  <c r="E776" i="10"/>
  <c r="AS71" i="10"/>
  <c r="E781" i="10"/>
  <c r="AX71" i="10"/>
  <c r="E756" i="10"/>
  <c r="Y71" i="10"/>
  <c r="H71" i="10"/>
  <c r="AR71" i="10"/>
  <c r="E754" i="10"/>
  <c r="W71" i="10"/>
  <c r="E805" i="10"/>
  <c r="BV71" i="10"/>
  <c r="C627" i="10"/>
  <c r="C560" i="10"/>
  <c r="C677" i="10"/>
  <c r="C505" i="10"/>
  <c r="G505" i="10" s="1"/>
  <c r="E801" i="10"/>
  <c r="BR71" i="10"/>
  <c r="E761" i="10"/>
  <c r="AD71" i="10"/>
  <c r="E789" i="10"/>
  <c r="BF71" i="10"/>
  <c r="BL71" i="10"/>
  <c r="C705" i="10"/>
  <c r="C533" i="10"/>
  <c r="G533" i="10" s="1"/>
  <c r="BW71" i="10"/>
  <c r="BX71" i="10"/>
  <c r="AZ71" i="10"/>
  <c r="E786" i="10"/>
  <c r="BC71" i="10"/>
  <c r="E769" i="10"/>
  <c r="AL71" i="10"/>
  <c r="E737" i="10"/>
  <c r="F71" i="10"/>
  <c r="E752" i="10"/>
  <c r="U71" i="10"/>
  <c r="CB71" i="10"/>
  <c r="E773" i="10"/>
  <c r="AP71" i="10"/>
  <c r="E748" i="10"/>
  <c r="Q71" i="10"/>
  <c r="AQ71" i="10"/>
  <c r="S71" i="10"/>
  <c r="AF71" i="10"/>
  <c r="BD71" i="10"/>
  <c r="CE48" i="10"/>
  <c r="C366" i="10"/>
  <c r="B447" i="10"/>
  <c r="BL730" i="10"/>
  <c r="C445" i="10"/>
  <c r="E778" i="10"/>
  <c r="AU71" i="10"/>
  <c r="E745" i="10"/>
  <c r="N71" i="10"/>
  <c r="CB722" i="10"/>
  <c r="B455" i="10"/>
  <c r="C681" i="10"/>
  <c r="C509" i="10"/>
  <c r="C565" i="10"/>
  <c r="C640" i="10"/>
  <c r="BP71" i="10"/>
  <c r="C647" i="10"/>
  <c r="C572" i="10"/>
  <c r="E804" i="10"/>
  <c r="BU71" i="10"/>
  <c r="E770" i="10"/>
  <c r="AM71" i="10"/>
  <c r="C713" i="10"/>
  <c r="E757" i="10"/>
  <c r="Z71" i="10"/>
  <c r="T71" i="10"/>
  <c r="BG71" i="10"/>
  <c r="X71" i="10"/>
  <c r="AI71" i="10"/>
  <c r="C689" i="10" l="1"/>
  <c r="C517" i="10"/>
  <c r="G517" i="10" s="1"/>
  <c r="C697" i="10"/>
  <c r="C525" i="10"/>
  <c r="G525" i="10" s="1"/>
  <c r="C561" i="10"/>
  <c r="C621" i="10"/>
  <c r="BN730" i="10"/>
  <c r="C447" i="10"/>
  <c r="C557" i="10"/>
  <c r="C637" i="10"/>
  <c r="C694" i="10"/>
  <c r="C522" i="10"/>
  <c r="C683" i="10"/>
  <c r="C511" i="10"/>
  <c r="G511" i="10" s="1"/>
  <c r="C696" i="10"/>
  <c r="C524" i="10"/>
  <c r="C548" i="10"/>
  <c r="C633" i="10"/>
  <c r="C551" i="10"/>
  <c r="C629" i="10"/>
  <c r="C690" i="10"/>
  <c r="C518" i="10"/>
  <c r="C623" i="10"/>
  <c r="C562" i="10"/>
  <c r="C711" i="10"/>
  <c r="C539" i="10"/>
  <c r="G539" i="10" s="1"/>
  <c r="C546" i="10"/>
  <c r="C630" i="10"/>
  <c r="BM730" i="10"/>
  <c r="C446" i="10"/>
  <c r="C700" i="10"/>
  <c r="C528" i="10"/>
  <c r="G528" i="10" s="1"/>
  <c r="C704" i="10"/>
  <c r="C532" i="10"/>
  <c r="G532" i="10" s="1"/>
  <c r="C712" i="10"/>
  <c r="C540" i="10"/>
  <c r="G540" i="10" s="1"/>
  <c r="C549" i="10"/>
  <c r="C624" i="10"/>
  <c r="C573" i="10"/>
  <c r="C622" i="10"/>
  <c r="G529" i="10"/>
  <c r="H529" i="10"/>
  <c r="C678" i="10"/>
  <c r="C506" i="10"/>
  <c r="G506" i="10" s="1"/>
  <c r="C668" i="10"/>
  <c r="C496" i="10"/>
  <c r="G496" i="10" s="1"/>
  <c r="C547" i="10"/>
  <c r="C632" i="10"/>
  <c r="C634" i="10"/>
  <c r="C554" i="10"/>
  <c r="C545" i="10"/>
  <c r="C628" i="10"/>
  <c r="C695" i="10"/>
  <c r="C523" i="10"/>
  <c r="G523" i="10" s="1"/>
  <c r="C616" i="10"/>
  <c r="C543" i="10"/>
  <c r="C555" i="10"/>
  <c r="C617" i="10"/>
  <c r="C641" i="10"/>
  <c r="C566" i="10"/>
  <c r="C569" i="10"/>
  <c r="C644" i="10"/>
  <c r="C567" i="10"/>
  <c r="C642" i="10"/>
  <c r="E816" i="10"/>
  <c r="C428" i="10"/>
  <c r="C699" i="10"/>
  <c r="C527" i="10"/>
  <c r="G527" i="10" s="1"/>
  <c r="G509" i="10"/>
  <c r="H509" i="10" s="1"/>
  <c r="C684" i="10"/>
  <c r="C512" i="10"/>
  <c r="G512" i="10" s="1"/>
  <c r="C564" i="10"/>
  <c r="C639" i="10"/>
  <c r="C698" i="10"/>
  <c r="C526" i="10"/>
  <c r="G526" i="10" s="1"/>
  <c r="C680" i="10"/>
  <c r="C508" i="10"/>
  <c r="G508" i="10" s="1"/>
  <c r="C513" i="10"/>
  <c r="G513" i="10" s="1"/>
  <c r="C685" i="10"/>
  <c r="C708" i="10"/>
  <c r="C536" i="10"/>
  <c r="G536" i="10" s="1"/>
  <c r="C563" i="10"/>
  <c r="C626" i="10"/>
  <c r="C710" i="10"/>
  <c r="C538" i="10"/>
  <c r="G538" i="10" s="1"/>
  <c r="C645" i="10"/>
  <c r="C570" i="10"/>
  <c r="C691" i="10"/>
  <c r="C519" i="10"/>
  <c r="G519" i="10" s="1"/>
  <c r="C510" i="10"/>
  <c r="C682" i="10"/>
  <c r="C503" i="10"/>
  <c r="G503" i="10" s="1"/>
  <c r="C675" i="10"/>
  <c r="C669" i="10"/>
  <c r="C497" i="10"/>
  <c r="G497" i="10" s="1"/>
  <c r="C502" i="10"/>
  <c r="G502" i="10" s="1"/>
  <c r="C674" i="10"/>
  <c r="C620" i="10"/>
  <c r="C574" i="10"/>
  <c r="C702" i="10"/>
  <c r="C530" i="10"/>
  <c r="AL726" i="10"/>
  <c r="E142" i="10"/>
  <c r="D464" i="10" s="1"/>
  <c r="D465" i="10" s="1"/>
  <c r="N816" i="10"/>
  <c r="K612" i="10"/>
  <c r="C465" i="10"/>
  <c r="C542" i="10"/>
  <c r="C631" i="10"/>
  <c r="C552" i="10"/>
  <c r="C618" i="10"/>
  <c r="D367" i="10"/>
  <c r="E815" i="10"/>
  <c r="C692" i="10"/>
  <c r="C520" i="10"/>
  <c r="G520" i="10" s="1"/>
  <c r="C571" i="10"/>
  <c r="C646" i="10"/>
  <c r="C499" i="10"/>
  <c r="G499" i="10" s="1"/>
  <c r="C671" i="10"/>
  <c r="C643" i="10"/>
  <c r="C568" i="10"/>
  <c r="C688" i="10"/>
  <c r="C516" i="10"/>
  <c r="G516" i="10" s="1"/>
  <c r="C635" i="10"/>
  <c r="C556" i="10"/>
  <c r="C559" i="10"/>
  <c r="C619" i="10"/>
  <c r="C544" i="10"/>
  <c r="C625" i="10"/>
  <c r="C703" i="10"/>
  <c r="C531" i="10"/>
  <c r="G531" i="10" s="1"/>
  <c r="C709" i="10"/>
  <c r="C537" i="10"/>
  <c r="G537" i="10" s="1"/>
  <c r="C687" i="10"/>
  <c r="C515" i="10"/>
  <c r="G515" i="10" s="1"/>
  <c r="C706" i="10"/>
  <c r="C534" i="10"/>
  <c r="G534" i="10" s="1"/>
  <c r="C693" i="10"/>
  <c r="C521" i="10"/>
  <c r="G521" i="10" s="1"/>
  <c r="C670" i="10"/>
  <c r="C498" i="10"/>
  <c r="J734" i="10"/>
  <c r="J815" i="10" s="1"/>
  <c r="CE67" i="10"/>
  <c r="C514" i="10"/>
  <c r="C686" i="10"/>
  <c r="C507" i="10"/>
  <c r="G507" i="10" s="1"/>
  <c r="C679" i="10"/>
  <c r="C707" i="10"/>
  <c r="C535" i="10"/>
  <c r="G535" i="10" s="1"/>
  <c r="C673" i="10"/>
  <c r="C501" i="10"/>
  <c r="G501" i="10" s="1"/>
  <c r="C672" i="10"/>
  <c r="C500" i="10"/>
  <c r="G500" i="10" s="1"/>
  <c r="C550" i="10"/>
  <c r="C614" i="10"/>
  <c r="C638" i="10"/>
  <c r="C558" i="10"/>
  <c r="J816" i="10" l="1"/>
  <c r="C433" i="10"/>
  <c r="C441" i="10" s="1"/>
  <c r="G524" i="10"/>
  <c r="H524" i="10" s="1"/>
  <c r="G530" i="10"/>
  <c r="H530" i="10" s="1"/>
  <c r="G514" i="10"/>
  <c r="H514" i="10"/>
  <c r="G544" i="10"/>
  <c r="H544" i="10" s="1"/>
  <c r="C448" i="10"/>
  <c r="D368" i="10"/>
  <c r="D373" i="10" s="1"/>
  <c r="D391" i="10" s="1"/>
  <c r="D393" i="10" s="1"/>
  <c r="D396" i="10" s="1"/>
  <c r="G498" i="10"/>
  <c r="H498" i="10" s="1"/>
  <c r="G518" i="10"/>
  <c r="H518" i="10" s="1"/>
  <c r="C715" i="10"/>
  <c r="D615" i="10"/>
  <c r="C648" i="10"/>
  <c r="M716" i="10" s="1"/>
  <c r="Y816" i="10" s="1"/>
  <c r="G510" i="10"/>
  <c r="H510" i="10"/>
  <c r="G522" i="10"/>
  <c r="H522" i="10"/>
  <c r="G550" i="10"/>
  <c r="H550" i="10"/>
  <c r="CE71" i="10"/>
  <c r="C716" i="10" s="1"/>
  <c r="G545" i="10"/>
  <c r="H545" i="10" s="1"/>
  <c r="G546" i="10"/>
  <c r="H546" i="10"/>
  <c r="D712" i="10" l="1"/>
  <c r="D704" i="10"/>
  <c r="D696" i="10"/>
  <c r="D688" i="10"/>
  <c r="D709" i="10"/>
  <c r="D701" i="10"/>
  <c r="D693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689" i="10"/>
  <c r="D710" i="10"/>
  <c r="D702" i="10"/>
  <c r="D694" i="10"/>
  <c r="D686" i="10"/>
  <c r="D716" i="10"/>
  <c r="D677" i="10"/>
  <c r="D669" i="10"/>
  <c r="D627" i="10"/>
  <c r="D691" i="10"/>
  <c r="D682" i="10"/>
  <c r="D674" i="10"/>
  <c r="D623" i="10"/>
  <c r="D619" i="10"/>
  <c r="D678" i="10"/>
  <c r="D670" i="10"/>
  <c r="D647" i="10"/>
  <c r="D646" i="10"/>
  <c r="D645" i="10"/>
  <c r="D629" i="10"/>
  <c r="D626" i="10"/>
  <c r="D621" i="10"/>
  <c r="D617" i="10"/>
  <c r="D640" i="10"/>
  <c r="D632" i="10"/>
  <c r="D684" i="10"/>
  <c r="D671" i="10"/>
  <c r="D643" i="10"/>
  <c r="D685" i="10"/>
  <c r="D679" i="10"/>
  <c r="D638" i="10"/>
  <c r="D630" i="10"/>
  <c r="D628" i="10"/>
  <c r="D672" i="10"/>
  <c r="D641" i="10"/>
  <c r="D633" i="10"/>
  <c r="D625" i="10"/>
  <c r="D699" i="10"/>
  <c r="D680" i="10"/>
  <c r="D673" i="10"/>
  <c r="D644" i="10"/>
  <c r="D636" i="10"/>
  <c r="D620" i="10"/>
  <c r="D707" i="10"/>
  <c r="D681" i="10"/>
  <c r="D639" i="10"/>
  <c r="D631" i="10"/>
  <c r="D683" i="10"/>
  <c r="D676" i="10"/>
  <c r="D637" i="10"/>
  <c r="D635" i="10"/>
  <c r="D675" i="10"/>
  <c r="D642" i="10"/>
  <c r="D624" i="10"/>
  <c r="D616" i="10"/>
  <c r="D622" i="10"/>
  <c r="D618" i="10"/>
  <c r="D668" i="10"/>
  <c r="D634" i="10"/>
  <c r="D715" i="10" l="1"/>
  <c r="E623" i="10"/>
  <c r="E612" i="10"/>
  <c r="E709" i="10" l="1"/>
  <c r="E701" i="10"/>
  <c r="E693" i="10"/>
  <c r="E685" i="10"/>
  <c r="E706" i="10"/>
  <c r="E698" i="10"/>
  <c r="E690" i="10"/>
  <c r="E711" i="10"/>
  <c r="E703" i="10"/>
  <c r="E695" i="10"/>
  <c r="E708" i="10"/>
  <c r="E700" i="10"/>
  <c r="E692" i="10"/>
  <c r="E713" i="10"/>
  <c r="E705" i="10"/>
  <c r="E697" i="10"/>
  <c r="E710" i="10"/>
  <c r="E702" i="10"/>
  <c r="E694" i="10"/>
  <c r="E686" i="10"/>
  <c r="E716" i="10"/>
  <c r="E707" i="10"/>
  <c r="E699" i="10"/>
  <c r="E691" i="10"/>
  <c r="E682" i="10"/>
  <c r="E674" i="10"/>
  <c r="E688" i="10"/>
  <c r="E679" i="10"/>
  <c r="E671" i="10"/>
  <c r="E625" i="10"/>
  <c r="E689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4" i="10"/>
  <c r="E684" i="10"/>
  <c r="E677" i="10"/>
  <c r="E670" i="10"/>
  <c r="E626" i="10"/>
  <c r="E712" i="10"/>
  <c r="E678" i="10"/>
  <c r="E646" i="10"/>
  <c r="E672" i="10"/>
  <c r="E687" i="10"/>
  <c r="E680" i="10"/>
  <c r="E673" i="10"/>
  <c r="E681" i="10"/>
  <c r="E647" i="10"/>
  <c r="E668" i="10"/>
  <c r="E627" i="10"/>
  <c r="E669" i="10"/>
  <c r="E676" i="10"/>
  <c r="E628" i="10"/>
  <c r="E696" i="10"/>
  <c r="E645" i="10"/>
  <c r="E629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697" i="10"/>
  <c r="F689" i="10"/>
  <c r="F710" i="10"/>
  <c r="F702" i="10"/>
  <c r="F694" i="10"/>
  <c r="F716" i="10"/>
  <c r="F707" i="10"/>
  <c r="F699" i="10"/>
  <c r="F691" i="10"/>
  <c r="F712" i="10"/>
  <c r="F704" i="10"/>
  <c r="F696" i="10"/>
  <c r="F688" i="10"/>
  <c r="F709" i="10"/>
  <c r="F679" i="10"/>
  <c r="F671" i="10"/>
  <c r="F625" i="10"/>
  <c r="F685" i="10"/>
  <c r="F676" i="10"/>
  <c r="F668" i="10"/>
  <c r="F628" i="10"/>
  <c r="F687" i="10"/>
  <c r="F680" i="10"/>
  <c r="F672" i="10"/>
  <c r="F678" i="10"/>
  <c r="F646" i="10"/>
  <c r="F643" i="10"/>
  <c r="F635" i="10"/>
  <c r="F693" i="10"/>
  <c r="F638" i="10"/>
  <c r="F701" i="10"/>
  <c r="F673" i="10"/>
  <c r="F641" i="10"/>
  <c r="F633" i="10"/>
  <c r="F681" i="10"/>
  <c r="F647" i="10"/>
  <c r="F644" i="10"/>
  <c r="F636" i="10"/>
  <c r="F674" i="10"/>
  <c r="F639" i="10"/>
  <c r="F631" i="10"/>
  <c r="F627" i="10"/>
  <c r="F682" i="10"/>
  <c r="F675" i="10"/>
  <c r="F645" i="10"/>
  <c r="F642" i="10"/>
  <c r="F634" i="10"/>
  <c r="F629" i="10"/>
  <c r="F684" i="10"/>
  <c r="F677" i="10"/>
  <c r="F670" i="10"/>
  <c r="F640" i="10"/>
  <c r="F632" i="10"/>
  <c r="F626" i="10"/>
  <c r="F686" i="10"/>
  <c r="F630" i="10"/>
  <c r="F683" i="10"/>
  <c r="F637" i="10"/>
  <c r="F669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9" i="10"/>
  <c r="G701" i="10"/>
  <c r="G693" i="10"/>
  <c r="G685" i="10"/>
  <c r="G676" i="10"/>
  <c r="G668" i="10"/>
  <c r="G628" i="10"/>
  <c r="G684" i="10"/>
  <c r="G681" i="10"/>
  <c r="G673" i="10"/>
  <c r="G677" i="10"/>
  <c r="G669" i="10"/>
  <c r="G627" i="10"/>
  <c r="G671" i="10"/>
  <c r="G638" i="10"/>
  <c r="G630" i="10"/>
  <c r="G679" i="10"/>
  <c r="G672" i="10"/>
  <c r="G641" i="10"/>
  <c r="G680" i="10"/>
  <c r="G647" i="10"/>
  <c r="G644" i="10"/>
  <c r="G636" i="10"/>
  <c r="G690" i="10"/>
  <c r="G674" i="10"/>
  <c r="G639" i="10"/>
  <c r="G631" i="10"/>
  <c r="G682" i="10"/>
  <c r="G675" i="10"/>
  <c r="G645" i="10"/>
  <c r="G642" i="10"/>
  <c r="G634" i="10"/>
  <c r="G629" i="10"/>
  <c r="G698" i="10"/>
  <c r="G683" i="10"/>
  <c r="G637" i="10"/>
  <c r="G678" i="10"/>
  <c r="G646" i="10"/>
  <c r="G643" i="10"/>
  <c r="G635" i="10"/>
  <c r="G626" i="10"/>
  <c r="G715" i="10" s="1"/>
  <c r="G633" i="10"/>
  <c r="G632" i="10"/>
  <c r="G640" i="10"/>
  <c r="G706" i="10"/>
  <c r="G670" i="10"/>
  <c r="H628" i="10" l="1"/>
  <c r="H708" i="10" l="1"/>
  <c r="H700" i="10"/>
  <c r="H692" i="10"/>
  <c r="H713" i="10"/>
  <c r="H705" i="10"/>
  <c r="H697" i="10"/>
  <c r="H689" i="10"/>
  <c r="H710" i="10"/>
  <c r="H702" i="10"/>
  <c r="H694" i="10"/>
  <c r="H716" i="10"/>
  <c r="H707" i="10"/>
  <c r="H699" i="10"/>
  <c r="H691" i="10"/>
  <c r="H712" i="10"/>
  <c r="H704" i="10"/>
  <c r="H696" i="10"/>
  <c r="H709" i="10"/>
  <c r="H701" i="10"/>
  <c r="H693" i="10"/>
  <c r="H685" i="10"/>
  <c r="H706" i="10"/>
  <c r="H698" i="10"/>
  <c r="H690" i="10"/>
  <c r="H703" i="10"/>
  <c r="H688" i="10"/>
  <c r="H684" i="10"/>
  <c r="H681" i="10"/>
  <c r="H673" i="10"/>
  <c r="H678" i="10"/>
  <c r="H670" i="10"/>
  <c r="H647" i="10"/>
  <c r="H646" i="10"/>
  <c r="H645" i="10"/>
  <c r="H629" i="10"/>
  <c r="H711" i="10"/>
  <c r="H682" i="10"/>
  <c r="H674" i="10"/>
  <c r="H679" i="10"/>
  <c r="H672" i="10"/>
  <c r="H641" i="10"/>
  <c r="H633" i="10"/>
  <c r="H680" i="10"/>
  <c r="H644" i="10"/>
  <c r="H636" i="10"/>
  <c r="H687" i="10"/>
  <c r="H639" i="10"/>
  <c r="H631" i="10"/>
  <c r="H675" i="10"/>
  <c r="H642" i="10"/>
  <c r="H634" i="10"/>
  <c r="H683" i="10"/>
  <c r="H668" i="10"/>
  <c r="H637" i="10"/>
  <c r="H686" i="10"/>
  <c r="H676" i="10"/>
  <c r="H669" i="10"/>
  <c r="H640" i="10"/>
  <c r="H632" i="10"/>
  <c r="H695" i="10"/>
  <c r="H671" i="10"/>
  <c r="H638" i="10"/>
  <c r="H630" i="10"/>
  <c r="H643" i="10"/>
  <c r="H677" i="10"/>
  <c r="H635" i="10"/>
  <c r="H715" i="10" l="1"/>
  <c r="I629" i="10"/>
  <c r="I713" i="10" l="1"/>
  <c r="I705" i="10"/>
  <c r="I697" i="10"/>
  <c r="I689" i="10"/>
  <c r="I710" i="10"/>
  <c r="I702" i="10"/>
  <c r="I694" i="10"/>
  <c r="I716" i="10"/>
  <c r="I707" i="10"/>
  <c r="I699" i="10"/>
  <c r="I691" i="10"/>
  <c r="I712" i="10"/>
  <c r="I704" i="10"/>
  <c r="I696" i="10"/>
  <c r="I688" i="10"/>
  <c r="I709" i="10"/>
  <c r="I701" i="10"/>
  <c r="I693" i="10"/>
  <c r="I706" i="10"/>
  <c r="I698" i="10"/>
  <c r="I690" i="10"/>
  <c r="I711" i="10"/>
  <c r="I703" i="10"/>
  <c r="I695" i="10"/>
  <c r="I687" i="10"/>
  <c r="I685" i="10"/>
  <c r="I678" i="10"/>
  <c r="I670" i="10"/>
  <c r="I647" i="10"/>
  <c r="I646" i="10"/>
  <c r="I645" i="10"/>
  <c r="I708" i="10"/>
  <c r="I686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9" i="10"/>
  <c r="I671" i="10"/>
  <c r="I680" i="10"/>
  <c r="I673" i="10"/>
  <c r="I692" i="10"/>
  <c r="I681" i="10"/>
  <c r="I674" i="10"/>
  <c r="I700" i="10"/>
  <c r="I682" i="10"/>
  <c r="I668" i="10"/>
  <c r="I676" i="10"/>
  <c r="I669" i="10"/>
  <c r="I677" i="10"/>
  <c r="I672" i="10"/>
  <c r="I684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709" i="10"/>
  <c r="J701" i="10"/>
  <c r="J693" i="10"/>
  <c r="J706" i="10"/>
  <c r="J698" i="10"/>
  <c r="J690" i="10"/>
  <c r="J711" i="10"/>
  <c r="J703" i="10"/>
  <c r="J695" i="10"/>
  <c r="J687" i="10"/>
  <c r="J708" i="10"/>
  <c r="J700" i="10"/>
  <c r="J692" i="10"/>
  <c r="J697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0" i="10"/>
  <c r="J672" i="10"/>
  <c r="J705" i="10"/>
  <c r="J676" i="10"/>
  <c r="J668" i="10"/>
  <c r="J673" i="10"/>
  <c r="J685" i="10"/>
  <c r="J681" i="10"/>
  <c r="J674" i="10"/>
  <c r="J647" i="10"/>
  <c r="J682" i="10"/>
  <c r="J669" i="10"/>
  <c r="J645" i="10"/>
  <c r="J677" i="10"/>
  <c r="J689" i="10"/>
  <c r="J684" i="10"/>
  <c r="J670" i="10"/>
  <c r="J713" i="10"/>
  <c r="J688" i="10"/>
  <c r="J679" i="10"/>
  <c r="J646" i="10"/>
  <c r="J678" i="10"/>
  <c r="J671" i="10"/>
  <c r="K644" i="10" l="1"/>
  <c r="L647" i="10"/>
  <c r="J715" i="10"/>
  <c r="L712" i="10" l="1"/>
  <c r="L704" i="10"/>
  <c r="L696" i="10"/>
  <c r="L688" i="10"/>
  <c r="L709" i="10"/>
  <c r="L701" i="10"/>
  <c r="L693" i="10"/>
  <c r="L706" i="10"/>
  <c r="L698" i="10"/>
  <c r="L690" i="10"/>
  <c r="L711" i="10"/>
  <c r="L703" i="10"/>
  <c r="L695" i="10"/>
  <c r="L687" i="10"/>
  <c r="L708" i="10"/>
  <c r="L700" i="10"/>
  <c r="M700" i="10" s="1"/>
  <c r="Y766" i="10" s="1"/>
  <c r="L692" i="10"/>
  <c r="L713" i="10"/>
  <c r="L705" i="10"/>
  <c r="L697" i="10"/>
  <c r="L689" i="10"/>
  <c r="L710" i="10"/>
  <c r="L702" i="10"/>
  <c r="L694" i="10"/>
  <c r="M694" i="10" s="1"/>
  <c r="Y760" i="10" s="1"/>
  <c r="L686" i="10"/>
  <c r="L691" i="10"/>
  <c r="L677" i="10"/>
  <c r="L669" i="10"/>
  <c r="L682" i="10"/>
  <c r="L674" i="10"/>
  <c r="L699" i="10"/>
  <c r="L685" i="10"/>
  <c r="M685" i="10" s="1"/>
  <c r="Y751" i="10" s="1"/>
  <c r="L684" i="10"/>
  <c r="L678" i="10"/>
  <c r="L670" i="10"/>
  <c r="L681" i="10"/>
  <c r="L675" i="10"/>
  <c r="L668" i="10"/>
  <c r="L683" i="10"/>
  <c r="L676" i="10"/>
  <c r="M676" i="10" s="1"/>
  <c r="Y742" i="10" s="1"/>
  <c r="L707" i="10"/>
  <c r="L671" i="10"/>
  <c r="L679" i="10"/>
  <c r="L680" i="10"/>
  <c r="M680" i="10" s="1"/>
  <c r="Y746" i="10" s="1"/>
  <c r="L673" i="10"/>
  <c r="L672" i="10"/>
  <c r="L716" i="10"/>
  <c r="K716" i="10"/>
  <c r="K707" i="10"/>
  <c r="K699" i="10"/>
  <c r="K691" i="10"/>
  <c r="K712" i="10"/>
  <c r="K704" i="10"/>
  <c r="K696" i="10"/>
  <c r="K688" i="10"/>
  <c r="K709" i="10"/>
  <c r="K701" i="10"/>
  <c r="K693" i="10"/>
  <c r="K706" i="10"/>
  <c r="K698" i="10"/>
  <c r="K690" i="10"/>
  <c r="K711" i="10"/>
  <c r="K703" i="10"/>
  <c r="K695" i="10"/>
  <c r="K708" i="10"/>
  <c r="K700" i="10"/>
  <c r="K692" i="10"/>
  <c r="K684" i="10"/>
  <c r="K713" i="10"/>
  <c r="K705" i="10"/>
  <c r="K697" i="10"/>
  <c r="K689" i="10"/>
  <c r="K686" i="10"/>
  <c r="K680" i="10"/>
  <c r="K672" i="10"/>
  <c r="K702" i="10"/>
  <c r="K677" i="10"/>
  <c r="K669" i="10"/>
  <c r="K681" i="10"/>
  <c r="K673" i="10"/>
  <c r="K694" i="10"/>
  <c r="K685" i="10"/>
  <c r="K674" i="10"/>
  <c r="K687" i="10"/>
  <c r="K682" i="10"/>
  <c r="K710" i="10"/>
  <c r="K675" i="10"/>
  <c r="K668" i="10"/>
  <c r="K715" i="10" s="1"/>
  <c r="K683" i="10"/>
  <c r="K676" i="10"/>
  <c r="K670" i="10"/>
  <c r="K678" i="10"/>
  <c r="K671" i="10"/>
  <c r="K679" i="10"/>
  <c r="M683" i="10" l="1"/>
  <c r="Y749" i="10" s="1"/>
  <c r="M699" i="10"/>
  <c r="Y765" i="10" s="1"/>
  <c r="M702" i="10"/>
  <c r="Y768" i="10" s="1"/>
  <c r="M708" i="10"/>
  <c r="Y774" i="10" s="1"/>
  <c r="M693" i="10"/>
  <c r="Y759" i="10" s="1"/>
  <c r="M672" i="10"/>
  <c r="Y738" i="10" s="1"/>
  <c r="M674" i="10"/>
  <c r="Y740" i="10" s="1"/>
  <c r="M701" i="10"/>
  <c r="Y767" i="10" s="1"/>
  <c r="M706" i="10"/>
  <c r="Y772" i="10" s="1"/>
  <c r="L715" i="10"/>
  <c r="M668" i="10"/>
  <c r="M710" i="10"/>
  <c r="Y776" i="10" s="1"/>
  <c r="M687" i="10"/>
  <c r="Y753" i="10" s="1"/>
  <c r="M673" i="10"/>
  <c r="Y739" i="10" s="1"/>
  <c r="M675" i="10"/>
  <c r="Y741" i="10" s="1"/>
  <c r="M682" i="10"/>
  <c r="Y748" i="10" s="1"/>
  <c r="M689" i="10"/>
  <c r="Y755" i="10" s="1"/>
  <c r="M695" i="10"/>
  <c r="Y761" i="10" s="1"/>
  <c r="M709" i="10"/>
  <c r="Y775" i="10" s="1"/>
  <c r="M681" i="10"/>
  <c r="Y747" i="10" s="1"/>
  <c r="M669" i="10"/>
  <c r="Y735" i="10" s="1"/>
  <c r="M697" i="10"/>
  <c r="Y763" i="10" s="1"/>
  <c r="M703" i="10"/>
  <c r="Y769" i="10" s="1"/>
  <c r="M688" i="10"/>
  <c r="Y754" i="10" s="1"/>
  <c r="M679" i="10"/>
  <c r="Y745" i="10" s="1"/>
  <c r="M670" i="10"/>
  <c r="Y736" i="10" s="1"/>
  <c r="M677" i="10"/>
  <c r="Y743" i="10" s="1"/>
  <c r="M705" i="10"/>
  <c r="Y771" i="10" s="1"/>
  <c r="M711" i="10"/>
  <c r="Y777" i="10" s="1"/>
  <c r="M696" i="10"/>
  <c r="Y762" i="10" s="1"/>
  <c r="M671" i="10"/>
  <c r="Y737" i="10" s="1"/>
  <c r="M678" i="10"/>
  <c r="Y744" i="10" s="1"/>
  <c r="M691" i="10"/>
  <c r="Y757" i="10" s="1"/>
  <c r="M713" i="10"/>
  <c r="Y779" i="10" s="1"/>
  <c r="M690" i="10"/>
  <c r="Y756" i="10" s="1"/>
  <c r="M704" i="10"/>
  <c r="Y770" i="10" s="1"/>
  <c r="M707" i="10"/>
  <c r="Y773" i="10" s="1"/>
  <c r="M684" i="10"/>
  <c r="Y750" i="10" s="1"/>
  <c r="M686" i="10"/>
  <c r="Y752" i="10" s="1"/>
  <c r="M692" i="10"/>
  <c r="Y758" i="10" s="1"/>
  <c r="M698" i="10"/>
  <c r="Y764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P75" i="1"/>
  <c r="I58" i="9" s="1"/>
  <c r="O75" i="1"/>
  <c r="N75" i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/>
  <c r="C217" i="1"/>
  <c r="D433" i="1" s="1"/>
  <c r="E196" i="1"/>
  <c r="E197" i="1"/>
  <c r="C470" i="1" s="1"/>
  <c r="E198" i="1"/>
  <c r="E199" i="1"/>
  <c r="E200" i="1"/>
  <c r="F12" i="6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40" i="1"/>
  <c r="C429" i="1"/>
  <c r="C432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T48" i="1"/>
  <c r="T62" i="1" s="1"/>
  <c r="D436" i="1"/>
  <c r="C34" i="5"/>
  <c r="C473" i="1"/>
  <c r="G122" i="9"/>
  <c r="H58" i="9"/>
  <c r="F90" i="9"/>
  <c r="C218" i="9"/>
  <c r="D366" i="9"/>
  <c r="CE64" i="1"/>
  <c r="D368" i="9"/>
  <c r="C276" i="9"/>
  <c r="CE70" i="1"/>
  <c r="I372" i="9" s="1"/>
  <c r="CE76" i="1"/>
  <c r="AP52" i="1" s="1"/>
  <c r="AP67" i="1" s="1"/>
  <c r="CE77" i="1"/>
  <c r="I381" i="9" s="1"/>
  <c r="I29" i="9"/>
  <c r="C95" i="9"/>
  <c r="CE79" i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S48" i="1"/>
  <c r="BS62" i="1" s="1"/>
  <c r="CD71" i="1"/>
  <c r="E373" i="9" s="1"/>
  <c r="U48" i="1"/>
  <c r="U62" i="1" s="1"/>
  <c r="Y48" i="1"/>
  <c r="Y62" i="1" s="1"/>
  <c r="AQ48" i="1"/>
  <c r="AQ62" i="1" s="1"/>
  <c r="C615" i="1"/>
  <c r="E372" i="9"/>
  <c r="BY48" i="1"/>
  <c r="BY62" i="1" s="1"/>
  <c r="BJ48" i="1"/>
  <c r="BJ62" i="1" s="1"/>
  <c r="AT48" i="1"/>
  <c r="AT62" i="1" s="1"/>
  <c r="AD48" i="1"/>
  <c r="AD62" i="1" s="1"/>
  <c r="J612" i="1"/>
  <c r="I380" i="9"/>
  <c r="D612" i="1"/>
  <c r="CF76" i="1"/>
  <c r="AV52" i="1" s="1"/>
  <c r="AV67" i="1" s="1"/>
  <c r="I366" i="9"/>
  <c r="F499" i="1"/>
  <c r="BS52" i="1"/>
  <c r="BS67" i="1" s="1"/>
  <c r="F517" i="1"/>
  <c r="H505" i="1"/>
  <c r="F505" i="1"/>
  <c r="H515" i="1"/>
  <c r="H517" i="1"/>
  <c r="H501" i="1"/>
  <c r="F501" i="1"/>
  <c r="F497" i="1"/>
  <c r="H497" i="1"/>
  <c r="H499" i="1"/>
  <c r="C52" i="1" l="1"/>
  <c r="C67" i="1" s="1"/>
  <c r="Q52" i="1"/>
  <c r="Q67" i="1" s="1"/>
  <c r="Z52" i="1"/>
  <c r="Z67" i="1" s="1"/>
  <c r="D428" i="1"/>
  <c r="BP52" i="1"/>
  <c r="BP67" i="1" s="1"/>
  <c r="H300" i="9"/>
  <c r="F48" i="1"/>
  <c r="F62" i="1" s="1"/>
  <c r="F71" i="1" s="1"/>
  <c r="F21" i="9" s="1"/>
  <c r="AH48" i="1"/>
  <c r="AH62" i="1" s="1"/>
  <c r="AX48" i="1"/>
  <c r="AX62" i="1" s="1"/>
  <c r="BN48" i="1"/>
  <c r="BN62" i="1" s="1"/>
  <c r="C48" i="1"/>
  <c r="C62" i="1" s="1"/>
  <c r="C12" i="9" s="1"/>
  <c r="BG48" i="1"/>
  <c r="BG62" i="1" s="1"/>
  <c r="AO48" i="1"/>
  <c r="AO62" i="1" s="1"/>
  <c r="F172" i="9" s="1"/>
  <c r="BA48" i="1"/>
  <c r="BA62" i="1" s="1"/>
  <c r="BI48" i="1"/>
  <c r="BI62" i="1" s="1"/>
  <c r="BI71" i="1" s="1"/>
  <c r="E277" i="9" s="1"/>
  <c r="AC48" i="1"/>
  <c r="AC62" i="1" s="1"/>
  <c r="H108" i="9" s="1"/>
  <c r="AB48" i="1"/>
  <c r="AB62" i="1" s="1"/>
  <c r="G108" i="9" s="1"/>
  <c r="N48" i="1"/>
  <c r="N62" i="1" s="1"/>
  <c r="AL48" i="1"/>
  <c r="AL62" i="1" s="1"/>
  <c r="BB48" i="1"/>
  <c r="BB62" i="1" s="1"/>
  <c r="BR48" i="1"/>
  <c r="BR62" i="1" s="1"/>
  <c r="K48" i="1"/>
  <c r="K62" i="1" s="1"/>
  <c r="BW48" i="1"/>
  <c r="BW62" i="1" s="1"/>
  <c r="E332" i="9" s="1"/>
  <c r="BE48" i="1"/>
  <c r="BE62" i="1" s="1"/>
  <c r="O48" i="1"/>
  <c r="O62" i="1" s="1"/>
  <c r="BZ48" i="1"/>
  <c r="BZ62" i="1" s="1"/>
  <c r="D48" i="1"/>
  <c r="D62" i="1" s="1"/>
  <c r="V48" i="1"/>
  <c r="V62" i="1" s="1"/>
  <c r="H76" i="9" s="1"/>
  <c r="AP48" i="1"/>
  <c r="AP62" i="1" s="1"/>
  <c r="G172" i="9" s="1"/>
  <c r="BF48" i="1"/>
  <c r="BF62" i="1" s="1"/>
  <c r="BV48" i="1"/>
  <c r="BV62" i="1" s="1"/>
  <c r="D332" i="9" s="1"/>
  <c r="AA48" i="1"/>
  <c r="AA62" i="1" s="1"/>
  <c r="F108" i="9" s="1"/>
  <c r="I48" i="1"/>
  <c r="I62" i="1" s="1"/>
  <c r="BU48" i="1"/>
  <c r="BU62" i="1" s="1"/>
  <c r="C332" i="9" s="1"/>
  <c r="AE48" i="1"/>
  <c r="AE62" i="1" s="1"/>
  <c r="L48" i="1"/>
  <c r="L62" i="1" s="1"/>
  <c r="W48" i="1"/>
  <c r="W62" i="1" s="1"/>
  <c r="J48" i="1"/>
  <c r="J62" i="1" s="1"/>
  <c r="Z48" i="1"/>
  <c r="Z62" i="1" s="1"/>
  <c r="E108" i="9" s="1"/>
  <c r="AJ48" i="1"/>
  <c r="AJ62" i="1" s="1"/>
  <c r="AR48" i="1"/>
  <c r="AR62" i="1" s="1"/>
  <c r="AZ48" i="1"/>
  <c r="AZ62" i="1" s="1"/>
  <c r="BH48" i="1"/>
  <c r="BH62" i="1" s="1"/>
  <c r="BP48" i="1"/>
  <c r="BP62" i="1" s="1"/>
  <c r="E300" i="9" s="1"/>
  <c r="BX48" i="1"/>
  <c r="BX62" i="1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AK48" i="1"/>
  <c r="AK62" i="1" s="1"/>
  <c r="AM48" i="1"/>
  <c r="AM62" i="1" s="1"/>
  <c r="D172" i="9" s="1"/>
  <c r="M48" i="1"/>
  <c r="M62" i="1" s="1"/>
  <c r="G48" i="1"/>
  <c r="G62" i="1" s="1"/>
  <c r="G12" i="9" s="1"/>
  <c r="P48" i="1"/>
  <c r="P62" i="1" s="1"/>
  <c r="I363" i="9"/>
  <c r="C71" i="1"/>
  <c r="C668" i="1" s="1"/>
  <c r="R48" i="1"/>
  <c r="R62" i="1" s="1"/>
  <c r="AF48" i="1"/>
  <c r="AF62" i="1" s="1"/>
  <c r="AN48" i="1"/>
  <c r="AN62" i="1" s="1"/>
  <c r="E172" i="9" s="1"/>
  <c r="AV48" i="1"/>
  <c r="AV62" i="1" s="1"/>
  <c r="AV71" i="1" s="1"/>
  <c r="C541" i="1" s="1"/>
  <c r="BD48" i="1"/>
  <c r="BD62" i="1" s="1"/>
  <c r="G236" i="9" s="1"/>
  <c r="BL48" i="1"/>
  <c r="BL62" i="1" s="1"/>
  <c r="BT48" i="1"/>
  <c r="BT62" i="1" s="1"/>
  <c r="CA48" i="1"/>
  <c r="CA62" i="1" s="1"/>
  <c r="I332" i="9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E71" i="1" s="1"/>
  <c r="BQ48" i="1"/>
  <c r="BQ62" i="1" s="1"/>
  <c r="C427" i="1"/>
  <c r="BC48" i="1"/>
  <c r="BC62" i="1" s="1"/>
  <c r="AU48" i="1"/>
  <c r="AU62" i="1" s="1"/>
  <c r="H48" i="1"/>
  <c r="H62" i="1" s="1"/>
  <c r="X48" i="1"/>
  <c r="X62" i="1" s="1"/>
  <c r="H268" i="9"/>
  <c r="AS48" i="1"/>
  <c r="AS62" i="1" s="1"/>
  <c r="AS71" i="1" s="1"/>
  <c r="C213" i="9" s="1"/>
  <c r="BS71" i="1"/>
  <c r="C639" i="1" s="1"/>
  <c r="D140" i="9"/>
  <c r="I377" i="9"/>
  <c r="I612" i="1"/>
  <c r="G612" i="1"/>
  <c r="CF77" i="1"/>
  <c r="Y52" i="1"/>
  <c r="Y67" i="1" s="1"/>
  <c r="Y71" i="1" s="1"/>
  <c r="P52" i="1"/>
  <c r="P67" i="1" s="1"/>
  <c r="I49" i="9" s="1"/>
  <c r="CA52" i="1"/>
  <c r="CA67" i="1" s="1"/>
  <c r="AN52" i="1"/>
  <c r="AN67" i="1" s="1"/>
  <c r="AH52" i="1"/>
  <c r="AH67" i="1" s="1"/>
  <c r="F145" i="9" s="1"/>
  <c r="N52" i="1"/>
  <c r="N67" i="1" s="1"/>
  <c r="O52" i="1"/>
  <c r="O67" i="1" s="1"/>
  <c r="BU52" i="1"/>
  <c r="BU67" i="1" s="1"/>
  <c r="AS52" i="1"/>
  <c r="AS67" i="1" s="1"/>
  <c r="C209" i="9" s="1"/>
  <c r="BO52" i="1"/>
  <c r="BO67" i="1" s="1"/>
  <c r="I52" i="1"/>
  <c r="I67" i="1" s="1"/>
  <c r="U52" i="1"/>
  <c r="U67" i="1" s="1"/>
  <c r="G81" i="9" s="1"/>
  <c r="X52" i="1"/>
  <c r="X67" i="1" s="1"/>
  <c r="K52" i="1"/>
  <c r="K67" i="1" s="1"/>
  <c r="J52" i="1"/>
  <c r="J67" i="1" s="1"/>
  <c r="J71" i="1" s="1"/>
  <c r="C53" i="9" s="1"/>
  <c r="BH52" i="1"/>
  <c r="BH67" i="1" s="1"/>
  <c r="AD52" i="1"/>
  <c r="AD67" i="1" s="1"/>
  <c r="I113" i="9" s="1"/>
  <c r="AG52" i="1"/>
  <c r="AG67" i="1" s="1"/>
  <c r="E145" i="9" s="1"/>
  <c r="BK52" i="1"/>
  <c r="BK67" i="1" s="1"/>
  <c r="R52" i="1"/>
  <c r="R67" i="1" s="1"/>
  <c r="AO52" i="1"/>
  <c r="AO67" i="1" s="1"/>
  <c r="F177" i="9" s="1"/>
  <c r="BC52" i="1"/>
  <c r="BC67" i="1" s="1"/>
  <c r="C81" i="9"/>
  <c r="AQ52" i="1"/>
  <c r="AQ67" i="1" s="1"/>
  <c r="AF52" i="1"/>
  <c r="AF67" i="1" s="1"/>
  <c r="D145" i="9" s="1"/>
  <c r="BA52" i="1"/>
  <c r="BA67" i="1" s="1"/>
  <c r="D241" i="9" s="1"/>
  <c r="AR52" i="1"/>
  <c r="AR67" i="1" s="1"/>
  <c r="I177" i="9" s="1"/>
  <c r="L52" i="1"/>
  <c r="L67" i="1" s="1"/>
  <c r="BB52" i="1"/>
  <c r="BB67" i="1" s="1"/>
  <c r="E241" i="9" s="1"/>
  <c r="AE52" i="1"/>
  <c r="AE67" i="1" s="1"/>
  <c r="C145" i="9" s="1"/>
  <c r="W52" i="1"/>
  <c r="W67" i="1" s="1"/>
  <c r="CC52" i="1"/>
  <c r="CC67" i="1" s="1"/>
  <c r="D369" i="9" s="1"/>
  <c r="BJ52" i="1"/>
  <c r="BJ67" i="1" s="1"/>
  <c r="BJ71" i="1" s="1"/>
  <c r="V52" i="1"/>
  <c r="V67" i="1" s="1"/>
  <c r="AT52" i="1"/>
  <c r="AT67" i="1" s="1"/>
  <c r="D209" i="9" s="1"/>
  <c r="S52" i="1"/>
  <c r="S67" i="1" s="1"/>
  <c r="H52" i="1"/>
  <c r="H67" i="1" s="1"/>
  <c r="BZ52" i="1"/>
  <c r="BZ67" i="1" s="1"/>
  <c r="H337" i="9" s="1"/>
  <c r="BW52" i="1"/>
  <c r="BW67" i="1" s="1"/>
  <c r="BG52" i="1"/>
  <c r="BG67" i="1" s="1"/>
  <c r="AJ52" i="1"/>
  <c r="AJ67" i="1" s="1"/>
  <c r="E52" i="1"/>
  <c r="E67" i="1" s="1"/>
  <c r="AZ52" i="1"/>
  <c r="AZ67" i="1" s="1"/>
  <c r="BI52" i="1"/>
  <c r="BI67" i="1" s="1"/>
  <c r="AC52" i="1"/>
  <c r="AC67" i="1" s="1"/>
  <c r="BX52" i="1"/>
  <c r="BX67" i="1" s="1"/>
  <c r="F337" i="9" s="1"/>
  <c r="BT52" i="1"/>
  <c r="BT67" i="1" s="1"/>
  <c r="AU52" i="1"/>
  <c r="AU67" i="1" s="1"/>
  <c r="E209" i="9" s="1"/>
  <c r="AI52" i="1"/>
  <c r="AI67" i="1" s="1"/>
  <c r="G145" i="9" s="1"/>
  <c r="AL52" i="1"/>
  <c r="AL67" i="1" s="1"/>
  <c r="BL52" i="1"/>
  <c r="BL67" i="1" s="1"/>
  <c r="AB52" i="1"/>
  <c r="AB67" i="1" s="1"/>
  <c r="G113" i="9" s="1"/>
  <c r="E113" i="9"/>
  <c r="I362" i="9"/>
  <c r="G76" i="9"/>
  <c r="U71" i="1"/>
  <c r="C686" i="1" s="1"/>
  <c r="BU71" i="1"/>
  <c r="C566" i="1" s="1"/>
  <c r="C141" i="8"/>
  <c r="C33" i="8"/>
  <c r="D32" i="6"/>
  <c r="F9" i="6"/>
  <c r="F204" i="9"/>
  <c r="BP71" i="1"/>
  <c r="C621" i="1" s="1"/>
  <c r="I337" i="9"/>
  <c r="F300" i="9"/>
  <c r="G90" i="9"/>
  <c r="G58" i="9"/>
  <c r="I370" i="9"/>
  <c r="Q71" i="1"/>
  <c r="C236" i="9"/>
  <c r="C76" i="9"/>
  <c r="F76" i="9"/>
  <c r="C434" i="1"/>
  <c r="C85" i="8"/>
  <c r="D330" i="1"/>
  <c r="C86" i="8" s="1"/>
  <c r="D186" i="9"/>
  <c r="C44" i="9"/>
  <c r="G10" i="4"/>
  <c r="C575" i="1"/>
  <c r="AN71" i="1"/>
  <c r="BH71" i="1"/>
  <c r="D268" i="9"/>
  <c r="BT71" i="1"/>
  <c r="I300" i="9"/>
  <c r="AG71" i="1"/>
  <c r="H236" i="9"/>
  <c r="D236" i="9"/>
  <c r="BA71" i="1"/>
  <c r="C140" i="9"/>
  <c r="AE71" i="1"/>
  <c r="C524" i="1" s="1"/>
  <c r="G524" i="1" s="1"/>
  <c r="H332" i="9"/>
  <c r="BZ71" i="1"/>
  <c r="C469" i="1"/>
  <c r="F8" i="6"/>
  <c r="D44" i="9"/>
  <c r="K71" i="1"/>
  <c r="C414" i="1"/>
  <c r="B10" i="4"/>
  <c r="C458" i="1"/>
  <c r="F612" i="1"/>
  <c r="C430" i="1"/>
  <c r="I154" i="9"/>
  <c r="C90" i="9"/>
  <c r="C119" i="8"/>
  <c r="D368" i="1"/>
  <c r="C120" i="8" s="1"/>
  <c r="G28" i="4"/>
  <c r="F140" i="9"/>
  <c r="D12" i="9"/>
  <c r="E49" i="9"/>
  <c r="E305" i="9"/>
  <c r="F209" i="9"/>
  <c r="I108" i="9"/>
  <c r="AT71" i="1"/>
  <c r="D204" i="9"/>
  <c r="F268" i="9"/>
  <c r="G332" i="9"/>
  <c r="E273" i="9"/>
  <c r="C300" i="9"/>
  <c r="H305" i="9"/>
  <c r="V71" i="1"/>
  <c r="I236" i="9"/>
  <c r="C17" i="9"/>
  <c r="G44" i="9"/>
  <c r="N71" i="1"/>
  <c r="C172" i="9"/>
  <c r="AL71" i="1"/>
  <c r="E236" i="9"/>
  <c r="BB71" i="1"/>
  <c r="F44" i="9"/>
  <c r="CB71" i="1"/>
  <c r="B446" i="1"/>
  <c r="D242" i="1"/>
  <c r="C418" i="1"/>
  <c r="D438" i="1"/>
  <c r="C108" i="9"/>
  <c r="F14" i="6"/>
  <c r="C471" i="1"/>
  <c r="F10" i="6"/>
  <c r="D26" i="9"/>
  <c r="CE75" i="1"/>
  <c r="C671" i="1"/>
  <c r="G49" i="9"/>
  <c r="I305" i="9"/>
  <c r="G177" i="9"/>
  <c r="H49" i="9"/>
  <c r="D108" i="9"/>
  <c r="E204" i="9"/>
  <c r="F7" i="6"/>
  <c r="E204" i="1"/>
  <c r="C468" i="1"/>
  <c r="I383" i="9"/>
  <c r="D22" i="7"/>
  <c r="C40" i="5"/>
  <c r="I76" i="9"/>
  <c r="C420" i="1"/>
  <c r="B28" i="4"/>
  <c r="F186" i="9"/>
  <c r="AC71" i="1"/>
  <c r="H172" i="9"/>
  <c r="AQ71" i="1"/>
  <c r="BD52" i="1"/>
  <c r="BD67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BY52" i="1"/>
  <c r="BY67" i="1" s="1"/>
  <c r="BY71" i="1" s="1"/>
  <c r="AY52" i="1"/>
  <c r="AY67" i="1" s="1"/>
  <c r="BM52" i="1"/>
  <c r="BM67" i="1" s="1"/>
  <c r="CB52" i="1"/>
  <c r="CB67" i="1" s="1"/>
  <c r="AW52" i="1"/>
  <c r="AW67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BV52" i="1"/>
  <c r="BV67" i="1" s="1"/>
  <c r="D52" i="1"/>
  <c r="D67" i="1" s="1"/>
  <c r="D71" i="1" s="1"/>
  <c r="AA52" i="1"/>
  <c r="AA67" i="1" s="1"/>
  <c r="AA71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H71" i="1"/>
  <c r="BO71" i="1"/>
  <c r="D373" i="1"/>
  <c r="D434" i="1"/>
  <c r="D292" i="1"/>
  <c r="C58" i="9"/>
  <c r="D117" i="9" l="1"/>
  <c r="C518" i="1"/>
  <c r="G518" i="1" s="1"/>
  <c r="C690" i="1"/>
  <c r="BW71" i="1"/>
  <c r="AD71" i="1"/>
  <c r="C634" i="1"/>
  <c r="BV71" i="1"/>
  <c r="D113" i="9"/>
  <c r="X71" i="1"/>
  <c r="BX71" i="1"/>
  <c r="F12" i="9"/>
  <c r="AF71" i="1"/>
  <c r="L71" i="1"/>
  <c r="E268" i="9"/>
  <c r="AU71" i="1"/>
  <c r="E213" i="9" s="1"/>
  <c r="BM71" i="1"/>
  <c r="C638" i="1" s="1"/>
  <c r="C499" i="1"/>
  <c r="G499" i="1" s="1"/>
  <c r="BC71" i="1"/>
  <c r="AZ71" i="1"/>
  <c r="Z71" i="1"/>
  <c r="G273" i="9"/>
  <c r="BK71" i="1"/>
  <c r="AR71" i="1"/>
  <c r="I71" i="1"/>
  <c r="I21" i="9" s="1"/>
  <c r="O71" i="1"/>
  <c r="C554" i="1"/>
  <c r="BL71" i="1"/>
  <c r="AJ71" i="1"/>
  <c r="I140" i="9"/>
  <c r="AO71" i="1"/>
  <c r="F181" i="9" s="1"/>
  <c r="I44" i="9"/>
  <c r="AP71" i="1"/>
  <c r="C535" i="1" s="1"/>
  <c r="G535" i="1" s="1"/>
  <c r="F236" i="9"/>
  <c r="F332" i="9"/>
  <c r="AI71" i="1"/>
  <c r="C700" i="1" s="1"/>
  <c r="BR71" i="1"/>
  <c r="C626" i="1" s="1"/>
  <c r="AK71" i="1"/>
  <c r="C530" i="1" s="1"/>
  <c r="G530" i="1" s="1"/>
  <c r="C268" i="9"/>
  <c r="W71" i="1"/>
  <c r="C688" i="1" s="1"/>
  <c r="AY71" i="1"/>
  <c r="I213" i="9" s="1"/>
  <c r="H44" i="9"/>
  <c r="AX71" i="1"/>
  <c r="C616" i="1" s="1"/>
  <c r="AH71" i="1"/>
  <c r="F149" i="9" s="1"/>
  <c r="BE71" i="1"/>
  <c r="H245" i="9" s="1"/>
  <c r="C540" i="1"/>
  <c r="G540" i="1" s="1"/>
  <c r="BD71" i="1"/>
  <c r="C549" i="1" s="1"/>
  <c r="R71" i="1"/>
  <c r="D85" i="9" s="1"/>
  <c r="BG71" i="1"/>
  <c r="C552" i="1" s="1"/>
  <c r="AB71" i="1"/>
  <c r="C521" i="1" s="1"/>
  <c r="G521" i="1" s="1"/>
  <c r="AW71" i="1"/>
  <c r="C542" i="1" s="1"/>
  <c r="E44" i="9"/>
  <c r="I204" i="9"/>
  <c r="E12" i="9"/>
  <c r="G140" i="9"/>
  <c r="G300" i="9"/>
  <c r="H204" i="9"/>
  <c r="D76" i="9"/>
  <c r="C21" i="9"/>
  <c r="I268" i="9"/>
  <c r="I172" i="9"/>
  <c r="I12" i="9"/>
  <c r="C674" i="1"/>
  <c r="P71" i="1"/>
  <c r="G204" i="9"/>
  <c r="C496" i="1"/>
  <c r="G496" i="1" s="1"/>
  <c r="S71" i="1"/>
  <c r="C684" i="1" s="1"/>
  <c r="F213" i="9"/>
  <c r="H140" i="9"/>
  <c r="C697" i="1"/>
  <c r="E76" i="9"/>
  <c r="C713" i="1"/>
  <c r="CA71" i="1"/>
  <c r="I341" i="9" s="1"/>
  <c r="H12" i="9"/>
  <c r="G71" i="1"/>
  <c r="G21" i="9" s="1"/>
  <c r="CE62" i="1"/>
  <c r="I364" i="9" s="1"/>
  <c r="CE48" i="1"/>
  <c r="C204" i="9"/>
  <c r="H309" i="9"/>
  <c r="C564" i="1"/>
  <c r="C675" i="1"/>
  <c r="C503" i="1"/>
  <c r="G503" i="1" s="1"/>
  <c r="D81" i="9"/>
  <c r="C337" i="9"/>
  <c r="I81" i="9"/>
  <c r="D273" i="9"/>
  <c r="C177" i="9"/>
  <c r="E177" i="9"/>
  <c r="D305" i="9"/>
  <c r="F241" i="9"/>
  <c r="CE67" i="1"/>
  <c r="I369" i="9" s="1"/>
  <c r="CE52" i="1"/>
  <c r="H81" i="9"/>
  <c r="C49" i="9"/>
  <c r="H113" i="9"/>
  <c r="D49" i="9"/>
  <c r="I17" i="9"/>
  <c r="C113" i="9"/>
  <c r="H273" i="9"/>
  <c r="C241" i="9"/>
  <c r="E337" i="9"/>
  <c r="E17" i="9"/>
  <c r="H145" i="9"/>
  <c r="C273" i="9"/>
  <c r="H17" i="9"/>
  <c r="F273" i="9"/>
  <c r="E81" i="9"/>
  <c r="H177" i="9"/>
  <c r="C538" i="1"/>
  <c r="G538" i="1" s="1"/>
  <c r="C710" i="1"/>
  <c r="C696" i="1"/>
  <c r="C514" i="1"/>
  <c r="G514" i="1" s="1"/>
  <c r="G85" i="9"/>
  <c r="C641" i="1"/>
  <c r="C561" i="1"/>
  <c r="C706" i="1"/>
  <c r="C534" i="1"/>
  <c r="G534" i="1" s="1"/>
  <c r="E309" i="9"/>
  <c r="C693" i="1"/>
  <c r="C149" i="9"/>
  <c r="C341" i="9"/>
  <c r="D339" i="1"/>
  <c r="C624" i="1"/>
  <c r="G245" i="9"/>
  <c r="C640" i="1"/>
  <c r="I309" i="9"/>
  <c r="C565" i="1"/>
  <c r="C533" i="1"/>
  <c r="G533" i="1" s="1"/>
  <c r="E181" i="9"/>
  <c r="C705" i="1"/>
  <c r="F309" i="9"/>
  <c r="C623" i="1"/>
  <c r="C562" i="1"/>
  <c r="F341" i="9"/>
  <c r="C569" i="1"/>
  <c r="C644" i="1"/>
  <c r="I181" i="9"/>
  <c r="C709" i="1"/>
  <c r="C537" i="1"/>
  <c r="G537" i="1" s="1"/>
  <c r="C532" i="1"/>
  <c r="G532" i="1" s="1"/>
  <c r="C704" i="1"/>
  <c r="D181" i="9"/>
  <c r="D53" i="9"/>
  <c r="C504" i="1"/>
  <c r="G504" i="1" s="1"/>
  <c r="C676" i="1"/>
  <c r="C630" i="1"/>
  <c r="D245" i="9"/>
  <c r="C546" i="1"/>
  <c r="G546" i="1" s="1"/>
  <c r="C698" i="1"/>
  <c r="C526" i="1"/>
  <c r="G526" i="1" s="1"/>
  <c r="E149" i="9"/>
  <c r="C682" i="1"/>
  <c r="C510" i="1"/>
  <c r="G510" i="1" s="1"/>
  <c r="C85" i="9"/>
  <c r="H149" i="9"/>
  <c r="C701" i="1"/>
  <c r="C529" i="1"/>
  <c r="G529" i="1" s="1"/>
  <c r="C571" i="1"/>
  <c r="H341" i="9"/>
  <c r="C646" i="1"/>
  <c r="C553" i="1"/>
  <c r="C636" i="1"/>
  <c r="D277" i="9"/>
  <c r="C519" i="1"/>
  <c r="G519" i="1" s="1"/>
  <c r="E117" i="9"/>
  <c r="C691" i="1"/>
  <c r="C513" i="1"/>
  <c r="G513" i="1" s="1"/>
  <c r="F85" i="9"/>
  <c r="C685" i="1"/>
  <c r="C633" i="1"/>
  <c r="C548" i="1"/>
  <c r="F245" i="9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H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8" i="1"/>
  <c r="G528" i="1" s="1"/>
  <c r="C520" i="1"/>
  <c r="G520" i="1" s="1"/>
  <c r="C692" i="1"/>
  <c r="F117" i="9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C687" i="1"/>
  <c r="C515" i="1"/>
  <c r="G515" i="1" s="1"/>
  <c r="H85" i="9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C476" i="1"/>
  <c r="F16" i="6"/>
  <c r="C672" i="1"/>
  <c r="H53" i="9"/>
  <c r="C680" i="1"/>
  <c r="C508" i="1"/>
  <c r="G508" i="1" s="1"/>
  <c r="G309" i="9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H516" i="1"/>
  <c r="D17" i="9"/>
  <c r="F305" i="9"/>
  <c r="C622" i="1"/>
  <c r="C373" i="9"/>
  <c r="C573" i="1"/>
  <c r="C181" i="9"/>
  <c r="C703" i="1"/>
  <c r="C531" i="1"/>
  <c r="G531" i="1" s="1"/>
  <c r="G181" i="9"/>
  <c r="C699" i="1"/>
  <c r="C527" i="1"/>
  <c r="G527" i="1" s="1"/>
  <c r="F540" i="1"/>
  <c r="H540" i="1"/>
  <c r="F532" i="1"/>
  <c r="H532" i="1"/>
  <c r="H524" i="1"/>
  <c r="F524" i="1"/>
  <c r="F550" i="1"/>
  <c r="H550" i="1"/>
  <c r="G305" i="9"/>
  <c r="F113" i="9"/>
  <c r="F49" i="9"/>
  <c r="C369" i="9"/>
  <c r="F17" i="9"/>
  <c r="G241" i="9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502" i="1" l="1"/>
  <c r="G502" i="1" s="1"/>
  <c r="C707" i="1"/>
  <c r="C635" i="1"/>
  <c r="G277" i="9"/>
  <c r="C556" i="1"/>
  <c r="C277" i="9"/>
  <c r="C558" i="1"/>
  <c r="C677" i="1"/>
  <c r="C505" i="1"/>
  <c r="G505" i="1" s="1"/>
  <c r="E53" i="9"/>
  <c r="D149" i="9"/>
  <c r="C525" i="1"/>
  <c r="G525" i="1" s="1"/>
  <c r="C512" i="1"/>
  <c r="G512" i="1" s="1"/>
  <c r="C557" i="1"/>
  <c r="C637" i="1"/>
  <c r="H277" i="9"/>
  <c r="C245" i="9"/>
  <c r="C545" i="1"/>
  <c r="G545" i="1" s="1"/>
  <c r="C628" i="1"/>
  <c r="C544" i="1"/>
  <c r="G544" i="1" s="1"/>
  <c r="I277" i="9"/>
  <c r="C625" i="1"/>
  <c r="C702" i="1"/>
  <c r="C712" i="1"/>
  <c r="C117" i="9"/>
  <c r="C517" i="1"/>
  <c r="G517" i="1" s="1"/>
  <c r="C689" i="1"/>
  <c r="I85" i="9"/>
  <c r="G149" i="9"/>
  <c r="C647" i="1"/>
  <c r="C543" i="1"/>
  <c r="I149" i="9"/>
  <c r="C563" i="1"/>
  <c r="C614" i="1"/>
  <c r="C648" i="1" s="1"/>
  <c r="M716" i="1" s="1"/>
  <c r="C550" i="1"/>
  <c r="G550" i="1" s="1"/>
  <c r="C618" i="1"/>
  <c r="C683" i="1"/>
  <c r="C631" i="1"/>
  <c r="C511" i="1"/>
  <c r="G511" i="1" s="1"/>
  <c r="G117" i="9"/>
  <c r="CE71" i="1"/>
  <c r="C716" i="1" s="1"/>
  <c r="C681" i="1"/>
  <c r="C509" i="1"/>
  <c r="G509" i="1" s="1"/>
  <c r="I53" i="9"/>
  <c r="C500" i="1"/>
  <c r="G500" i="1" s="1"/>
  <c r="C428" i="1"/>
  <c r="G213" i="9"/>
  <c r="E85" i="9"/>
  <c r="C572" i="1"/>
  <c r="C433" i="1"/>
  <c r="D615" i="1"/>
  <c r="H498" i="1"/>
  <c r="H544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C441" i="1" l="1"/>
  <c r="I373" i="9"/>
  <c r="C715" i="1"/>
  <c r="H511" i="1"/>
  <c r="H509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12" i="1" l="1"/>
  <c r="E623" i="1"/>
  <c r="D715" i="1"/>
  <c r="E697" i="1" l="1"/>
  <c r="E716" i="1"/>
  <c r="E685" i="1"/>
  <c r="E706" i="1"/>
  <c r="E639" i="1"/>
  <c r="E690" i="1"/>
  <c r="E709" i="1"/>
  <c r="E632" i="1"/>
  <c r="E702" i="1"/>
  <c r="E669" i="1"/>
  <c r="E683" i="1"/>
  <c r="E647" i="1"/>
  <c r="E641" i="1"/>
  <c r="E695" i="1"/>
  <c r="E684" i="1"/>
  <c r="E640" i="1"/>
  <c r="E643" i="1"/>
  <c r="E630" i="1"/>
  <c r="E704" i="1"/>
  <c r="E682" i="1"/>
  <c r="E674" i="1"/>
  <c r="E644" i="1"/>
  <c r="E670" i="1"/>
  <c r="E633" i="1"/>
  <c r="E673" i="1"/>
  <c r="E687" i="1"/>
  <c r="E675" i="1"/>
  <c r="E671" i="1"/>
  <c r="E713" i="1"/>
  <c r="E710" i="1"/>
  <c r="E694" i="1"/>
  <c r="E646" i="1"/>
  <c r="E712" i="1"/>
  <c r="E642" i="1"/>
  <c r="E678" i="1"/>
  <c r="E699" i="1"/>
  <c r="E700" i="1"/>
  <c r="E708" i="1"/>
  <c r="E689" i="1"/>
  <c r="E637" i="1"/>
  <c r="E703" i="1"/>
  <c r="E628" i="1"/>
  <c r="E680" i="1"/>
  <c r="E691" i="1"/>
  <c r="E686" i="1"/>
  <c r="E681" i="1"/>
  <c r="E696" i="1"/>
  <c r="E692" i="1"/>
  <c r="E629" i="1"/>
  <c r="E635" i="1"/>
  <c r="E627" i="1"/>
  <c r="E711" i="1"/>
  <c r="E645" i="1"/>
  <c r="E638" i="1"/>
  <c r="E676" i="1"/>
  <c r="E672" i="1"/>
  <c r="E625" i="1"/>
  <c r="E634" i="1"/>
  <c r="E636" i="1"/>
  <c r="E677" i="1"/>
  <c r="E693" i="1"/>
  <c r="E698" i="1"/>
  <c r="E688" i="1"/>
  <c r="E705" i="1"/>
  <c r="E626" i="1"/>
  <c r="E668" i="1"/>
  <c r="E679" i="1"/>
  <c r="E707" i="1"/>
  <c r="E624" i="1"/>
  <c r="E701" i="1"/>
  <c r="E631" i="1"/>
  <c r="E715" i="1" l="1"/>
  <c r="F624" i="1"/>
  <c r="F645" i="1" l="1"/>
  <c r="F672" i="1"/>
  <c r="F695" i="1"/>
  <c r="F632" i="1"/>
  <c r="F687" i="1"/>
  <c r="F707" i="1"/>
  <c r="F678" i="1"/>
  <c r="F642" i="1"/>
  <c r="F676" i="1"/>
  <c r="F636" i="1"/>
  <c r="F692" i="1"/>
  <c r="F711" i="1"/>
  <c r="F700" i="1"/>
  <c r="F702" i="1"/>
  <c r="F669" i="1"/>
  <c r="F673" i="1"/>
  <c r="F698" i="1"/>
  <c r="F647" i="1"/>
  <c r="F638" i="1"/>
  <c r="F677" i="1"/>
  <c r="F710" i="1"/>
  <c r="F689" i="1"/>
  <c r="F688" i="1"/>
  <c r="F631" i="1"/>
  <c r="F696" i="1"/>
  <c r="F646" i="1"/>
  <c r="F712" i="1"/>
  <c r="F639" i="1"/>
  <c r="F682" i="1"/>
  <c r="F708" i="1"/>
  <c r="F691" i="1"/>
  <c r="F705" i="1"/>
  <c r="F685" i="1"/>
  <c r="F699" i="1"/>
  <c r="F635" i="1"/>
  <c r="F630" i="1"/>
  <c r="F627" i="1"/>
  <c r="F701" i="1"/>
  <c r="F671" i="1"/>
  <c r="F694" i="1"/>
  <c r="F675" i="1"/>
  <c r="F629" i="1"/>
  <c r="F626" i="1"/>
  <c r="F670" i="1"/>
  <c r="F633" i="1"/>
  <c r="F706" i="1"/>
  <c r="F679" i="1"/>
  <c r="F644" i="1"/>
  <c r="F680" i="1"/>
  <c r="F703" i="1"/>
  <c r="F681" i="1"/>
  <c r="F643" i="1"/>
  <c r="F709" i="1"/>
  <c r="F686" i="1"/>
  <c r="F683" i="1"/>
  <c r="F637" i="1"/>
  <c r="F641" i="1"/>
  <c r="F690" i="1"/>
  <c r="F693" i="1"/>
  <c r="F640" i="1"/>
  <c r="F634" i="1"/>
  <c r="F713" i="1"/>
  <c r="F625" i="1"/>
  <c r="G625" i="1" s="1"/>
  <c r="F674" i="1"/>
  <c r="F704" i="1"/>
  <c r="F697" i="1"/>
  <c r="F668" i="1"/>
  <c r="F628" i="1"/>
  <c r="F716" i="1"/>
  <c r="F684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47" i="1"/>
  <c r="G644" i="1"/>
  <c r="G680" i="1"/>
  <c r="G637" i="1"/>
  <c r="G702" i="1"/>
  <c r="G698" i="1"/>
  <c r="G685" i="1"/>
  <c r="G645" i="1"/>
  <c r="G703" i="1"/>
  <c r="G633" i="1"/>
  <c r="G626" i="1"/>
  <c r="G627" i="1"/>
  <c r="G699" i="1"/>
  <c r="G688" i="1"/>
  <c r="G642" i="1"/>
  <c r="G675" i="1"/>
  <c r="G690" i="1"/>
  <c r="G630" i="1"/>
  <c r="G635" i="1"/>
  <c r="G710" i="1"/>
  <c r="G673" i="1"/>
  <c r="G643" i="1"/>
  <c r="G636" i="1"/>
  <c r="G677" i="1"/>
  <c r="G708" i="1"/>
  <c r="G706" i="1"/>
  <c r="G679" i="1"/>
  <c r="G684" i="1"/>
  <c r="G638" i="1"/>
  <c r="G670" i="1"/>
  <c r="G678" i="1"/>
  <c r="G669" i="1"/>
  <c r="G631" i="1"/>
  <c r="G716" i="1"/>
  <c r="G640" i="1"/>
  <c r="G701" i="1"/>
  <c r="G697" i="1"/>
  <c r="G689" i="1"/>
  <c r="G712" i="1"/>
  <c r="G668" i="1"/>
  <c r="G711" i="1"/>
  <c r="G693" i="1"/>
  <c r="G704" i="1"/>
  <c r="G695" i="1"/>
  <c r="G691" i="1"/>
  <c r="G713" i="1"/>
  <c r="G646" i="1"/>
  <c r="G692" i="1"/>
  <c r="G641" i="1"/>
  <c r="G634" i="1"/>
  <c r="G683" i="1"/>
  <c r="F715" i="1"/>
  <c r="G715" i="1" l="1"/>
  <c r="H628" i="1"/>
  <c r="H683" i="1" l="1"/>
  <c r="H712" i="1"/>
  <c r="H633" i="1"/>
  <c r="H636" i="1"/>
  <c r="H680" i="1"/>
  <c r="H707" i="1"/>
  <c r="H675" i="1"/>
  <c r="H698" i="1"/>
  <c r="H647" i="1"/>
  <c r="H681" i="1"/>
  <c r="H697" i="1"/>
  <c r="H701" i="1"/>
  <c r="H693" i="1"/>
  <c r="H687" i="1"/>
  <c r="H629" i="1"/>
  <c r="H716" i="1"/>
  <c r="H685" i="1"/>
  <c r="H682" i="1"/>
  <c r="H634" i="1"/>
  <c r="H638" i="1"/>
  <c r="H689" i="1"/>
  <c r="H703" i="1"/>
  <c r="H706" i="1"/>
  <c r="H639" i="1"/>
  <c r="H705" i="1"/>
  <c r="H686" i="1"/>
  <c r="H702" i="1"/>
  <c r="H637" i="1"/>
  <c r="H676" i="1"/>
  <c r="H631" i="1"/>
  <c r="H710" i="1"/>
  <c r="H713" i="1"/>
  <c r="H691" i="1"/>
  <c r="H641" i="1"/>
  <c r="H642" i="1"/>
  <c r="H671" i="1"/>
  <c r="H696" i="1"/>
  <c r="H684" i="1"/>
  <c r="H688" i="1"/>
  <c r="H711" i="1"/>
  <c r="H695" i="1"/>
  <c r="H669" i="1"/>
  <c r="H646" i="1"/>
  <c r="H672" i="1"/>
  <c r="H699" i="1"/>
  <c r="H708" i="1"/>
  <c r="H694" i="1"/>
  <c r="H670" i="1"/>
  <c r="H692" i="1"/>
  <c r="H674" i="1"/>
  <c r="H704" i="1"/>
  <c r="H644" i="1"/>
  <c r="H635" i="1"/>
  <c r="H709" i="1"/>
  <c r="H673" i="1"/>
  <c r="H645" i="1"/>
  <c r="H643" i="1"/>
  <c r="H678" i="1"/>
  <c r="H679" i="1"/>
  <c r="H632" i="1"/>
  <c r="H668" i="1"/>
  <c r="H700" i="1"/>
  <c r="H630" i="1"/>
  <c r="H690" i="1"/>
  <c r="H640" i="1"/>
  <c r="H677" i="1"/>
  <c r="H715" i="1" l="1"/>
  <c r="I629" i="1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6" i="1"/>
  <c r="I670" i="1"/>
  <c r="I705" i="1"/>
  <c r="I675" i="1"/>
  <c r="I681" i="1"/>
  <c r="I689" i="1"/>
  <c r="I686" i="1"/>
  <c r="I711" i="1"/>
  <c r="I694" i="1"/>
  <c r="I631" i="1"/>
  <c r="I634" i="1"/>
  <c r="I673" i="1"/>
  <c r="I637" i="1"/>
  <c r="I716" i="1"/>
  <c r="I699" i="1"/>
  <c r="I647" i="1"/>
  <c r="I683" i="1"/>
  <c r="I688" i="1"/>
  <c r="I672" i="1"/>
  <c r="I704" i="1"/>
  <c r="I701" i="1"/>
  <c r="I709" i="1"/>
  <c r="I708" i="1"/>
  <c r="I632" i="1"/>
  <c r="I676" i="1"/>
  <c r="I712" i="1"/>
  <c r="I645" i="1"/>
  <c r="I669" i="1"/>
  <c r="I685" i="1"/>
  <c r="I642" i="1"/>
  <c r="I674" i="1"/>
  <c r="I690" i="1"/>
  <c r="I684" i="1"/>
  <c r="I641" i="1"/>
  <c r="I639" i="1"/>
  <c r="I693" i="1"/>
  <c r="I702" i="1"/>
  <c r="I638" i="1"/>
  <c r="I697" i="1"/>
  <c r="I679" i="1"/>
  <c r="I636" i="1"/>
  <c r="I700" i="1"/>
  <c r="I692" i="1"/>
  <c r="I677" i="1"/>
  <c r="I691" i="1"/>
  <c r="I698" i="1"/>
  <c r="I640" i="1"/>
  <c r="I630" i="1"/>
  <c r="I715" i="1" l="1"/>
  <c r="J630" i="1"/>
  <c r="J693" i="1" l="1"/>
  <c r="J708" i="1"/>
  <c r="J668" i="1"/>
  <c r="J699" i="1"/>
  <c r="J700" i="1"/>
  <c r="J634" i="1"/>
  <c r="J709" i="1"/>
  <c r="J675" i="1"/>
  <c r="J639" i="1"/>
  <c r="J680" i="1"/>
  <c r="J679" i="1"/>
  <c r="J647" i="1"/>
  <c r="J637" i="1"/>
  <c r="J703" i="1"/>
  <c r="J681" i="1"/>
  <c r="J686" i="1"/>
  <c r="J696" i="1"/>
  <c r="J716" i="1"/>
  <c r="J694" i="1"/>
  <c r="J704" i="1"/>
  <c r="J644" i="1"/>
  <c r="J691" i="1"/>
  <c r="J632" i="1"/>
  <c r="J670" i="1"/>
  <c r="J712" i="1"/>
  <c r="J635" i="1"/>
  <c r="J645" i="1"/>
  <c r="J688" i="1"/>
  <c r="J672" i="1"/>
  <c r="J677" i="1"/>
  <c r="J633" i="1"/>
  <c r="J710" i="1"/>
  <c r="J698" i="1"/>
  <c r="J636" i="1"/>
  <c r="J643" i="1"/>
  <c r="J701" i="1"/>
  <c r="J674" i="1"/>
  <c r="J646" i="1"/>
  <c r="J687" i="1"/>
  <c r="J685" i="1"/>
  <c r="J705" i="1"/>
  <c r="J690" i="1"/>
  <c r="J683" i="1"/>
  <c r="J684" i="1"/>
  <c r="J640" i="1"/>
  <c r="J631" i="1"/>
  <c r="J673" i="1"/>
  <c r="J641" i="1"/>
  <c r="J676" i="1"/>
  <c r="J638" i="1"/>
  <c r="J713" i="1"/>
  <c r="J671" i="1"/>
  <c r="J695" i="1"/>
  <c r="J706" i="1"/>
  <c r="J689" i="1"/>
  <c r="J697" i="1"/>
  <c r="J707" i="1"/>
  <c r="J669" i="1"/>
  <c r="J711" i="1"/>
  <c r="J642" i="1"/>
  <c r="J682" i="1"/>
  <c r="J678" i="1"/>
  <c r="J692" i="1"/>
  <c r="J702" i="1"/>
  <c r="L647" i="1" l="1"/>
  <c r="J715" i="1"/>
  <c r="K644" i="1"/>
  <c r="K716" i="1" l="1"/>
  <c r="K670" i="1"/>
  <c r="K672" i="1"/>
  <c r="K679" i="1"/>
  <c r="K711" i="1"/>
  <c r="K703" i="1"/>
  <c r="K700" i="1"/>
  <c r="K713" i="1"/>
  <c r="K699" i="1"/>
  <c r="K708" i="1"/>
  <c r="K694" i="1"/>
  <c r="K681" i="1"/>
  <c r="K693" i="1"/>
  <c r="K685" i="1"/>
  <c r="K704" i="1"/>
  <c r="K690" i="1"/>
  <c r="K706" i="1"/>
  <c r="K675" i="1"/>
  <c r="K674" i="1"/>
  <c r="K709" i="1"/>
  <c r="K682" i="1"/>
  <c r="K687" i="1"/>
  <c r="K686" i="1"/>
  <c r="K705" i="1"/>
  <c r="K689" i="1"/>
  <c r="K712" i="1"/>
  <c r="K697" i="1"/>
  <c r="K677" i="1"/>
  <c r="K692" i="1"/>
  <c r="K695" i="1"/>
  <c r="K688" i="1"/>
  <c r="K680" i="1"/>
  <c r="K701" i="1"/>
  <c r="K684" i="1"/>
  <c r="K707" i="1"/>
  <c r="K673" i="1"/>
  <c r="K669" i="1"/>
  <c r="K678" i="1"/>
  <c r="K671" i="1"/>
  <c r="K668" i="1"/>
  <c r="K676" i="1"/>
  <c r="K702" i="1"/>
  <c r="K710" i="1"/>
  <c r="K696" i="1"/>
  <c r="K691" i="1"/>
  <c r="K683" i="1"/>
  <c r="K698" i="1"/>
  <c r="L675" i="1"/>
  <c r="L710" i="1"/>
  <c r="L680" i="1"/>
  <c r="L678" i="1"/>
  <c r="L693" i="1"/>
  <c r="L691" i="1"/>
  <c r="M691" i="1" s="1"/>
  <c r="L713" i="1"/>
  <c r="L669" i="1"/>
  <c r="M669" i="1" s="1"/>
  <c r="L670" i="1"/>
  <c r="L683" i="1"/>
  <c r="L695" i="1"/>
  <c r="L704" i="1"/>
  <c r="L716" i="1"/>
  <c r="L701" i="1"/>
  <c r="M701" i="1" s="1"/>
  <c r="L694" i="1"/>
  <c r="L688" i="1"/>
  <c r="M688" i="1" s="1"/>
  <c r="L681" i="1"/>
  <c r="M681" i="1" s="1"/>
  <c r="L707" i="1"/>
  <c r="L689" i="1"/>
  <c r="M689" i="1" s="1"/>
  <c r="L708" i="1"/>
  <c r="M708" i="1" s="1"/>
  <c r="L679" i="1"/>
  <c r="L686" i="1"/>
  <c r="L698" i="1"/>
  <c r="L711" i="1"/>
  <c r="M711" i="1" s="1"/>
  <c r="L697" i="1"/>
  <c r="L690" i="1"/>
  <c r="L676" i="1"/>
  <c r="M676" i="1" s="1"/>
  <c r="L677" i="1"/>
  <c r="L699" i="1"/>
  <c r="M699" i="1" s="1"/>
  <c r="L705" i="1"/>
  <c r="L685" i="1"/>
  <c r="L684" i="1"/>
  <c r="L702" i="1"/>
  <c r="L696" i="1"/>
  <c r="L700" i="1"/>
  <c r="L709" i="1"/>
  <c r="L671" i="1"/>
  <c r="L703" i="1"/>
  <c r="L672" i="1"/>
  <c r="L712" i="1"/>
  <c r="L673" i="1"/>
  <c r="M673" i="1" s="1"/>
  <c r="L706" i="1"/>
  <c r="M706" i="1" s="1"/>
  <c r="L668" i="1"/>
  <c r="L674" i="1"/>
  <c r="M674" i="1" s="1"/>
  <c r="L687" i="1"/>
  <c r="L682" i="1"/>
  <c r="M682" i="1" s="1"/>
  <c r="L692" i="1"/>
  <c r="M692" i="1" s="1"/>
  <c r="M693" i="1" l="1"/>
  <c r="M704" i="1"/>
  <c r="M695" i="1"/>
  <c r="M712" i="1"/>
  <c r="M684" i="1"/>
  <c r="E87" i="9" s="1"/>
  <c r="M678" i="1"/>
  <c r="M685" i="1"/>
  <c r="F87" i="9" s="1"/>
  <c r="M687" i="1"/>
  <c r="H87" i="9" s="1"/>
  <c r="M671" i="1"/>
  <c r="M702" i="1"/>
  <c r="M697" i="1"/>
  <c r="M670" i="1"/>
  <c r="E23" i="9" s="1"/>
  <c r="M675" i="1"/>
  <c r="M703" i="1"/>
  <c r="M672" i="1"/>
  <c r="G23" i="9" s="1"/>
  <c r="M700" i="1"/>
  <c r="M698" i="1"/>
  <c r="M694" i="1"/>
  <c r="H119" i="9" s="1"/>
  <c r="M686" i="1"/>
  <c r="G87" i="9" s="1"/>
  <c r="M707" i="1"/>
  <c r="G183" i="9" s="1"/>
  <c r="M679" i="1"/>
  <c r="G55" i="9" s="1"/>
  <c r="M677" i="1"/>
  <c r="E55" i="9" s="1"/>
  <c r="M713" i="1"/>
  <c r="F215" i="9" s="1"/>
  <c r="M680" i="1"/>
  <c r="M709" i="1"/>
  <c r="M696" i="1"/>
  <c r="C151" i="9" s="1"/>
  <c r="M705" i="1"/>
  <c r="E183" i="9" s="1"/>
  <c r="M690" i="1"/>
  <c r="D119" i="9" s="1"/>
  <c r="M683" i="1"/>
  <c r="D87" i="9" s="1"/>
  <c r="F23" i="9"/>
  <c r="I151" i="9"/>
  <c r="F151" i="9"/>
  <c r="I55" i="9"/>
  <c r="G119" i="9"/>
  <c r="C55" i="9"/>
  <c r="K715" i="1"/>
  <c r="I23" i="9"/>
  <c r="E215" i="9"/>
  <c r="D215" i="9"/>
  <c r="H183" i="9"/>
  <c r="I87" i="9"/>
  <c r="D183" i="9"/>
  <c r="D23" i="9"/>
  <c r="F55" i="9"/>
  <c r="H23" i="9"/>
  <c r="F119" i="9"/>
  <c r="L715" i="1"/>
  <c r="M668" i="1"/>
  <c r="G151" i="9"/>
  <c r="D55" i="9"/>
  <c r="C119" i="9"/>
  <c r="I119" i="9"/>
  <c r="C87" i="9"/>
  <c r="F183" i="9"/>
  <c r="C183" i="9"/>
  <c r="H151" i="9"/>
  <c r="E119" i="9"/>
  <c r="M710" i="1"/>
  <c r="E151" i="9" l="1"/>
  <c r="D151" i="9"/>
  <c r="H55" i="9"/>
  <c r="I183" i="9"/>
  <c r="C215" i="9"/>
  <c r="M715" i="1"/>
  <c r="C23" i="9"/>
</calcChain>
</file>

<file path=xl/sharedStrings.xml><?xml version="1.0" encoding="utf-8"?>
<sst xmlns="http://schemas.openxmlformats.org/spreadsheetml/2006/main" count="4674" uniqueCount="1280">
  <si>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</si>
  <si>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</si>
  <si>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</si>
  <si>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</si>
  <si>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</si>
  <si>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</si>
  <si>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</si>
  <si>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</si>
  <si>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</si>
  <si>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</si>
  <si>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</si>
  <si>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</si>
  <si>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</si>
  <si>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</si>
  <si>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</si>
  <si>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</si>
  <si>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</si>
  <si>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</si>
  <si>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</si>
  <si>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</si>
  <si>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</si>
  <si>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</si>
  <si>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</si>
  <si>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</si>
  <si>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</si>
  <si>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</si>
  <si>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</si>
  <si>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</si>
  <si>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</si>
  <si>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</si>
  <si>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</si>
  <si>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</si>
  <si>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</si>
  <si>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</si>
  <si>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</si>
  <si>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</si>
  <si>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</si>
  <si>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</si>
  <si>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</si>
  <si>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</si>
  <si>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</si>
  <si>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</si>
  <si>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</si>
  <si>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</si>
  <si>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</si>
  <si>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</si>
  <si>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</si>
  <si>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</si>
  <si>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</si>
  <si>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</si>
  <si>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</si>
  <si>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</si>
  <si>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</si>
  <si>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</si>
  <si>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</si>
  <si>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</si>
  <si>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</si>
  <si>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</si>
  <si>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</si>
  <si>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</si>
  <si>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</si>
  <si>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</si>
  <si>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</si>
  <si>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</si>
  <si>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</si>
  <si>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</si>
  <si>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</si>
  <si>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</si>
  <si>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</si>
  <si>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</si>
  <si>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</si>
  <si>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</si>
  <si>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</si>
  <si>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</si>
  <si>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</si>
  <si>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</si>
  <si>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</si>
  <si>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</si>
  <si>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</si>
  <si>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</si>
  <si>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</si>
  <si>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</si>
  <si>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</si>
  <si>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</si>
  <si>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</si>
  <si>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</si>
  <si>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</si>
  <si>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</si>
  <si>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</si>
  <si>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</si>
  <si>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</si>
  <si>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</si>
  <si>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</si>
  <si>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</si>
  <si>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</si>
  <si>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</si>
  <si>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</si>
  <si>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</si>
  <si>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</si>
  <si>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</si>
  <si>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</si>
  <si>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</si>
  <si>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</si>
  <si>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</si>
  <si>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</si>
  <si>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</si>
  <si>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</si>
  <si>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</si>
  <si>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</si>
  <si>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</si>
  <si>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</si>
  <si>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</si>
  <si>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</si>
  <si>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</si>
  <si>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</si>
  <si>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</si>
  <si>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</si>
  <si>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</si>
  <si>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</si>
  <si>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</si>
  <si>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</si>
  <si>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</si>
  <si>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</si>
  <si>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</si>
  <si>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</si>
  <si>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</si>
  <si>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</si>
  <si>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</si>
  <si>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</si>
  <si>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</si>
  <si>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</si>
  <si>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</si>
  <si>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</si>
  <si>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</si>
  <si>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</si>
  <si>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</si>
  <si>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</si>
  <si>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</si>
  <si>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</si>
  <si>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</si>
  <si>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</si>
  <si>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</si>
  <si>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</si>
  <si>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</si>
  <si>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</si>
  <si>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</si>
  <si>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</si>
  <si>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</si>
  <si>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</si>
  <si>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</si>
  <si>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</si>
  <si>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</si>
  <si>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</si>
  <si>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</si>
  <si>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</si>
  <si>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</si>
  <si>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</si>
  <si>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</si>
  <si>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</si>
  <si>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</si>
  <si>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</si>
  <si>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</si>
  <si>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</si>
  <si>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</si>
  <si>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</si>
  <si>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</si>
  <si>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</si>
  <si>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</si>
  <si>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</si>
  <si>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</si>
  <si>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</si>
  <si>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</si>
  <si>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</si>
  <si>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</si>
  <si>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</si>
  <si>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</si>
  <si>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</si>
  <si>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</si>
  <si>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</si>
  <si>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</si>
  <si>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</si>
  <si>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</si>
  <si>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</si>
  <si>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</si>
  <si>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</si>
  <si>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</si>
  <si>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</si>
  <si>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</si>
  <si>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</si>
  <si>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</si>
  <si>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</si>
  <si>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</si>
  <si>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</si>
  <si>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</si>
  <si>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</si>
  <si>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</si>
  <si>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</si>
  <si>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</si>
  <si>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</si>
  <si>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</si>
  <si>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</si>
  <si>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</si>
  <si>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</si>
  <si>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</si>
  <si>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</si>
  <si>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</si>
  <si>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</si>
  <si>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</si>
  <si>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</si>
  <si>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</si>
  <si>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</si>
  <si>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</si>
  <si>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</si>
  <si>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</si>
  <si>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</si>
  <si>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</si>
  <si>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</si>
  <si>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</si>
  <si>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</si>
  <si>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</si>
  <si>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</si>
  <si>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</si>
  <si>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</si>
  <si>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</si>
  <si>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</si>
  <si>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</si>
  <si>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</si>
  <si>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</si>
  <si>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</si>
  <si>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</si>
  <si>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</si>
  <si>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</si>
  <si>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</si>
  <si>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</si>
  <si>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</si>
  <si>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</si>
  <si>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</si>
  <si>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</si>
  <si>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</si>
  <si>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</si>
  <si>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</si>
  <si>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</si>
  <si>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</si>
  <si>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</si>
  <si>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</si>
  <si>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</si>
  <si>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</si>
  <si>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</si>
  <si>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</si>
  <si>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</si>
  <si>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</si>
  <si>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</si>
  <si>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</si>
  <si>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</si>
  <si>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</si>
  <si>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</si>
  <si>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</si>
  <si>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</si>
  <si>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</si>
  <si>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</si>
  <si>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</si>
  <si>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</si>
  <si>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</si>
  <si>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</si>
  <si>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</si>
  <si>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</si>
  <si>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</si>
  <si>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</si>
  <si>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</si>
  <si>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</si>
  <si>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</si>
  <si>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</si>
  <si>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</si>
  <si>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</si>
  <si>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</si>
  <si>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</si>
  <si>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</si>
  <si>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</si>
  <si>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</si>
  <si>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</si>
  <si>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</si>
  <si>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</si>
  <si>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</si>
  <si>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</si>
  <si>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</si>
  <si>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</si>
  <si>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</si>
  <si>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</si>
  <si>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</si>
  <si>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</si>
  <si>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</si>
  <si>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</si>
  <si>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</si>
  <si>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</si>
  <si>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</si>
  <si>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</si>
  <si>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</si>
  <si>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</si>
  <si>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</si>
  <si>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</si>
  <si>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</si>
  <si>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</si>
  <si>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</si>
  <si>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</si>
  <si>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</si>
  <si>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</si>
  <si>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</si>
  <si>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</si>
  <si>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</si>
  <si>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</si>
  <si>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</si>
  <si>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</si>
  <si>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</si>
  <si>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</si>
  <si>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</si>
  <si>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</si>
  <si>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</si>
  <si>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</si>
  <si>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</si>
  <si>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</si>
  <si>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</si>
  <si>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</si>
  <si>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</si>
  <si>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</si>
  <si>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</si>
  <si>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</si>
  <si>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</si>
  <si>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</si>
  <si>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</si>
  <si>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</si>
  <si>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</si>
  <si>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</si>
  <si>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</si>
  <si>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</si>
  <si>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</si>
  <si>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</si>
  <si>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</si>
  <si>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</si>
  <si>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</si>
  <si>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</si>
  <si>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</si>
  <si>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</si>
  <si>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</si>
  <si>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</si>
  <si>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</si>
  <si>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</si>
  <si>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</si>
  <si>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</si>
  <si>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</si>
  <si>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</si>
  <si>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</si>
  <si>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</si>
  <si>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</si>
  <si>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</si>
  <si>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</si>
  <si>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</si>
  <si>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</si>
  <si>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</si>
  <si>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</si>
  <si>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</si>
  <si>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</si>
  <si>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</si>
  <si>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</si>
  <si>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</si>
  <si>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</si>
  <si>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</si>
  <si>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</si>
  <si>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</si>
  <si>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</si>
  <si>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</si>
  <si>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</si>
  <si>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</si>
  <si>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</si>
  <si>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</si>
  <si>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</si>
  <si>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</si>
  <si>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</si>
  <si>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</si>
  <si>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</si>
  <si>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</si>
  <si>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</si>
  <si>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</si>
  <si>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</si>
  <si>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</si>
  <si>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</si>
  <si>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</si>
  <si>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</si>
  <si>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</si>
  <si>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</si>
  <si>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</si>
  <si>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</si>
  <si>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</si>
  <si>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</si>
  <si>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</si>
  <si>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</si>
  <si>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</si>
  <si>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</si>
  <si>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</si>
  <si>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</si>
  <si>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</si>
  <si>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</si>
  <si>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</si>
  <si>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</si>
  <si>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</si>
  <si>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</si>
  <si>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</si>
  <si>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</si>
  <si>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</si>
  <si>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</si>
  <si>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</si>
  <si>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</si>
  <si>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</si>
  <si>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</si>
  <si>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</si>
  <si>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</si>
  <si>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</si>
  <si>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</si>
  <si>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</si>
  <si>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</si>
  <si>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</si>
  <si>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</si>
  <si>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</si>
  <si>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</si>
  <si>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</si>
  <si>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</si>
  <si>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</si>
  <si>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</si>
  <si>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</si>
  <si>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</si>
  <si>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</si>
  <si>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</si>
  <si>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</si>
  <si>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</si>
  <si>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</si>
  <si>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</si>
  <si>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</si>
  <si>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</si>
  <si>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</si>
  <si>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</si>
  <si>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</si>
  <si>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</si>
  <si>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</si>
  <si>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</si>
  <si>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</si>
  <si>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</si>
  <si>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</si>
  <si>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</si>
  <si>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</si>
  <si>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</si>
  <si>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</si>
  <si>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</si>
  <si>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</si>
  <si>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</si>
  <si>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</si>
  <si>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</si>
  <si>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</si>
  <si>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</si>
  <si>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</si>
  <si>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</si>
  <si>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</si>
  <si>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</si>
  <si>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</si>
  <si>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</si>
  <si>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</si>
  <si>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</si>
  <si>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</si>
  <si>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</si>
  <si>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</si>
  <si>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</si>
  <si>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</si>
  <si>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</si>
  <si>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</si>
  <si>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</si>
  <si>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</si>
  <si>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</si>
  <si>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</si>
  <si>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</si>
  <si>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</si>
  <si>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</si>
  <si>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</si>
  <si>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</si>
  <si>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</si>
  <si>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</si>
  <si>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</si>
  <si>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</si>
  <si>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</si>
  <si>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</si>
  <si>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</si>
  <si>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</si>
  <si>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</si>
  <si>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</si>
  <si>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</si>
  <si>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</si>
  <si>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</si>
  <si>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</si>
  <si>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</si>
  <si>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</si>
  <si>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</si>
  <si>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</si>
  <si>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</si>
  <si>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</si>
  <si>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</si>
  <si>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</si>
  <si>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</si>
  <si>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</si>
  <si>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</si>
  <si>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</si>
  <si>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</si>
  <si>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</si>
  <si>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</si>
  <si>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</si>
  <si>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</si>
  <si>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</si>
  <si>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</si>
  <si>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</si>
  <si>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</si>
  <si>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</si>
  <si>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</si>
  <si>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</si>
  <si>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</si>
  <si>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</si>
  <si>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</si>
  <si>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</si>
  <si>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</si>
  <si>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</si>
  <si>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</si>
  <si>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</si>
  <si>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</si>
  <si>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</si>
  <si>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</si>
  <si>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</si>
  <si>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</si>
  <si>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</si>
  <si>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</si>
  <si>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</si>
  <si>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</si>
  <si>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</si>
  <si>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</si>
  <si>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</si>
  <si>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</si>
  <si>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</si>
  <si>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</si>
  <si>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</si>
  <si>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</si>
  <si>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</si>
  <si>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</si>
  <si>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</si>
  <si>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</si>
  <si>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</si>
  <si>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</si>
  <si>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</si>
  <si>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</si>
  <si>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</si>
  <si>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</si>
  <si>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</si>
  <si>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</si>
  <si>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</si>
  <si>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</si>
  <si>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</si>
  <si>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</si>
  <si>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</si>
  <si>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</si>
  <si>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</si>
  <si>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</si>
  <si>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</si>
  <si>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</si>
  <si>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</si>
  <si>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</si>
  <si>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</si>
  <si>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</si>
  <si>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</si>
  <si>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</si>
  <si>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</si>
  <si>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</si>
  <si>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</si>
  <si>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</si>
  <si>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</si>
  <si>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</si>
  <si>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</si>
  <si>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</si>
  <si>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</si>
  <si>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</si>
  <si>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</si>
  <si>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</si>
  <si>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</si>
  <si>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</si>
  <si>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</si>
  <si>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</si>
  <si>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</si>
  <si>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</si>
  <si>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</si>
  <si>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</si>
  <si>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</si>
  <si>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</si>
  <si>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</si>
  <si>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</si>
  <si>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</si>
  <si>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</si>
  <si>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</si>
  <si>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</si>
  <si>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</si>
  <si>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</si>
  <si>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</si>
  <si>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</si>
  <si>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</si>
  <si>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</si>
  <si>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</si>
  <si>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</si>
  <si>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</si>
  <si>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</si>
  <si>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</si>
  <si>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</si>
  <si>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</si>
  <si>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</si>
  <si>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</si>
  <si>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</si>
  <si>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</si>
  <si>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</si>
  <si>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</si>
  <si>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</si>
  <si>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</si>
  <si>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</si>
  <si>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</si>
  <si>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</si>
  <si>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</si>
  <si>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</si>
  <si>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</si>
  <si>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</si>
  <si>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</si>
  <si>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</si>
  <si>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</si>
  <si>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</si>
  <si>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</si>
  <si>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</si>
  <si>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</si>
  <si>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</si>
  <si>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</si>
  <si>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</si>
  <si>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</si>
  <si>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</si>
  <si>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</si>
  <si>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</si>
  <si>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</si>
  <si>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</si>
  <si>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</si>
  <si>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</si>
  <si>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</si>
  <si>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</si>
  <si>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</si>
  <si>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</si>
  <si>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</si>
  <si>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</si>
  <si>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</si>
  <si>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</si>
  <si>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</si>
  <si>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</si>
  <si>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</si>
  <si>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</si>
  <si>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</si>
  <si>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</si>
  <si>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</si>
  <si>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</si>
  <si>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</si>
  <si>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</si>
  <si>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</si>
  <si>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</si>
  <si>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</si>
  <si>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</si>
  <si>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</si>
  <si>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</si>
  <si>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</si>
  <si>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</si>
  <si>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</si>
  <si>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</si>
  <si>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</si>
  <si>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</si>
  <si>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</si>
  <si>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</si>
  <si>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</si>
  <si>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</si>
  <si>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</si>
  <si>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</si>
  <si>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</si>
  <si>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</si>
  <si>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</si>
  <si>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</si>
  <si>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</si>
  <si>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</si>
  <si>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</si>
  <si>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</si>
  <si>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</si>
  <si>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</si>
  <si>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</si>
  <si>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</si>
  <si>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</si>
  <si>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</si>
  <si>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</si>
  <si>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</si>
  <si>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</si>
  <si>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</si>
  <si>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</si>
  <si>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</si>
  <si>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</si>
  <si>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</si>
  <si>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</si>
  <si>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</si>
  <si>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</si>
  <si>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</si>
  <si>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</si>
  <si>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</si>
  <si>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</si>
  <si>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</si>
  <si>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</si>
  <si>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</si>
  <si>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</si>
  <si>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</si>
  <si>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</si>
  <si>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</si>
  <si>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</si>
  <si>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</si>
  <si>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</si>
  <si>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</si>
  <si>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</si>
  <si>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</si>
  <si>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</si>
  <si>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</si>
  <si>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</si>
  <si>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</si>
  <si>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</si>
  <si>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</si>
  <si>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</si>
  <si>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</si>
  <si>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</si>
  <si>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</si>
  <si>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</si>
  <si>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</si>
  <si>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</si>
  <si>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</si>
  <si>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</si>
  <si>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</si>
  <si>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</si>
  <si>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</si>
  <si>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</si>
  <si>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</si>
  <si>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</si>
  <si>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</si>
  <si>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</si>
  <si>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</si>
  <si>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</si>
  <si>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</si>
  <si>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</si>
  <si>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</si>
  <si>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</si>
  <si>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</si>
  <si>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</si>
  <si>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</si>
  <si>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</si>
  <si>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</si>
  <si>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</si>
  <si>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</si>
  <si>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</si>
  <si>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</si>
  <si>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</si>
  <si>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</si>
  <si>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</si>
  <si>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</si>
  <si>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</si>
  <si>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</si>
  <si>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</si>
  <si>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</si>
  <si>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</si>
  <si>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</si>
  <si>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</si>
  <si>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</si>
  <si>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</si>
  <si>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</si>
  <si>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</si>
  <si>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</si>
  <si>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</si>
  <si>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</si>
  <si>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</si>
  <si>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</si>
  <si>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</si>
  <si>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</si>
  <si>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</si>
  <si>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</si>
  <si>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</si>
  <si>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</si>
  <si>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</si>
  <si>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</si>
  <si>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</si>
  <si>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</si>
  <si>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</si>
  <si>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</si>
  <si>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</si>
  <si>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</si>
  <si>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</si>
  <si>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</si>
  <si>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</si>
  <si>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</si>
  <si>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</si>
  <si>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</si>
  <si>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</si>
  <si>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</si>
  <si>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</si>
  <si>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</si>
  <si>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</si>
  <si>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</si>
  <si>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</si>
  <si>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</si>
  <si>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</si>
  <si>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</si>
  <si>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</si>
  <si>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</si>
  <si>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</si>
  <si>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</si>
  <si>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</si>
  <si>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</si>
  <si>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</si>
  <si>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</si>
  <si>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</si>
  <si>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</si>
  <si>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</si>
  <si>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</si>
  <si>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</si>
  <si>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</si>
  <si>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</si>
  <si>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</si>
  <si>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</si>
  <si>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</si>
  <si>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</si>
  <si>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</si>
  <si>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</si>
  <si>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</si>
  <si>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</si>
  <si>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</si>
  <si>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</si>
  <si>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</si>
  <si>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</si>
  <si>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</si>
  <si>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</si>
  <si>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</si>
  <si>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</si>
  <si>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</si>
  <si>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</si>
  <si>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</si>
  <si>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</si>
  <si>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</si>
  <si>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</si>
  <si>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</si>
  <si>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</si>
  <si>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</si>
  <si>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</si>
  <si>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</si>
  <si>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</si>
  <si>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</si>
  <si>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</si>
  <si>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</si>
  <si>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</si>
  <si>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</si>
  <si>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</si>
  <si>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</si>
  <si>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</si>
  <si>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</si>
  <si>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</si>
  <si>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</si>
  <si>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</si>
  <si>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</si>
  <si>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</si>
  <si>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</si>
  <si>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</si>
  <si>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</si>
  <si>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</si>
  <si>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</si>
  <si>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</si>
  <si>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</si>
  <si>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</si>
  <si>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</si>
  <si>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</si>
  <si>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</si>
  <si>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</si>
  <si>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</si>
  <si>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</si>
  <si>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</si>
  <si>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</si>
  <si>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</si>
  <si>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</si>
  <si>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</si>
  <si>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</si>
  <si>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</si>
  <si>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</si>
  <si>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</si>
  <si>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</si>
  <si>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</si>
  <si>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</si>
  <si>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</si>
  <si>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</si>
  <si>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</si>
  <si>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</si>
  <si>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</si>
  <si>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</si>
  <si>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</si>
  <si>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</si>
  <si>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</si>
  <si>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</si>
  <si>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</si>
  <si>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</si>
  <si>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</si>
  <si>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</si>
  <si>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</si>
  <si>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</si>
  <si>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</si>
  <si>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</si>
  <si>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</si>
  <si>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</si>
  <si>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</si>
  <si>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</si>
  <si>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</si>
  <si>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</si>
  <si>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</si>
  <si>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</si>
  <si>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</si>
  <si>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</si>
  <si>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</si>
  <si>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</si>
  <si>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</si>
  <si>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</si>
  <si>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</si>
  <si>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</si>
  <si>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</si>
  <si>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</si>
  <si>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</si>
  <si>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</si>
  <si>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</si>
  <si>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</si>
  <si>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</si>
  <si>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</si>
  <si>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</si>
  <si>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</si>
  <si>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</si>
  <si>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</si>
  <si>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</si>
  <si>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</si>
  <si>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</si>
  <si>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</si>
  <si>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</si>
  <si>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</si>
  <si>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</si>
  <si>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</si>
  <si>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</si>
  <si>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</si>
  <si>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</si>
  <si>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</si>
  <si>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</si>
  <si>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</si>
  <si>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</si>
  <si>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</si>
  <si>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</si>
  <si>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</si>
  <si>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</si>
  <si>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</si>
  <si>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</si>
  <si>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</si>
  <si>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</si>
  <si>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</si>
  <si>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</si>
  <si>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</si>
  <si>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</si>
  <si>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</si>
  <si>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</si>
  <si>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</si>
  <si>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</si>
  <si>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</si>
  <si>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</si>
  <si>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</si>
  <si>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</si>
  <si>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</si>
  <si>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</si>
  <si>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</si>
  <si>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</si>
  <si>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</si>
  <si>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</si>
  <si>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</si>
  <si>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</si>
  <si>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</si>
  <si>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</si>
  <si>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</si>
  <si>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</si>
  <si>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</si>
  <si>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</si>
  <si>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</si>
  <si>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</si>
  <si>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</si>
  <si>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</si>
  <si>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</si>
  <si>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</si>
  <si>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</si>
  <si>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</si>
  <si>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</si>
  <si>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</si>
  <si>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</si>
  <si>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</si>
  <si>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</si>
  <si>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</si>
  <si>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</si>
  <si>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</si>
  <si>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</si>
  <si>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</si>
  <si>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</si>
  <si>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</si>
  <si>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</si>
  <si>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</si>
  <si>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</si>
  <si>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</si>
  <si>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</si>
  <si>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</si>
  <si>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</si>
  <si>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</si>
  <si>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</si>
  <si>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</si>
  <si>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</si>
  <si>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</si>
  <si>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</si>
  <si>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</si>
  <si>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</si>
  <si>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</si>
  <si>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</si>
  <si>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</si>
  <si>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</si>
  <si>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</si>
  <si>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</si>
  <si>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</si>
  <si>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</si>
  <si>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</si>
  <si>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</si>
  <si>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</si>
  <si>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</si>
  <si>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</si>
  <si>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</si>
  <si>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</si>
  <si>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</si>
  <si>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</si>
  <si>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</si>
  <si>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</si>
  <si>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</si>
  <si>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</si>
  <si>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</si>
  <si>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</si>
  <si>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</si>
  <si>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</si>
  <si>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</si>
  <si>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</si>
  <si>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</si>
  <si>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</si>
  <si>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</si>
  <si>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</si>
  <si>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</si>
  <si>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</si>
  <si>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</si>
  <si>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</si>
  <si>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</si>
  <si>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</si>
  <si>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</si>
  <si>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</si>
  <si>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</si>
  <si>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</si>
  <si>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</si>
  <si>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</si>
  <si>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</si>
  <si>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</si>
  <si>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</si>
  <si>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</si>
  <si>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</si>
  <si>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</si>
  <si>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</si>
  <si>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</si>
  <si>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</si>
  <si>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</si>
  <si>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</si>
  <si>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</si>
  <si>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</si>
  <si>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</si>
  <si>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</si>
  <si>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</si>
  <si>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</si>
  <si>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</si>
  <si>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</si>
  <si>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</si>
  <si>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</si>
  <si>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</si>
  <si>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</si>
  <si>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</si>
  <si>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</si>
  <si>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</si>
  <si>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</si>
  <si>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</si>
  <si>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</si>
  <si>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</si>
  <si>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</si>
  <si>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</si>
  <si>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</si>
  <si>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</si>
  <si>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</si>
  <si>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</si>
  <si>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</si>
  <si>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</si>
  <si>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</si>
  <si>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</si>
  <si>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</si>
  <si>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</si>
  <si>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</si>
  <si>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</si>
  <si>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</si>
  <si>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</si>
  <si>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</si>
  <si>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</si>
  <si>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</si>
  <si>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</si>
  <si>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</si>
  <si>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</si>
  <si>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</si>
  <si>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</si>
  <si>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</si>
  <si>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</si>
  <si>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</si>
  <si>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</si>
  <si>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</si>
  <si>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</si>
  <si>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</si>
  <si>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</si>
  <si>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</si>
  <si>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</si>
  <si>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</si>
  <si>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</si>
  <si>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</si>
  <si>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</si>
  <si>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</si>
  <si>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</si>
  <si>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</si>
  <si>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</si>
  <si>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</si>
  <si>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</si>
  <si>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</si>
  <si>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</si>
  <si>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</si>
  <si>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</si>
  <si>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</si>
  <si>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</si>
  <si>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</si>
  <si>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</si>
  <si>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</si>
  <si>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</si>
  <si>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</si>
  <si>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</si>
  <si>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</si>
  <si>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</si>
  <si>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</si>
  <si>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</si>
  <si>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</si>
  <si>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</si>
  <si>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</si>
  <si>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</si>
  <si>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</si>
  <si>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</si>
  <si>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</si>
  <si>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</si>
  <si>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</si>
  <si>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</si>
  <si>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</si>
  <si>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</si>
  <si>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</si>
  <si>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</si>
  <si>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</si>
  <si>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</si>
  <si>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</si>
  <si>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</si>
  <si>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</si>
  <si>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</si>
  <si>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</si>
  <si>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</si>
  <si>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</si>
  <si>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</si>
  <si>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</si>
  <si>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</si>
  <si>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</si>
  <si>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</si>
  <si>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</si>
  <si>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</si>
  <si>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</si>
  <si>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</si>
  <si>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</si>
  <si>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</si>
  <si>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</si>
  <si>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</si>
  <si>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</si>
  <si>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</si>
  <si>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</si>
  <si>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</si>
  <si>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</si>
  <si>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</si>
  <si>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</si>
  <si>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</si>
  <si>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</si>
  <si>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</si>
  <si>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</si>
  <si>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</si>
  <si>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</si>
  <si>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</si>
  <si>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</si>
  <si>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</si>
  <si>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</si>
  <si>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</si>
  <si>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</si>
  <si>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</si>
  <si>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</si>
  <si>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</si>
  <si>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</si>
  <si>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</si>
  <si>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</si>
  <si>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</si>
  <si>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</si>
  <si>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</si>
  <si>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</si>
  <si>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</si>
  <si>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</si>
  <si>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</si>
  <si>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</si>
  <si>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</si>
  <si>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</si>
  <si>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</si>
  <si>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</si>
  <si>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</si>
  <si>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</si>
  <si>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</si>
  <si>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</si>
  <si>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</si>
  <si>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</si>
  <si>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</si>
  <si>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</si>
  <si>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</si>
  <si>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</si>
  <si>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</si>
  <si>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</si>
  <si>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</si>
  <si>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</si>
  <si>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</si>
  <si>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</si>
  <si>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</si>
  <si>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</si>
  <si>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</si>
  <si>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</si>
  <si>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</si>
  <si>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</si>
  <si>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</si>
  <si>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</si>
  <si>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</si>
  <si>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</si>
  <si>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</si>
  <si>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</si>
  <si>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</si>
  <si>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</si>
  <si>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</si>
  <si>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</si>
  <si>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</si>
  <si>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</si>
  <si>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</si>
  <si>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</si>
  <si>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Spokane</t>
  </si>
  <si>
    <t>042</t>
  </si>
  <si>
    <t>Shriners Hospitals for Children - Spokane</t>
  </si>
  <si>
    <t>911 W 5th Avenue Spokane Washington 99204</t>
  </si>
  <si>
    <t>'2900 Rocky Point Drive</t>
  </si>
  <si>
    <t>Tampa FL 33607</t>
  </si>
  <si>
    <t>John McCabe</t>
  </si>
  <si>
    <t>Sharon Russell</t>
  </si>
  <si>
    <t>Von Chimienti</t>
  </si>
  <si>
    <t>813-281-8610</t>
  </si>
  <si>
    <t>813-281-7155</t>
  </si>
  <si>
    <t>X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</si>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</sst>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3" fillId="3" borderId="0" xfId="0" applyFont="1" applyFill="1" applyProtection="1">
      <protection locked="0"/>
    </xf>
    <xf numFmtId="37" fontId="9" fillId="3" borderId="0" xfId="0" applyFont="1" applyFill="1" applyAlignment="1" applyProtection="1">
      <alignment horizontal="center" vertical="center"/>
    </xf>
    <xf numFmtId="37" fontId="3" fillId="0" borderId="0" xfId="0" applyFont="1" applyFill="1" applyAlignment="1" applyProtection="1">
      <protection locked="0"/>
    </xf>
  </cellXfs>
  <cellStyles count="5">
    <cellStyle name="Comma" xfId="1" builtinId="3"/>
    <cellStyle name="Hyperlink" xfId="2" builtinId="8"/>
    <cellStyle name="Normal" xfId="0" builtinId="0"/>
    <cellStyle name="Normal 10 2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4078462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499313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584097</v>
      </c>
      <c r="Q48" s="195">
        <f>ROUND(((B48/CE61)*Q61),0)</f>
        <v>53287</v>
      </c>
      <c r="R48" s="195">
        <f>ROUND(((B48/CE61)*R61),0)</f>
        <v>525472</v>
      </c>
      <c r="S48" s="195">
        <f>ROUND(((B48/CE61)*S61),0)</f>
        <v>32004</v>
      </c>
      <c r="T48" s="195">
        <f>ROUND(((B48/CE61)*T61),0)</f>
        <v>0</v>
      </c>
      <c r="U48" s="195">
        <f>ROUND(((B48/CE61)*U61),0)</f>
        <v>37112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90284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76925</v>
      </c>
      <c r="AC48" s="195">
        <f>ROUND(((B48/CE61)*AC61),0)</f>
        <v>82809</v>
      </c>
      <c r="AD48" s="195">
        <f>ROUND(((B48/CE61)*AD61),0)</f>
        <v>0</v>
      </c>
      <c r="AE48" s="195">
        <f>ROUND(((B48/CE61)*AE61),0)</f>
        <v>107413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176397</v>
      </c>
      <c r="AK48" s="195">
        <f>ROUND(((B48/CE61)*AK61),0)</f>
        <v>181440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119372</v>
      </c>
      <c r="BA48" s="195">
        <f>ROUND(((B48/CE61)*BA61),0)</f>
        <v>14650</v>
      </c>
      <c r="BB48" s="195">
        <f>ROUND(((B48/CE61)*BB61),0)</f>
        <v>157752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83605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748831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118061</v>
      </c>
      <c r="BR48" s="195">
        <f>ROUND(((B48/CE61)*BR61),0)</f>
        <v>45987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56361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141347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145940</v>
      </c>
      <c r="CD48" s="195"/>
      <c r="CE48" s="195">
        <f>SUM(C48:CD48)</f>
        <v>4078459</v>
      </c>
    </row>
    <row r="49" spans="1:84" ht="12.6" customHeight="1" x14ac:dyDescent="0.25">
      <c r="A49" s="175" t="s">
        <v>206</v>
      </c>
      <c r="B49" s="195">
        <f>B47+B48</f>
        <v>4078462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1042751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190581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48036</v>
      </c>
      <c r="Q52" s="195">
        <f>ROUND((B52/(CE76+CF76)*Q76),0)</f>
        <v>16568</v>
      </c>
      <c r="R52" s="195">
        <f>ROUND((B52/(CE76+CF76)*R76),0)</f>
        <v>6334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5417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37848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3525</v>
      </c>
      <c r="AC52" s="195">
        <f>ROUND((B52/(CE76+CF76)*AC76),0)</f>
        <v>1210</v>
      </c>
      <c r="AD52" s="195">
        <f>ROUND((B52/(CE76+CF76)*AD76),0)</f>
        <v>0</v>
      </c>
      <c r="AE52" s="195">
        <f>ROUND((B52/(CE76+CF76)*AE76),0)</f>
        <v>61349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103275</v>
      </c>
      <c r="AK52" s="195">
        <f>ROUND((B52/(CE76+CF76)*AK76),0)</f>
        <v>96143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51761</v>
      </c>
      <c r="AZ52" s="195">
        <f>ROUND((B52/(CE76+CF76)*AZ76),0)</f>
        <v>16909</v>
      </c>
      <c r="BA52" s="195">
        <f>ROUND((B52/(CE76+CF76)*BA76),0)</f>
        <v>18965</v>
      </c>
      <c r="BB52" s="195">
        <f>ROUND((B52/(CE76+CF76)*BB76),0)</f>
        <v>22408</v>
      </c>
      <c r="BC52" s="195">
        <f>ROUND((B52/(CE76+CF76)*BC76),0)</f>
        <v>0</v>
      </c>
      <c r="BD52" s="195">
        <f>ROUND((B52/(CE76+CF76)*BD76),0)</f>
        <v>2879</v>
      </c>
      <c r="BE52" s="195">
        <f>ROUND((B52/(CE76+CF76)*BE76),0)</f>
        <v>98610</v>
      </c>
      <c r="BF52" s="195">
        <f>ROUND((B52/(CE76+CF76)*BF76),0)</f>
        <v>8484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157010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4865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12467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15499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62607</v>
      </c>
      <c r="CD52" s="195"/>
      <c r="CE52" s="195">
        <f>SUM(C52:CD52)</f>
        <v>1042750</v>
      </c>
    </row>
    <row r="53" spans="1:84" ht="12.6" customHeight="1" x14ac:dyDescent="0.25">
      <c r="A53" s="175" t="s">
        <v>206</v>
      </c>
      <c r="B53" s="195">
        <f>B51+B52</f>
        <v>1042751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694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4740</v>
      </c>
      <c r="AZ59" s="185">
        <v>19660</v>
      </c>
      <c r="BA59" s="248"/>
      <c r="BB59" s="248"/>
      <c r="BC59" s="248"/>
      <c r="BD59" s="248"/>
      <c r="BE59" s="185">
        <v>88741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16.16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8.17</v>
      </c>
      <c r="Q60" s="221">
        <v>1.95</v>
      </c>
      <c r="R60" s="221">
        <v>4.33</v>
      </c>
      <c r="S60" s="221"/>
      <c r="T60" s="221"/>
      <c r="U60" s="221">
        <v>1.27</v>
      </c>
      <c r="V60" s="221"/>
      <c r="W60" s="221"/>
      <c r="X60" s="221"/>
      <c r="Y60" s="221">
        <v>4.2</v>
      </c>
      <c r="Z60" s="221"/>
      <c r="AA60" s="221"/>
      <c r="AB60" s="221">
        <v>1.58</v>
      </c>
      <c r="AC60" s="221">
        <v>3.08</v>
      </c>
      <c r="AD60" s="221"/>
      <c r="AE60" s="221">
        <v>3.81</v>
      </c>
      <c r="AF60" s="221"/>
      <c r="AG60" s="221"/>
      <c r="AH60" s="221"/>
      <c r="AI60" s="221"/>
      <c r="AJ60" s="221">
        <v>9</v>
      </c>
      <c r="AK60" s="221">
        <v>6.48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 t="shared" ref="CE60:CE70" si="0">SUM(C60:CD60)</f>
        <v>60.03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1766649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2066631</v>
      </c>
      <c r="Q61" s="185">
        <v>188539</v>
      </c>
      <c r="R61" s="185">
        <v>1859203</v>
      </c>
      <c r="S61" s="185">
        <v>113235</v>
      </c>
      <c r="T61" s="185"/>
      <c r="U61" s="185">
        <v>131310</v>
      </c>
      <c r="V61" s="185"/>
      <c r="W61" s="185"/>
      <c r="X61" s="185"/>
      <c r="Y61" s="185">
        <v>319441</v>
      </c>
      <c r="Z61" s="185"/>
      <c r="AA61" s="185"/>
      <c r="AB61" s="185">
        <v>272172</v>
      </c>
      <c r="AC61" s="185">
        <v>292992</v>
      </c>
      <c r="AD61" s="185"/>
      <c r="AE61" s="185">
        <v>380046</v>
      </c>
      <c r="AF61" s="185"/>
      <c r="AG61" s="185"/>
      <c r="AH61" s="185"/>
      <c r="AI61" s="185"/>
      <c r="AJ61" s="185">
        <v>624120</v>
      </c>
      <c r="AK61" s="185">
        <v>641965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>
        <v>422359</v>
      </c>
      <c r="BA61" s="185">
        <v>51833</v>
      </c>
      <c r="BB61" s="185">
        <v>558152</v>
      </c>
      <c r="BC61" s="185"/>
      <c r="BD61" s="185"/>
      <c r="BE61" s="185"/>
      <c r="BF61" s="185">
        <v>295809</v>
      </c>
      <c r="BG61" s="185"/>
      <c r="BH61" s="185"/>
      <c r="BI61" s="185"/>
      <c r="BJ61" s="185"/>
      <c r="BK61" s="185"/>
      <c r="BL61" s="185"/>
      <c r="BM61" s="185"/>
      <c r="BN61" s="185">
        <v>2649486</v>
      </c>
      <c r="BO61" s="185"/>
      <c r="BP61" s="185"/>
      <c r="BQ61" s="185">
        <v>417719</v>
      </c>
      <c r="BR61" s="185">
        <v>162710</v>
      </c>
      <c r="BS61" s="185"/>
      <c r="BT61" s="185"/>
      <c r="BU61" s="185">
        <v>199415</v>
      </c>
      <c r="BV61" s="185"/>
      <c r="BW61" s="185"/>
      <c r="BX61" s="185"/>
      <c r="BY61" s="185">
        <v>500109</v>
      </c>
      <c r="BZ61" s="185"/>
      <c r="CA61" s="185"/>
      <c r="CB61" s="185"/>
      <c r="CC61" s="185">
        <f>58697+15717+415231+26716</f>
        <v>516361</v>
      </c>
      <c r="CD61" s="249" t="s">
        <v>221</v>
      </c>
      <c r="CE61" s="195">
        <f t="shared" si="0"/>
        <v>14430256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499313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584097</v>
      </c>
      <c r="Q62" s="195">
        <f t="shared" si="1"/>
        <v>53287</v>
      </c>
      <c r="R62" s="195">
        <f t="shared" si="1"/>
        <v>525472</v>
      </c>
      <c r="S62" s="195">
        <f t="shared" si="1"/>
        <v>32004</v>
      </c>
      <c r="T62" s="195">
        <f t="shared" si="1"/>
        <v>0</v>
      </c>
      <c r="U62" s="195">
        <f t="shared" si="1"/>
        <v>37112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90284</v>
      </c>
      <c r="Z62" s="195">
        <f t="shared" si="1"/>
        <v>0</v>
      </c>
      <c r="AA62" s="195">
        <f t="shared" si="1"/>
        <v>0</v>
      </c>
      <c r="AB62" s="195">
        <f t="shared" si="1"/>
        <v>76925</v>
      </c>
      <c r="AC62" s="195">
        <f t="shared" si="1"/>
        <v>82809</v>
      </c>
      <c r="AD62" s="195">
        <f t="shared" si="1"/>
        <v>0</v>
      </c>
      <c r="AE62" s="195">
        <f t="shared" si="1"/>
        <v>107413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176397</v>
      </c>
      <c r="AK62" s="195">
        <f t="shared" si="1"/>
        <v>181440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119372</v>
      </c>
      <c r="BA62" s="195">
        <f>ROUND(BA47+BA48,0)</f>
        <v>14650</v>
      </c>
      <c r="BB62" s="195">
        <f t="shared" si="1"/>
        <v>157752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83605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748831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118061</v>
      </c>
      <c r="BR62" s="195">
        <f t="shared" si="2"/>
        <v>45987</v>
      </c>
      <c r="BS62" s="195">
        <f t="shared" si="2"/>
        <v>0</v>
      </c>
      <c r="BT62" s="195">
        <f t="shared" si="2"/>
        <v>0</v>
      </c>
      <c r="BU62" s="195">
        <f t="shared" si="2"/>
        <v>56361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141347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145940</v>
      </c>
      <c r="CD62" s="249" t="s">
        <v>221</v>
      </c>
      <c r="CE62" s="195">
        <f t="shared" si="0"/>
        <v>4078459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0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9" t="s">
        <v>221</v>
      </c>
      <c r="CE64" s="195">
        <f t="shared" si="0"/>
        <v>1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0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190581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48036</v>
      </c>
      <c r="Q67" s="195">
        <f t="shared" si="3"/>
        <v>16568</v>
      </c>
      <c r="R67" s="195">
        <f t="shared" si="3"/>
        <v>6334</v>
      </c>
      <c r="S67" s="195">
        <f t="shared" si="3"/>
        <v>0</v>
      </c>
      <c r="T67" s="195">
        <f t="shared" si="3"/>
        <v>0</v>
      </c>
      <c r="U67" s="195">
        <f t="shared" si="3"/>
        <v>5417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37848</v>
      </c>
      <c r="Z67" s="195">
        <f t="shared" si="3"/>
        <v>0</v>
      </c>
      <c r="AA67" s="195">
        <f t="shared" si="3"/>
        <v>0</v>
      </c>
      <c r="AB67" s="195">
        <f t="shared" si="3"/>
        <v>3525</v>
      </c>
      <c r="AC67" s="195">
        <f t="shared" si="3"/>
        <v>1210</v>
      </c>
      <c r="AD67" s="195">
        <f t="shared" si="3"/>
        <v>0</v>
      </c>
      <c r="AE67" s="195">
        <f t="shared" si="3"/>
        <v>61349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103275</v>
      </c>
      <c r="AK67" s="195">
        <f t="shared" si="3"/>
        <v>96143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51761</v>
      </c>
      <c r="AZ67" s="195">
        <f>ROUND(AZ51+AZ52,0)</f>
        <v>16909</v>
      </c>
      <c r="BA67" s="195">
        <f>ROUND(BA51+BA52,0)</f>
        <v>18965</v>
      </c>
      <c r="BB67" s="195">
        <f t="shared" si="3"/>
        <v>22408</v>
      </c>
      <c r="BC67" s="195">
        <f t="shared" si="3"/>
        <v>0</v>
      </c>
      <c r="BD67" s="195">
        <f t="shared" si="3"/>
        <v>2879</v>
      </c>
      <c r="BE67" s="195">
        <f t="shared" si="3"/>
        <v>98610</v>
      </c>
      <c r="BF67" s="195">
        <f t="shared" si="3"/>
        <v>8484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157010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4865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12467</v>
      </c>
      <c r="BW67" s="195">
        <f t="shared" si="4"/>
        <v>0</v>
      </c>
      <c r="BX67" s="195">
        <f t="shared" si="4"/>
        <v>0</v>
      </c>
      <c r="BY67" s="195">
        <f t="shared" si="4"/>
        <v>15499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62607</v>
      </c>
      <c r="CD67" s="249" t="s">
        <v>221</v>
      </c>
      <c r="CE67" s="195">
        <f t="shared" si="0"/>
        <v>1042750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0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288">
        <v>1869733</v>
      </c>
      <c r="CE70" s="195">
        <f t="shared" si="0"/>
        <v>1869733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2456544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2698764</v>
      </c>
      <c r="Q71" s="195">
        <f t="shared" si="5"/>
        <v>258394</v>
      </c>
      <c r="R71" s="195">
        <f t="shared" si="5"/>
        <v>2391009</v>
      </c>
      <c r="S71" s="195">
        <f t="shared" si="5"/>
        <v>145239</v>
      </c>
      <c r="T71" s="195">
        <f t="shared" si="5"/>
        <v>0</v>
      </c>
      <c r="U71" s="195">
        <f t="shared" si="5"/>
        <v>173839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447573</v>
      </c>
      <c r="Z71" s="195">
        <f t="shared" si="5"/>
        <v>0</v>
      </c>
      <c r="AA71" s="195">
        <f t="shared" si="5"/>
        <v>0</v>
      </c>
      <c r="AB71" s="195">
        <f t="shared" si="5"/>
        <v>352622</v>
      </c>
      <c r="AC71" s="195">
        <f t="shared" si="5"/>
        <v>377011</v>
      </c>
      <c r="AD71" s="195">
        <f t="shared" si="5"/>
        <v>0</v>
      </c>
      <c r="AE71" s="195">
        <f t="shared" si="5"/>
        <v>548808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903792</v>
      </c>
      <c r="AK71" s="195">
        <f t="shared" si="6"/>
        <v>919548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51761</v>
      </c>
      <c r="AZ71" s="195">
        <f t="shared" si="6"/>
        <v>558640</v>
      </c>
      <c r="BA71" s="195">
        <f t="shared" si="6"/>
        <v>85448</v>
      </c>
      <c r="BB71" s="195">
        <f t="shared" si="6"/>
        <v>738312</v>
      </c>
      <c r="BC71" s="195">
        <f t="shared" si="6"/>
        <v>0</v>
      </c>
      <c r="BD71" s="195">
        <f t="shared" si="6"/>
        <v>2879</v>
      </c>
      <c r="BE71" s="195">
        <f t="shared" si="6"/>
        <v>98610</v>
      </c>
      <c r="BF71" s="195">
        <f t="shared" si="6"/>
        <v>387898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3555327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535780</v>
      </c>
      <c r="BR71" s="195">
        <f t="shared" si="7"/>
        <v>213562</v>
      </c>
      <c r="BS71" s="195">
        <f t="shared" si="7"/>
        <v>0</v>
      </c>
      <c r="BT71" s="195">
        <f t="shared" si="7"/>
        <v>0</v>
      </c>
      <c r="BU71" s="195">
        <f t="shared" si="7"/>
        <v>255776</v>
      </c>
      <c r="BV71" s="195">
        <f t="shared" si="7"/>
        <v>12467</v>
      </c>
      <c r="BW71" s="195">
        <f t="shared" si="7"/>
        <v>0</v>
      </c>
      <c r="BX71" s="195">
        <f t="shared" si="7"/>
        <v>0</v>
      </c>
      <c r="BY71" s="195">
        <f t="shared" si="7"/>
        <v>656955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724908</v>
      </c>
      <c r="CD71" s="245">
        <f>CD69-CD70</f>
        <v>-1869733</v>
      </c>
      <c r="CE71" s="195">
        <f>SUM(CE61:CE69)-CE70</f>
        <v>17681733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1603974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2632950</v>
      </c>
      <c r="Q73" s="185">
        <v>198877</v>
      </c>
      <c r="R73" s="185">
        <v>822682</v>
      </c>
      <c r="S73" s="185">
        <f>394257+2818211</f>
        <v>3212468</v>
      </c>
      <c r="T73" s="185"/>
      <c r="U73" s="185">
        <v>105016</v>
      </c>
      <c r="V73" s="185"/>
      <c r="W73" s="185"/>
      <c r="X73" s="185"/>
      <c r="Y73" s="185">
        <v>165508</v>
      </c>
      <c r="Z73" s="185"/>
      <c r="AA73" s="185"/>
      <c r="AB73" s="185">
        <v>897495</v>
      </c>
      <c r="AC73" s="185">
        <v>258606</v>
      </c>
      <c r="AD73" s="185"/>
      <c r="AE73" s="185">
        <v>98838</v>
      </c>
      <c r="AF73" s="185"/>
      <c r="AG73" s="185"/>
      <c r="AH73" s="185"/>
      <c r="AI73" s="185"/>
      <c r="AJ73" s="185">
        <v>10112</v>
      </c>
      <c r="AK73" s="185">
        <v>823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10007349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7803553</v>
      </c>
      <c r="Q74" s="185">
        <v>872060</v>
      </c>
      <c r="R74" s="185">
        <v>2992114</v>
      </c>
      <c r="S74" s="185">
        <f>169744+692781</f>
        <v>862525</v>
      </c>
      <c r="T74" s="185"/>
      <c r="U74" s="185">
        <v>80534</v>
      </c>
      <c r="V74" s="185"/>
      <c r="W74" s="185"/>
      <c r="X74" s="185"/>
      <c r="Y74" s="185">
        <v>3088444</v>
      </c>
      <c r="Z74" s="185"/>
      <c r="AA74" s="185"/>
      <c r="AB74" s="185">
        <v>1238540</v>
      </c>
      <c r="AC74" s="185">
        <v>163706</v>
      </c>
      <c r="AD74" s="185"/>
      <c r="AE74" s="185">
        <v>940630</v>
      </c>
      <c r="AF74" s="185"/>
      <c r="AG74" s="185"/>
      <c r="AH74" s="185"/>
      <c r="AI74" s="185"/>
      <c r="AJ74" s="185">
        <v>3370375</v>
      </c>
      <c r="AK74" s="185">
        <v>245387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21657868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1603974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10436503</v>
      </c>
      <c r="Q75" s="195">
        <f t="shared" si="9"/>
        <v>1070937</v>
      </c>
      <c r="R75" s="195">
        <f t="shared" si="9"/>
        <v>3814796</v>
      </c>
      <c r="S75" s="195">
        <f t="shared" si="9"/>
        <v>4074993</v>
      </c>
      <c r="T75" s="195">
        <f t="shared" si="9"/>
        <v>0</v>
      </c>
      <c r="U75" s="195">
        <f t="shared" si="9"/>
        <v>185550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3253952</v>
      </c>
      <c r="Z75" s="195">
        <f t="shared" si="9"/>
        <v>0</v>
      </c>
      <c r="AA75" s="195">
        <f t="shared" si="9"/>
        <v>0</v>
      </c>
      <c r="AB75" s="195">
        <f t="shared" si="9"/>
        <v>2136035</v>
      </c>
      <c r="AC75" s="195">
        <f t="shared" si="9"/>
        <v>422312</v>
      </c>
      <c r="AD75" s="195">
        <f t="shared" si="9"/>
        <v>0</v>
      </c>
      <c r="AE75" s="195">
        <f t="shared" si="9"/>
        <v>1039468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3380487</v>
      </c>
      <c r="AK75" s="195">
        <f t="shared" si="9"/>
        <v>246210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31665217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16219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4088</v>
      </c>
      <c r="Q76" s="185">
        <v>1410</v>
      </c>
      <c r="R76" s="185">
        <v>539</v>
      </c>
      <c r="S76" s="185"/>
      <c r="T76" s="185"/>
      <c r="U76" s="185">
        <v>461</v>
      </c>
      <c r="V76" s="185"/>
      <c r="W76" s="185"/>
      <c r="X76" s="185"/>
      <c r="Y76" s="185">
        <v>3221</v>
      </c>
      <c r="Z76" s="185"/>
      <c r="AA76" s="185"/>
      <c r="AB76" s="185">
        <v>300</v>
      </c>
      <c r="AC76" s="185">
        <v>103</v>
      </c>
      <c r="AD76" s="185"/>
      <c r="AE76" s="185">
        <v>5221</v>
      </c>
      <c r="AF76" s="185"/>
      <c r="AG76" s="185"/>
      <c r="AH76" s="185"/>
      <c r="AI76" s="185"/>
      <c r="AJ76" s="185">
        <v>8789</v>
      </c>
      <c r="AK76" s="185">
        <v>8182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4405</v>
      </c>
      <c r="AZ76" s="185">
        <v>1439</v>
      </c>
      <c r="BA76" s="185">
        <v>1614</v>
      </c>
      <c r="BB76" s="185">
        <v>1907</v>
      </c>
      <c r="BC76" s="185"/>
      <c r="BD76" s="185">
        <v>245</v>
      </c>
      <c r="BE76" s="185">
        <v>8392</v>
      </c>
      <c r="BF76" s="185">
        <v>722</v>
      </c>
      <c r="BG76" s="185"/>
      <c r="BH76" s="185"/>
      <c r="BI76" s="185"/>
      <c r="BJ76" s="185"/>
      <c r="BK76" s="185"/>
      <c r="BL76" s="185"/>
      <c r="BM76" s="185"/>
      <c r="BN76" s="185">
        <f>13362</f>
        <v>13362</v>
      </c>
      <c r="BO76" s="185"/>
      <c r="BP76" s="185"/>
      <c r="BQ76" s="185"/>
      <c r="BR76" s="185">
        <v>414</v>
      </c>
      <c r="BS76" s="185"/>
      <c r="BT76" s="185"/>
      <c r="BU76" s="185"/>
      <c r="BV76" s="185">
        <v>1061</v>
      </c>
      <c r="BW76" s="185"/>
      <c r="BX76" s="185"/>
      <c r="BY76" s="185">
        <v>1319</v>
      </c>
      <c r="BZ76" s="185"/>
      <c r="CA76" s="185"/>
      <c r="CB76" s="185"/>
      <c r="CC76" s="185">
        <v>5328</v>
      </c>
      <c r="CD76" s="249" t="s">
        <v>221</v>
      </c>
      <c r="CE76" s="195">
        <f t="shared" si="8"/>
        <v>88741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4740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4740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16219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4088</v>
      </c>
      <c r="Q78" s="184">
        <v>1410</v>
      </c>
      <c r="R78" s="184">
        <v>539</v>
      </c>
      <c r="S78" s="184"/>
      <c r="T78" s="184"/>
      <c r="U78" s="184">
        <v>461</v>
      </c>
      <c r="V78" s="184"/>
      <c r="W78" s="184"/>
      <c r="X78" s="184"/>
      <c r="Y78" s="184">
        <v>3221</v>
      </c>
      <c r="Z78" s="184"/>
      <c r="AA78" s="184"/>
      <c r="AB78" s="184">
        <v>300</v>
      </c>
      <c r="AC78" s="184">
        <v>103</v>
      </c>
      <c r="AD78" s="184"/>
      <c r="AE78" s="184">
        <v>5221</v>
      </c>
      <c r="AF78" s="184"/>
      <c r="AG78" s="184"/>
      <c r="AH78" s="184"/>
      <c r="AI78" s="184"/>
      <c r="AJ78" s="184">
        <v>8789</v>
      </c>
      <c r="AK78" s="184">
        <v>8182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1614</v>
      </c>
      <c r="BB78" s="184">
        <v>1907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1061</v>
      </c>
      <c r="BW78" s="184"/>
      <c r="BX78" s="184"/>
      <c r="BY78" s="184">
        <v>1319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54434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23960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17703</v>
      </c>
      <c r="Q79" s="184"/>
      <c r="R79" s="184"/>
      <c r="S79" s="184"/>
      <c r="T79" s="184"/>
      <c r="U79" s="184"/>
      <c r="V79" s="184"/>
      <c r="W79" s="184"/>
      <c r="X79" s="184"/>
      <c r="Y79" s="184">
        <v>2561</v>
      </c>
      <c r="Z79" s="184"/>
      <c r="AA79" s="184"/>
      <c r="AB79" s="184"/>
      <c r="AC79" s="184"/>
      <c r="AD79" s="184"/>
      <c r="AE79" s="184">
        <v>756</v>
      </c>
      <c r="AF79" s="184"/>
      <c r="AG79" s="184"/>
      <c r="AH79" s="184"/>
      <c r="AI79" s="184"/>
      <c r="AJ79" s="184">
        <v>7129</v>
      </c>
      <c r="AK79" s="184">
        <v>1363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53472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16.16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8.17</v>
      </c>
      <c r="Q80" s="187">
        <v>1.95</v>
      </c>
      <c r="R80" s="187">
        <v>4.33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>
        <v>9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39.61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1279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1278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164</v>
      </c>
      <c r="D111" s="174">
        <v>694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30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>
        <v>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0</v>
      </c>
      <c r="C138" s="189">
        <f>24+57</f>
        <v>81</v>
      </c>
      <c r="D138" s="174">
        <f>164-81</f>
        <v>83</v>
      </c>
      <c r="E138" s="175">
        <f>SUM(B138:D138)</f>
        <v>164</v>
      </c>
    </row>
    <row r="139" spans="1:6" ht="12.6" customHeight="1" x14ac:dyDescent="0.25">
      <c r="A139" s="173" t="s">
        <v>215</v>
      </c>
      <c r="B139" s="174">
        <v>0</v>
      </c>
      <c r="C139" s="189">
        <f>75+249</f>
        <v>324</v>
      </c>
      <c r="D139" s="174">
        <f>694-324</f>
        <v>370</v>
      </c>
      <c r="E139" s="175">
        <f>SUM(B139:D139)</f>
        <v>694</v>
      </c>
    </row>
    <row r="140" spans="1:6" ht="12.6" customHeight="1" x14ac:dyDescent="0.25">
      <c r="A140" s="173" t="s">
        <v>298</v>
      </c>
      <c r="B140" s="174">
        <v>0</v>
      </c>
      <c r="C140" s="174">
        <f>1431+5294+107+324+77+550</f>
        <v>7783</v>
      </c>
      <c r="D140" s="174">
        <f>13145+825+1228-7783</f>
        <v>7415</v>
      </c>
      <c r="E140" s="175">
        <f>SUM(B140:D140)</f>
        <v>15198</v>
      </c>
    </row>
    <row r="141" spans="1:6" ht="12.6" customHeight="1" x14ac:dyDescent="0.25">
      <c r="A141" s="173" t="s">
        <v>245</v>
      </c>
      <c r="B141" s="174">
        <v>0</v>
      </c>
      <c r="C141" s="189">
        <f>1192474+3581228+162768+484567</f>
        <v>5421037</v>
      </c>
      <c r="D141" s="174">
        <f>188264+12707+271898+20002+172904+17164+1447699+108308+2078988+253154+1222402+123098</f>
        <v>5916588</v>
      </c>
      <c r="E141" s="175">
        <f>SUM(B141:D141)</f>
        <v>11337625</v>
      </c>
      <c r="F141" s="199"/>
    </row>
    <row r="142" spans="1:6" ht="12.6" customHeight="1" x14ac:dyDescent="0.25">
      <c r="A142" s="173" t="s">
        <v>246</v>
      </c>
      <c r="B142" s="174">
        <v>0</v>
      </c>
      <c r="C142" s="189">
        <f>791005+2706199+3687380+12153896-5421037</f>
        <v>13917443</v>
      </c>
      <c r="D142" s="174">
        <v>13209413</v>
      </c>
      <c r="E142" s="175">
        <f>SUM(B142:D142)</f>
        <v>27126856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1436050+85474+1184101+791005+2706199-1963+2909+194189+342236+55136</f>
        <v>6795336</v>
      </c>
      <c r="C157" s="174">
        <v>5580975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867702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97094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172525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9415+2138641-138523</f>
        <v>2009533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10000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421000+446462</f>
        <v>867462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22007+796+31343</f>
        <v>54146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4078462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15049+63391+254091</f>
        <v>332531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332531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36222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69563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105785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6">
        <v>2862934</v>
      </c>
      <c r="C195" s="189">
        <v>0</v>
      </c>
      <c r="D195" s="174">
        <v>0</v>
      </c>
      <c r="E195" s="175">
        <f t="shared" ref="E195:E203" si="10">SUM(B195:C195)-D195</f>
        <v>2862934</v>
      </c>
    </row>
    <row r="196" spans="1:8" ht="12.6" customHeight="1" x14ac:dyDescent="0.25">
      <c r="A196" s="173" t="s">
        <v>333</v>
      </c>
      <c r="B196" s="286">
        <v>206831</v>
      </c>
      <c r="C196" s="189">
        <v>0</v>
      </c>
      <c r="D196" s="174">
        <v>0</v>
      </c>
      <c r="E196" s="175">
        <f t="shared" si="10"/>
        <v>206831</v>
      </c>
    </row>
    <row r="197" spans="1:8" ht="12.6" customHeight="1" x14ac:dyDescent="0.25">
      <c r="A197" s="173" t="s">
        <v>334</v>
      </c>
      <c r="B197" s="286">
        <v>20250362</v>
      </c>
      <c r="C197" s="189">
        <f>20324673-20250362</f>
        <v>74311</v>
      </c>
      <c r="D197" s="174">
        <v>0</v>
      </c>
      <c r="E197" s="175">
        <f t="shared" si="10"/>
        <v>20324673</v>
      </c>
    </row>
    <row r="198" spans="1:8" ht="12.6" customHeight="1" x14ac:dyDescent="0.25">
      <c r="A198" s="173" t="s">
        <v>335</v>
      </c>
      <c r="B198" s="286">
        <v>1842567</v>
      </c>
      <c r="C198" s="189">
        <f>1850426-1842567</f>
        <v>7859</v>
      </c>
      <c r="D198" s="174">
        <v>0</v>
      </c>
      <c r="E198" s="175">
        <f t="shared" si="10"/>
        <v>1850426</v>
      </c>
    </row>
    <row r="199" spans="1:8" ht="12.6" customHeight="1" x14ac:dyDescent="0.25">
      <c r="A199" s="173" t="s">
        <v>336</v>
      </c>
      <c r="B199" s="286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286">
        <v>7076028</v>
      </c>
      <c r="C200" s="189">
        <f>7956434-7076028</f>
        <v>880406</v>
      </c>
      <c r="D200" s="174">
        <v>0</v>
      </c>
      <c r="E200" s="175">
        <f t="shared" si="10"/>
        <v>7956434</v>
      </c>
    </row>
    <row r="201" spans="1:8" ht="12.6" customHeight="1" x14ac:dyDescent="0.25">
      <c r="A201" s="173" t="s">
        <v>338</v>
      </c>
      <c r="B201" s="286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286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286">
        <v>50895</v>
      </c>
      <c r="C203" s="189">
        <f>50895-50895</f>
        <v>0</v>
      </c>
      <c r="D203" s="174">
        <v>0</v>
      </c>
      <c r="E203" s="175">
        <f t="shared" si="10"/>
        <v>50895</v>
      </c>
    </row>
    <row r="204" spans="1:8" ht="12.6" customHeight="1" x14ac:dyDescent="0.25">
      <c r="A204" s="173" t="s">
        <v>203</v>
      </c>
      <c r="B204" s="175">
        <f>SUM(B195:B203)</f>
        <v>32289617</v>
      </c>
      <c r="C204" s="191">
        <f>SUM(C195:C203)</f>
        <v>962576</v>
      </c>
      <c r="D204" s="175">
        <f>SUM(D195:D203)</f>
        <v>0</v>
      </c>
      <c r="E204" s="175">
        <f>SUM(E195:E203)</f>
        <v>33252193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286">
        <v>153975</v>
      </c>
      <c r="C209" s="189">
        <f>158391-153975</f>
        <v>4416</v>
      </c>
      <c r="D209" s="174"/>
      <c r="E209" s="175">
        <f t="shared" ref="E209:E216" si="11">SUM(B209:C209)-D209</f>
        <v>158391</v>
      </c>
      <c r="H209" s="259"/>
    </row>
    <row r="210" spans="1:8" ht="12.6" customHeight="1" x14ac:dyDescent="0.25">
      <c r="A210" s="173" t="s">
        <v>334</v>
      </c>
      <c r="B210" s="286">
        <v>12980014</v>
      </c>
      <c r="C210" s="189">
        <f>13498762-12980014</f>
        <v>518748</v>
      </c>
      <c r="D210" s="174"/>
      <c r="E210" s="175">
        <f t="shared" si="11"/>
        <v>13498762</v>
      </c>
      <c r="H210" s="259"/>
    </row>
    <row r="211" spans="1:8" ht="12.6" customHeight="1" x14ac:dyDescent="0.25">
      <c r="A211" s="173" t="s">
        <v>335</v>
      </c>
      <c r="B211" s="286">
        <v>1756562</v>
      </c>
      <c r="C211" s="189">
        <f>1795419-1756562</f>
        <v>38857</v>
      </c>
      <c r="D211" s="174"/>
      <c r="E211" s="175">
        <f t="shared" si="11"/>
        <v>1795419</v>
      </c>
      <c r="H211" s="259"/>
    </row>
    <row r="212" spans="1:8" ht="12.6" customHeight="1" x14ac:dyDescent="0.25">
      <c r="A212" s="173" t="s">
        <v>336</v>
      </c>
      <c r="B212" s="286">
        <v>0</v>
      </c>
      <c r="C212" s="189">
        <v>0</v>
      </c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286">
        <v>4727471</v>
      </c>
      <c r="C213" s="189">
        <f>6054237-138229-4727471</f>
        <v>1188537</v>
      </c>
      <c r="D213" s="174"/>
      <c r="E213" s="175">
        <f t="shared" si="11"/>
        <v>5916008</v>
      </c>
      <c r="H213" s="259"/>
    </row>
    <row r="214" spans="1:8" ht="12.6" customHeight="1" x14ac:dyDescent="0.25">
      <c r="A214" s="173" t="s">
        <v>338</v>
      </c>
      <c r="B214" s="286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286">
        <v>0</v>
      </c>
      <c r="C215" s="189">
        <v>0</v>
      </c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286">
        <v>0</v>
      </c>
      <c r="C216" s="189">
        <v>0</v>
      </c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19618022</v>
      </c>
      <c r="C217" s="191">
        <f>SUM(C208:C216)</f>
        <v>1750558</v>
      </c>
      <c r="D217" s="175">
        <f>SUM(D208:D216)</f>
        <v>0</v>
      </c>
      <c r="E217" s="175">
        <f>SUM(E208:E216)</f>
        <v>21368580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0</v>
      </c>
      <c r="D221" s="172">
        <f>C221</f>
        <v>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13313-390508+3137451+11985690</f>
        <v>14745946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46626+712950</f>
        <v>759576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-95325+164288+5956908+4146344</f>
        <v>10172215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105308+87323</f>
        <v>192631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25870368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f>114+485</f>
        <v>599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1222402+123098</f>
        <v>1345500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-1963+2909+342236+55136-204+3708+2051395+286604-1345500</f>
        <v>1394321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2739821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105023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726490+23834</f>
        <v>750324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855347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29465536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256081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5382820+15738</f>
        <v>5398558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4080663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18904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716220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287496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2596596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2862934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206831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20324673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1850426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7956434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50895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33252193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158391+13498762+1795419+6054237-138229</f>
        <v>21368580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11883613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14480209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16174+164398+351681</f>
        <v>532253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599327+45849+1144914</f>
        <v>1790090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419+116-306</f>
        <v>229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56893-5997</f>
        <v>50896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2373468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12106739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14480207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14480209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11337625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27126856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38464481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26725715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-1963+2909+342236+55136-204+3708+2051395+286604</f>
        <v>2739821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29465536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8998945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232636+3416175+962980-2742058</f>
        <v>1869733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1869733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10868678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14430256+2711</f>
        <v>14432967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2941141+1137321</f>
        <v>4078462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321600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2747505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411234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254091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1042751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15049+63391</f>
        <v>78440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36222+69563</f>
        <v>105785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1231690+15188</f>
        <v>1246878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24719713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-13851035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165327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-13685708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-13685708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Shriners Hospitals for Children - Spokane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164</v>
      </c>
      <c r="C414" s="194">
        <f>E138</f>
        <v>164</v>
      </c>
      <c r="D414" s="179"/>
    </row>
    <row r="415" spans="1:5" ht="12.6" customHeight="1" x14ac:dyDescent="0.25">
      <c r="A415" s="179" t="s">
        <v>464</v>
      </c>
      <c r="B415" s="179">
        <f>D111</f>
        <v>694</v>
      </c>
      <c r="C415" s="179">
        <f>E139</f>
        <v>694</v>
      </c>
      <c r="D415" s="194">
        <f>SUM(C59:H59)+N59</f>
        <v>694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14432967</v>
      </c>
      <c r="C427" s="179">
        <f t="shared" ref="C427:C434" si="13">CE61</f>
        <v>14430256</v>
      </c>
      <c r="D427" s="179"/>
    </row>
    <row r="428" spans="1:7" ht="12.6" customHeight="1" x14ac:dyDescent="0.25">
      <c r="A428" s="179" t="s">
        <v>3</v>
      </c>
      <c r="B428" s="179">
        <f t="shared" si="12"/>
        <v>4078462</v>
      </c>
      <c r="C428" s="179">
        <f t="shared" si="13"/>
        <v>4078459</v>
      </c>
      <c r="D428" s="179">
        <f>D173</f>
        <v>4078462</v>
      </c>
    </row>
    <row r="429" spans="1:7" ht="12.6" customHeight="1" x14ac:dyDescent="0.25">
      <c r="A429" s="179" t="s">
        <v>236</v>
      </c>
      <c r="B429" s="179">
        <f t="shared" si="12"/>
        <v>321600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2747505</v>
      </c>
      <c r="C430" s="179">
        <f t="shared" si="13"/>
        <v>1</v>
      </c>
      <c r="D430" s="179"/>
    </row>
    <row r="431" spans="1:7" ht="12.6" customHeight="1" x14ac:dyDescent="0.25">
      <c r="A431" s="179" t="s">
        <v>444</v>
      </c>
      <c r="B431" s="179">
        <f t="shared" si="12"/>
        <v>411234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254091</v>
      </c>
      <c r="C432" s="179">
        <f t="shared" si="13"/>
        <v>0</v>
      </c>
      <c r="D432" s="179"/>
    </row>
    <row r="433" spans="1:7" ht="12.6" customHeight="1" x14ac:dyDescent="0.25">
      <c r="A433" s="179" t="s">
        <v>6</v>
      </c>
      <c r="B433" s="179">
        <f t="shared" si="12"/>
        <v>1042751</v>
      </c>
      <c r="C433" s="179">
        <f t="shared" si="13"/>
        <v>1042750</v>
      </c>
      <c r="D433" s="179">
        <f>C217</f>
        <v>1750558</v>
      </c>
    </row>
    <row r="434" spans="1:7" ht="12.6" customHeight="1" x14ac:dyDescent="0.25">
      <c r="A434" s="179" t="s">
        <v>474</v>
      </c>
      <c r="B434" s="179">
        <f t="shared" si="12"/>
        <v>78440</v>
      </c>
      <c r="C434" s="179">
        <f t="shared" si="13"/>
        <v>0</v>
      </c>
      <c r="D434" s="179">
        <f>D177</f>
        <v>332531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105785</v>
      </c>
      <c r="C436" s="179"/>
      <c r="D436" s="179">
        <f>D186</f>
        <v>105785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105785</v>
      </c>
      <c r="C438" s="194">
        <f>CD69</f>
        <v>0</v>
      </c>
      <c r="D438" s="194">
        <f>D181+D186+D190</f>
        <v>105785</v>
      </c>
    </row>
    <row r="439" spans="1:7" ht="12.6" customHeight="1" x14ac:dyDescent="0.25">
      <c r="A439" s="179" t="s">
        <v>451</v>
      </c>
      <c r="B439" s="194">
        <f>C389</f>
        <v>1246878</v>
      </c>
      <c r="C439" s="194">
        <f>SUM(C69:CC69)</f>
        <v>0</v>
      </c>
      <c r="D439" s="179"/>
    </row>
    <row r="440" spans="1:7" ht="12.6" customHeight="1" x14ac:dyDescent="0.25">
      <c r="A440" s="179" t="s">
        <v>477</v>
      </c>
      <c r="B440" s="194">
        <f>B438+B439</f>
        <v>1352663</v>
      </c>
      <c r="C440" s="194">
        <f>CE69</f>
        <v>0</v>
      </c>
      <c r="D440" s="179"/>
    </row>
    <row r="441" spans="1:7" ht="12.6" customHeight="1" x14ac:dyDescent="0.25">
      <c r="A441" s="179" t="s">
        <v>478</v>
      </c>
      <c r="B441" s="179">
        <f>D390</f>
        <v>24719713</v>
      </c>
      <c r="C441" s="179">
        <f>SUM(C427:C437)+C440</f>
        <v>19551466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25870368</v>
      </c>
      <c r="C445" s="179">
        <f>C364</f>
        <v>26725715</v>
      </c>
      <c r="D445" s="179"/>
    </row>
    <row r="446" spans="1:7" ht="12.6" customHeight="1" x14ac:dyDescent="0.25">
      <c r="A446" s="179" t="s">
        <v>351</v>
      </c>
      <c r="B446" s="179">
        <f>D236</f>
        <v>2739821</v>
      </c>
      <c r="C446" s="179">
        <f>C365</f>
        <v>2739821</v>
      </c>
      <c r="D446" s="179"/>
    </row>
    <row r="447" spans="1:7" ht="12.6" customHeight="1" x14ac:dyDescent="0.25">
      <c r="A447" s="179" t="s">
        <v>356</v>
      </c>
      <c r="B447" s="179">
        <f>D240</f>
        <v>855347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29465536</v>
      </c>
      <c r="C448" s="179">
        <f>D367</f>
        <v>29465536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599</v>
      </c>
    </row>
    <row r="454" spans="1:7" ht="12.6" customHeight="1" x14ac:dyDescent="0.25">
      <c r="A454" s="179" t="s">
        <v>168</v>
      </c>
      <c r="B454" s="179">
        <f>C233</f>
        <v>1345500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1394321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1869733</v>
      </c>
      <c r="C458" s="194">
        <f>CE70</f>
        <v>1869733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11337625</v>
      </c>
      <c r="C463" s="194">
        <f>CE73</f>
        <v>10007349</v>
      </c>
      <c r="D463" s="194">
        <f>E141+E147+E153</f>
        <v>11337625</v>
      </c>
    </row>
    <row r="464" spans="1:7" ht="12.6" customHeight="1" x14ac:dyDescent="0.25">
      <c r="A464" s="179" t="s">
        <v>246</v>
      </c>
      <c r="B464" s="194">
        <f>C360</f>
        <v>27126856</v>
      </c>
      <c r="C464" s="194">
        <f>CE74</f>
        <v>21657868</v>
      </c>
      <c r="D464" s="194">
        <f>E142+E148+E154</f>
        <v>27126856</v>
      </c>
    </row>
    <row r="465" spans="1:7" ht="12.6" customHeight="1" x14ac:dyDescent="0.25">
      <c r="A465" s="179" t="s">
        <v>247</v>
      </c>
      <c r="B465" s="194">
        <f>D361</f>
        <v>38464481</v>
      </c>
      <c r="C465" s="194">
        <f>CE75</f>
        <v>31665217</v>
      </c>
      <c r="D465" s="194">
        <f>D463+D464</f>
        <v>38464481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2862934</v>
      </c>
      <c r="C468" s="179">
        <f>E195</f>
        <v>2862934</v>
      </c>
      <c r="D468" s="179"/>
    </row>
    <row r="469" spans="1:7" ht="12.6" customHeight="1" x14ac:dyDescent="0.25">
      <c r="A469" s="179" t="s">
        <v>333</v>
      </c>
      <c r="B469" s="179">
        <f t="shared" si="14"/>
        <v>206831</v>
      </c>
      <c r="C469" s="179">
        <f>E196</f>
        <v>206831</v>
      </c>
      <c r="D469" s="179"/>
    </row>
    <row r="470" spans="1:7" ht="12.6" customHeight="1" x14ac:dyDescent="0.25">
      <c r="A470" s="179" t="s">
        <v>334</v>
      </c>
      <c r="B470" s="179">
        <f t="shared" si="14"/>
        <v>20324673</v>
      </c>
      <c r="C470" s="179">
        <f>E197</f>
        <v>20324673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1850426</v>
      </c>
      <c r="D471" s="179"/>
    </row>
    <row r="472" spans="1:7" ht="12.6" customHeight="1" x14ac:dyDescent="0.25">
      <c r="A472" s="179" t="s">
        <v>377</v>
      </c>
      <c r="B472" s="179">
        <f t="shared" si="14"/>
        <v>1850426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7956434</v>
      </c>
      <c r="C473" s="179">
        <f>SUM(E200:E201)</f>
        <v>7956434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50895</v>
      </c>
      <c r="C475" s="179">
        <f>E203</f>
        <v>50895</v>
      </c>
      <c r="D475" s="179"/>
    </row>
    <row r="476" spans="1:7" ht="12.6" customHeight="1" x14ac:dyDescent="0.25">
      <c r="A476" s="179" t="s">
        <v>203</v>
      </c>
      <c r="B476" s="179">
        <f>D275</f>
        <v>33252193</v>
      </c>
      <c r="C476" s="179">
        <f>E204</f>
        <v>33252193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21368580</v>
      </c>
      <c r="C478" s="179">
        <f>E217</f>
        <v>21368580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14480209</v>
      </c>
    </row>
    <row r="482" spans="1:12" ht="12.6" customHeight="1" x14ac:dyDescent="0.25">
      <c r="A482" s="180" t="s">
        <v>499</v>
      </c>
      <c r="C482" s="180">
        <f>D339</f>
        <v>14480207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042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2222229</v>
      </c>
      <c r="C498" s="240">
        <f>E71</f>
        <v>2456544</v>
      </c>
      <c r="D498" s="240">
        <f>'Prior Year'!E59</f>
        <v>829</v>
      </c>
      <c r="E498" s="180">
        <f>E59</f>
        <v>694</v>
      </c>
      <c r="F498" s="263">
        <f t="shared" si="15"/>
        <v>2680.6139927623644</v>
      </c>
      <c r="G498" s="263">
        <f t="shared" si="15"/>
        <v>3539.6887608069164</v>
      </c>
      <c r="H498" s="265">
        <f t="shared" si="16"/>
        <v>0.32047686476458259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2582873</v>
      </c>
      <c r="C509" s="240">
        <f>P71</f>
        <v>2698764</v>
      </c>
      <c r="D509" s="240">
        <f>'Prior Year'!P59</f>
        <v>120720</v>
      </c>
      <c r="E509" s="180">
        <f>P59</f>
        <v>0</v>
      </c>
      <c r="F509" s="263">
        <f t="shared" si="15"/>
        <v>21.395568257123923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347172</v>
      </c>
      <c r="C510" s="240">
        <f>Q71</f>
        <v>258394</v>
      </c>
      <c r="D510" s="240">
        <f>'Prior Year'!Q59</f>
        <v>37740</v>
      </c>
      <c r="E510" s="180">
        <f>Q59</f>
        <v>0</v>
      </c>
      <c r="F510" s="263">
        <f t="shared" si="15"/>
        <v>9.199046104928458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1834867</v>
      </c>
      <c r="C511" s="240">
        <f>R71</f>
        <v>2391009</v>
      </c>
      <c r="D511" s="240">
        <f>'Prior Year'!R59</f>
        <v>120480</v>
      </c>
      <c r="E511" s="180">
        <f>R59</f>
        <v>0</v>
      </c>
      <c r="F511" s="263">
        <f t="shared" si="15"/>
        <v>15.229639774236388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145239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199450</v>
      </c>
      <c r="C514" s="240">
        <f>U71</f>
        <v>173839</v>
      </c>
      <c r="D514" s="240">
        <f>'Prior Year'!U59</f>
        <v>2140</v>
      </c>
      <c r="E514" s="180">
        <f>U59</f>
        <v>0</v>
      </c>
      <c r="F514" s="263">
        <f t="shared" si="17"/>
        <v>93.200934579439249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443982</v>
      </c>
      <c r="C518" s="240">
        <f>Y71</f>
        <v>447573</v>
      </c>
      <c r="D518" s="240">
        <f>'Prior Year'!Y59</f>
        <v>8807</v>
      </c>
      <c r="E518" s="180">
        <f>Y59</f>
        <v>0</v>
      </c>
      <c r="F518" s="263">
        <f t="shared" si="17"/>
        <v>50.412399227886908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337724</v>
      </c>
      <c r="C521" s="240">
        <f>AB71</f>
        <v>352622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395771</v>
      </c>
      <c r="C522" s="240">
        <f>AC71</f>
        <v>377011</v>
      </c>
      <c r="D522" s="240">
        <f>'Prior Year'!AC59</f>
        <v>1559</v>
      </c>
      <c r="E522" s="180">
        <f>AC59</f>
        <v>0</v>
      </c>
      <c r="F522" s="263">
        <f t="shared" si="17"/>
        <v>253.86209108402824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528785</v>
      </c>
      <c r="C524" s="240">
        <f>AE71</f>
        <v>548808</v>
      </c>
      <c r="D524" s="240">
        <f>'Prior Year'!AE59</f>
        <v>6480</v>
      </c>
      <c r="E524" s="180">
        <f>AE59</f>
        <v>0</v>
      </c>
      <c r="F524" s="263">
        <f t="shared" si="17"/>
        <v>81.602623456790127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846470</v>
      </c>
      <c r="C529" s="240">
        <f>AJ71</f>
        <v>903792</v>
      </c>
      <c r="D529" s="240">
        <f>'Prior Year'!AJ59</f>
        <v>9685</v>
      </c>
      <c r="E529" s="180">
        <f>AJ59</f>
        <v>0</v>
      </c>
      <c r="F529" s="263">
        <f t="shared" si="18"/>
        <v>87.40010325245224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438945</v>
      </c>
      <c r="C530" s="240">
        <f>AK71</f>
        <v>919548</v>
      </c>
      <c r="D530" s="240">
        <f>'Prior Year'!AK59</f>
        <v>1030</v>
      </c>
      <c r="E530" s="180">
        <f>AK59</f>
        <v>0</v>
      </c>
      <c r="F530" s="263">
        <f t="shared" si="18"/>
        <v>426.16019417475729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23906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521060</v>
      </c>
      <c r="C544" s="240">
        <f>AY71</f>
        <v>51761</v>
      </c>
      <c r="D544" s="240">
        <f>'Prior Year'!AY59</f>
        <v>5173</v>
      </c>
      <c r="E544" s="180">
        <f>AY59</f>
        <v>4740</v>
      </c>
      <c r="F544" s="263">
        <f t="shared" ref="F544:G550" si="19">IF(B544=0,"",IF(D544=0,"",B544/D544))</f>
        <v>100.72685095689155</v>
      </c>
      <c r="G544" s="263">
        <f t="shared" si="19"/>
        <v>10.920042194092828</v>
      </c>
      <c r="H544" s="265">
        <f t="shared" si="16"/>
        <v>-0.89158757480896211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15658</v>
      </c>
      <c r="C545" s="240">
        <f>AZ71</f>
        <v>558640</v>
      </c>
      <c r="D545" s="240">
        <f>'Prior Year'!AZ59</f>
        <v>26612</v>
      </c>
      <c r="E545" s="180">
        <f>AZ59</f>
        <v>19660</v>
      </c>
      <c r="F545" s="263">
        <f t="shared" si="19"/>
        <v>0.58838118142191498</v>
      </c>
      <c r="G545" s="263">
        <f t="shared" si="19"/>
        <v>28.415055951169887</v>
      </c>
      <c r="H545" s="265">
        <f t="shared" si="16"/>
        <v>47.293617893251565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96874</v>
      </c>
      <c r="C546" s="240">
        <f>BA71</f>
        <v>85448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711105</v>
      </c>
      <c r="C547" s="240">
        <f>BB71</f>
        <v>738312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148446</v>
      </c>
      <c r="C549" s="240">
        <f>BD71</f>
        <v>2879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98610</v>
      </c>
      <c r="D550" s="240">
        <f>'Prior Year'!BE59</f>
        <v>88741</v>
      </c>
      <c r="E550" s="180">
        <f>BE59</f>
        <v>88741</v>
      </c>
      <c r="F550" s="263" t="str">
        <f t="shared" si="19"/>
        <v/>
      </c>
      <c r="G550" s="263">
        <f t="shared" si="19"/>
        <v>1.1112112777633789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367754</v>
      </c>
      <c r="C551" s="240">
        <f>BF71</f>
        <v>387898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3271681</v>
      </c>
      <c r="C559" s="240">
        <f>BN71</f>
        <v>3555327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581649</v>
      </c>
      <c r="C562" s="240">
        <f>BQ71</f>
        <v>535780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236027</v>
      </c>
      <c r="C563" s="240">
        <f>BR71</f>
        <v>213562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255776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273899</v>
      </c>
      <c r="C567" s="240">
        <f>BV71</f>
        <v>12467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665545</v>
      </c>
      <c r="C570" s="240">
        <f>BY71</f>
        <v>656955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724908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-2052171</v>
      </c>
      <c r="C575" s="240">
        <f>CD71</f>
        <v>-1869733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80349</v>
      </c>
      <c r="E612" s="180">
        <f>SUM(C624:D647)+SUM(C668:D713)</f>
        <v>13277699.342269352</v>
      </c>
      <c r="F612" s="180">
        <f>CE64-(AX64+BD64+BE64+BG64+BJ64+BN64+BP64+BQ64+CB64+CC64+CD64)</f>
        <v>1</v>
      </c>
      <c r="G612" s="180">
        <f>CE77-(AX77+AY77+BD77+BE77+BG77+BJ77+BN77+BP77+BQ77+CB77+CC77+CD77)</f>
        <v>4740</v>
      </c>
      <c r="H612" s="197">
        <f>CE60-(AX60+AY60+AZ60+BD60+BE60+BG60+BJ60+BN60+BO60+BP60+BQ60+BR60+CB60+CC60+CD60)</f>
        <v>60.03</v>
      </c>
      <c r="I612" s="180">
        <f>CE78-(AX78+AY78+AZ78+BD78+BE78+BF78+BG78+BJ78+BN78+BO78+BP78+BQ78+BR78+CB78+CC78+CD78)</f>
        <v>54434</v>
      </c>
      <c r="J612" s="180">
        <f>CE79-(AX79+AY79+AZ79+BA79+BD79+BE79+BF79+BG79+BJ79+BN79+BO79+BP79+BQ79+BR79+CB79+CC79+CD79)</f>
        <v>53472</v>
      </c>
      <c r="K612" s="180">
        <f>CE75-(AW75+AX75+AY75+AZ75+BA75+BB75+BC75+BD75+BE75+BF75+BG75+BH75+BI75+BJ75+BK75+BL75+BM75+BN75+BO75+BP75+BQ75+BR75+BS75+BT75+BU75+BV75+BW75+BX75+CB75+CC75+CD75)</f>
        <v>31665217</v>
      </c>
      <c r="L612" s="197">
        <f>CE80-(AW80+AX80+AY80+AZ80+BA80+BB80+BC80+BD80+BE80+BF80+BG80+BH80+BI80+BJ80+BK80+BL80+BM80+BN80+BO80+BP80+BQ80+BR80+BS80+BT80+BU80+BV80+BW80+BX80+BY80+BZ80+CA80+CB80+CC80+CD80)</f>
        <v>39.61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98610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-1869733</v>
      </c>
      <c r="D615" s="266">
        <f>SUM(C614:C615)</f>
        <v>-1771123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3555327</v>
      </c>
      <c r="D619" s="180">
        <f>(D615/D612)*BN76</f>
        <v>-294536.90184071986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724908</v>
      </c>
      <c r="D620" s="180">
        <f>(D615/D612)*CC76</f>
        <v>-117444.4404286301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535780</v>
      </c>
      <c r="D623" s="180">
        <f>(D615/D612)*BQ76</f>
        <v>0</v>
      </c>
      <c r="E623" s="180">
        <f>SUM(C616:D623)</f>
        <v>4404033.6577306502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2879</v>
      </c>
      <c r="D624" s="180">
        <f>(D615/D612)*BD76</f>
        <v>-5400.5044866768721</v>
      </c>
      <c r="E624" s="180">
        <f>(E623/E612)*SUM(C624:D624)</f>
        <v>-836.34900453664136</v>
      </c>
      <c r="F624" s="180">
        <f>SUM(C624:E624)</f>
        <v>-3357.8534912135137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51761</v>
      </c>
      <c r="D625" s="180">
        <f>(D615/D612)*AY76</f>
        <v>-97098.866382904584</v>
      </c>
      <c r="E625" s="180">
        <f>(E623/E612)*SUM(C625:D625)</f>
        <v>-15037.958336981015</v>
      </c>
      <c r="F625" s="180">
        <f>(F624/F612)*AY64</f>
        <v>0</v>
      </c>
      <c r="G625" s="180">
        <f>SUM(C625:F625)</f>
        <v>-60375.824719885597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213562</v>
      </c>
      <c r="D626" s="180">
        <f>(D615/D612)*BR76</f>
        <v>-9125.7504387111221</v>
      </c>
      <c r="E626" s="180">
        <f>(E623/E612)*SUM(C626:D626)</f>
        <v>67808.74462655645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558640</v>
      </c>
      <c r="D628" s="180">
        <f>(D615/D612)*AZ76</f>
        <v>-31719.697780930688</v>
      </c>
      <c r="E628" s="180">
        <f>(E623/E612)*SUM(C628:D628)</f>
        <v>174772.35220463786</v>
      </c>
      <c r="F628" s="180">
        <f>(F624/F612)*AZ64</f>
        <v>0</v>
      </c>
      <c r="G628" s="180">
        <f>(G625/G612)*AZ77</f>
        <v>0</v>
      </c>
      <c r="H628" s="180">
        <f>SUM(C626:G628)</f>
        <v>973937.64861155255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387898</v>
      </c>
      <c r="D629" s="180">
        <f>(D615/D612)*BF76</f>
        <v>-15914.956079104904</v>
      </c>
      <c r="E629" s="180">
        <f>(E623/E612)*SUM(C629:D629)</f>
        <v>123381.75487356111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495364.79879445618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85448</v>
      </c>
      <c r="D630" s="180">
        <f>(D615/D612)*BA76</f>
        <v>-35577.200985699885</v>
      </c>
      <c r="E630" s="180">
        <f>(E623/E612)*SUM(C630:D630)</f>
        <v>16541.470908118921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14687.856583279792</v>
      </c>
      <c r="J630" s="180">
        <f>SUM(C630:I630)</f>
        <v>81100.126505698834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738312</v>
      </c>
      <c r="D632" s="180">
        <f>(D615/D612)*BB76</f>
        <v>-42035.763494256309</v>
      </c>
      <c r="E632" s="180">
        <f>(E623/E612)*SUM(C632:D632)</f>
        <v>230945.42974680921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17354.239469835542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255776</v>
      </c>
      <c r="D641" s="180">
        <f>(D615/D612)*BU76</f>
        <v>0</v>
      </c>
      <c r="E641" s="180">
        <f>(E623/E612)*SUM(C641:D641)</f>
        <v>84837.446895162837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12467</v>
      </c>
      <c r="D642" s="180">
        <f>(D615/D612)*BV76</f>
        <v>-23387.490858629229</v>
      </c>
      <c r="E642" s="180">
        <f>(E623/E612)*SUM(C642:D642)</f>
        <v>-3622.1794198363746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9655.4001455141643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1280302.0824846001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656955</v>
      </c>
      <c r="D645" s="180">
        <f>(D615/D612)*BY76</f>
        <v>-29074.552726231814</v>
      </c>
      <c r="E645" s="180">
        <f>(E623/E612)*SUM(C645:D645)</f>
        <v>208259.46962224523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12003.273130945507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848143.19002695882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6008590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2456544</v>
      </c>
      <c r="D670" s="180">
        <f>(D615/D612)*E76</f>
        <v>-357513.39701800892</v>
      </c>
      <c r="E670" s="180">
        <f>(E623/E612)*SUM(C670:D670)</f>
        <v>696220.11960389686</v>
      </c>
      <c r="F670" s="180">
        <f>(F624/F612)*E64</f>
        <v>-3357.8534912135137</v>
      </c>
      <c r="G670" s="180">
        <f>(G625/G612)*E77</f>
        <v>-60375.824719885597</v>
      </c>
      <c r="H670" s="180">
        <f>(H628/H612)*E60</f>
        <v>262182.78196839395</v>
      </c>
      <c r="I670" s="180">
        <f>(I629/I612)*E78</f>
        <v>147597.48818105017</v>
      </c>
      <c r="J670" s="180">
        <f>(J630/J612)*E79</f>
        <v>36339.748486619988</v>
      </c>
      <c r="K670" s="180">
        <f>(K644/K612)*E75</f>
        <v>64852.587381641941</v>
      </c>
      <c r="L670" s="180">
        <f>(L647/L612)*E80</f>
        <v>346023.57866285421</v>
      </c>
      <c r="M670" s="180">
        <f t="shared" si="20"/>
        <v>1131969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2698764</v>
      </c>
      <c r="D681" s="180">
        <f>(D615/D612)*P76</f>
        <v>-90111.274863408384</v>
      </c>
      <c r="E681" s="180">
        <f>(E623/E612)*SUM(C681:D681)</f>
        <v>865254.89896119037</v>
      </c>
      <c r="F681" s="180">
        <f>(F624/F612)*P64</f>
        <v>0</v>
      </c>
      <c r="G681" s="180">
        <f>(G625/G612)*P77</f>
        <v>0</v>
      </c>
      <c r="H681" s="180">
        <f>(H628/H612)*P60</f>
        <v>132551.56736892194</v>
      </c>
      <c r="I681" s="180">
        <f>(I629/I612)*P78</f>
        <v>37201.956451330727</v>
      </c>
      <c r="J681" s="180">
        <f>(J630/J612)*P79</f>
        <v>26849.856738674192</v>
      </c>
      <c r="K681" s="180">
        <f>(K644/K612)*P75</f>
        <v>421973.31301272236</v>
      </c>
      <c r="L681" s="180">
        <f>(L647/L612)*P80</f>
        <v>174938.90084625737</v>
      </c>
      <c r="M681" s="180">
        <f t="shared" si="20"/>
        <v>1568659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258394</v>
      </c>
      <c r="D682" s="180">
        <f>(D615/D612)*Q76</f>
        <v>-31080.454392711796</v>
      </c>
      <c r="E682" s="180">
        <f>(E623/E612)*SUM(C682:D682)</f>
        <v>75396.834941548426</v>
      </c>
      <c r="F682" s="180">
        <f>(F624/F612)*Q64</f>
        <v>0</v>
      </c>
      <c r="G682" s="180">
        <f>(G625/G612)*Q77</f>
        <v>0</v>
      </c>
      <c r="H682" s="180">
        <f>(H628/H612)*Q60</f>
        <v>31637.155002374267</v>
      </c>
      <c r="I682" s="180">
        <f>(I629/I612)*Q78</f>
        <v>12831.398873868964</v>
      </c>
      <c r="J682" s="180">
        <f>(J630/J612)*Q79</f>
        <v>0</v>
      </c>
      <c r="K682" s="180">
        <f>(K644/K612)*Q75</f>
        <v>43300.599244584686</v>
      </c>
      <c r="L682" s="180">
        <f>(L647/L612)*Q80</f>
        <v>41754.082821322132</v>
      </c>
      <c r="M682" s="180">
        <f t="shared" si="20"/>
        <v>173840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2391009</v>
      </c>
      <c r="D683" s="180">
        <f>(D615/D612)*R76</f>
        <v>-11881.109870689119</v>
      </c>
      <c r="E683" s="180">
        <f>(E623/E612)*SUM(C683:D683)</f>
        <v>789124.60917226889</v>
      </c>
      <c r="F683" s="180">
        <f>(F624/F612)*R64</f>
        <v>0</v>
      </c>
      <c r="G683" s="180">
        <f>(G625/G612)*R77</f>
        <v>0</v>
      </c>
      <c r="H683" s="180">
        <f>(H628/H612)*R60</f>
        <v>70250.708287323374</v>
      </c>
      <c r="I683" s="180">
        <f>(I629/I612)*R78</f>
        <v>4905.0524773158668</v>
      </c>
      <c r="J683" s="180">
        <f>(J630/J612)*R79</f>
        <v>0</v>
      </c>
      <c r="K683" s="180">
        <f>(K644/K612)*R75</f>
        <v>154241.52195306044</v>
      </c>
      <c r="L683" s="180">
        <f>(L647/L612)*R80</f>
        <v>92715.476213499918</v>
      </c>
      <c r="M683" s="180">
        <f t="shared" si="20"/>
        <v>1099356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145239</v>
      </c>
      <c r="D684" s="180">
        <f>(D615/D612)*S76</f>
        <v>0</v>
      </c>
      <c r="E684" s="180">
        <f>(E623/E612)*SUM(C684:D684)</f>
        <v>48173.815954610895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164761.92233295506</v>
      </c>
      <c r="L684" s="180">
        <f>(L647/L612)*S80</f>
        <v>0</v>
      </c>
      <c r="M684" s="180">
        <f t="shared" si="20"/>
        <v>212936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173839</v>
      </c>
      <c r="D686" s="180">
        <f>(D615/D612)*U76</f>
        <v>-10161.765585134848</v>
      </c>
      <c r="E686" s="180">
        <f>(E623/E612)*SUM(C686:D686)</f>
        <v>54289.529442239465</v>
      </c>
      <c r="F686" s="180">
        <f>(F624/F612)*U64</f>
        <v>0</v>
      </c>
      <c r="G686" s="180">
        <f>(G625/G612)*U77</f>
        <v>0</v>
      </c>
      <c r="H686" s="180">
        <f>(H628/H612)*U60</f>
        <v>20604.711206674525</v>
      </c>
      <c r="I686" s="180">
        <f>(I629/I612)*U78</f>
        <v>4195.2304119529026</v>
      </c>
      <c r="J686" s="180">
        <f>(J630/J612)*U79</f>
        <v>0</v>
      </c>
      <c r="K686" s="180">
        <f>(K644/K612)*U75</f>
        <v>7502.2398047996185</v>
      </c>
      <c r="L686" s="180">
        <f>(L647/L612)*U80</f>
        <v>0</v>
      </c>
      <c r="M686" s="180">
        <f t="shared" si="20"/>
        <v>76430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447573</v>
      </c>
      <c r="D690" s="180">
        <f>(D615/D612)*Y76</f>
        <v>-71000.101843209006</v>
      </c>
      <c r="E690" s="180">
        <f>(E623/E612)*SUM(C690:D690)</f>
        <v>124904.14757261949</v>
      </c>
      <c r="F690" s="180">
        <f>(F624/F612)*Y64</f>
        <v>0</v>
      </c>
      <c r="G690" s="180">
        <f>(G625/G612)*Y77</f>
        <v>0</v>
      </c>
      <c r="H690" s="180">
        <f>(H628/H612)*Y60</f>
        <v>68141.564620498437</v>
      </c>
      <c r="I690" s="180">
        <f>(I629/I612)*Y78</f>
        <v>29312.011186334705</v>
      </c>
      <c r="J690" s="180">
        <f>(J630/J612)*Y79</f>
        <v>3884.2277076057508</v>
      </c>
      <c r="K690" s="180">
        <f>(K644/K612)*Y75</f>
        <v>131565.22887258057</v>
      </c>
      <c r="L690" s="180">
        <f>(L647/L612)*Y80</f>
        <v>0</v>
      </c>
      <c r="M690" s="180">
        <f t="shared" si="20"/>
        <v>286807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352622</v>
      </c>
      <c r="D693" s="180">
        <f>(D615/D612)*AB76</f>
        <v>-6612.8626367471907</v>
      </c>
      <c r="E693" s="180">
        <f>(E623/E612)*SUM(C693:D693)</f>
        <v>114766.56064797349</v>
      </c>
      <c r="F693" s="180">
        <f>(F624/F612)*AB64</f>
        <v>0</v>
      </c>
      <c r="G693" s="180">
        <f>(G625/G612)*AB77</f>
        <v>0</v>
      </c>
      <c r="H693" s="180">
        <f>(H628/H612)*AB60</f>
        <v>25634.207642949408</v>
      </c>
      <c r="I693" s="180">
        <f>(I629/I612)*AB78</f>
        <v>2730.0848667806308</v>
      </c>
      <c r="J693" s="180">
        <f>(J630/J612)*AB79</f>
        <v>0</v>
      </c>
      <c r="K693" s="180">
        <f>(K644/K612)*AB75</f>
        <v>86365.113454298858</v>
      </c>
      <c r="L693" s="180">
        <f>(L647/L612)*AB80</f>
        <v>0</v>
      </c>
      <c r="M693" s="180">
        <f t="shared" si="20"/>
        <v>222883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377011</v>
      </c>
      <c r="D694" s="180">
        <f>(D615/D612)*AC76</f>
        <v>-2270.4161719498688</v>
      </c>
      <c r="E694" s="180">
        <f>(E623/E612)*SUM(C694:D694)</f>
        <v>124296.39364121154</v>
      </c>
      <c r="F694" s="180">
        <f>(F624/F612)*AC64</f>
        <v>0</v>
      </c>
      <c r="G694" s="180">
        <f>(G625/G612)*AC77</f>
        <v>0</v>
      </c>
      <c r="H694" s="180">
        <f>(H628/H612)*AC60</f>
        <v>49970.480721698848</v>
      </c>
      <c r="I694" s="180">
        <f>(I629/I612)*AC78</f>
        <v>937.32913759468317</v>
      </c>
      <c r="J694" s="180">
        <f>(J630/J612)*AC79</f>
        <v>0</v>
      </c>
      <c r="K694" s="180">
        <f>(K644/K612)*AC75</f>
        <v>17075.105882212538</v>
      </c>
      <c r="L694" s="180">
        <f>(L647/L612)*AC80</f>
        <v>0</v>
      </c>
      <c r="M694" s="180">
        <f t="shared" si="20"/>
        <v>190009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548808</v>
      </c>
      <c r="D696" s="180">
        <f>(D615/D612)*AE76</f>
        <v>-115085.85275485694</v>
      </c>
      <c r="E696" s="180">
        <f>(E623/E612)*SUM(C696:D696)</f>
        <v>143859.78213032428</v>
      </c>
      <c r="F696" s="180">
        <f>(F624/F612)*AE64</f>
        <v>0</v>
      </c>
      <c r="G696" s="180">
        <f>(G625/G612)*AE77</f>
        <v>0</v>
      </c>
      <c r="H696" s="180">
        <f>(H628/H612)*AE60</f>
        <v>61814.133620023575</v>
      </c>
      <c r="I696" s="180">
        <f>(I629/I612)*AE78</f>
        <v>47512.576964872242</v>
      </c>
      <c r="J696" s="180">
        <f>(J630/J612)*AE79</f>
        <v>1146.6130991604637</v>
      </c>
      <c r="K696" s="180">
        <f>(K644/K612)*AE75</f>
        <v>42028.23069477472</v>
      </c>
      <c r="L696" s="180">
        <f>(L647/L612)*AE80</f>
        <v>0</v>
      </c>
      <c r="M696" s="180">
        <f t="shared" si="20"/>
        <v>181275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903792</v>
      </c>
      <c r="D701" s="180">
        <f>(D615/D612)*AJ76</f>
        <v>-193734.83238123686</v>
      </c>
      <c r="E701" s="180">
        <f>(E623/E612)*SUM(C701:D701)</f>
        <v>235516.37859058927</v>
      </c>
      <c r="F701" s="180">
        <f>(F624/F612)*AJ64</f>
        <v>0</v>
      </c>
      <c r="G701" s="180">
        <f>(G625/G612)*AJ77</f>
        <v>0</v>
      </c>
      <c r="H701" s="180">
        <f>(H628/H612)*AJ60</f>
        <v>146017.63847249662</v>
      </c>
      <c r="I701" s="180">
        <f>(I629/I612)*AJ78</f>
        <v>79982.386313783209</v>
      </c>
      <c r="J701" s="180">
        <f>(J630/J612)*AJ79</f>
        <v>10812.440190363686</v>
      </c>
      <c r="K701" s="180">
        <f>(K644/K612)*AJ75</f>
        <v>136681.34805177929</v>
      </c>
      <c r="L701" s="180">
        <f>(L647/L612)*AJ80</f>
        <v>192711.15148302523</v>
      </c>
      <c r="M701" s="180">
        <f t="shared" si="20"/>
        <v>607987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919548</v>
      </c>
      <c r="D702" s="180">
        <f>(D615/D612)*AK76</f>
        <v>-180354.80697955171</v>
      </c>
      <c r="E702" s="180">
        <f>(E623/E612)*SUM(C702:D702)</f>
        <v>245180.40495643902</v>
      </c>
      <c r="F702" s="180">
        <f>(F624/F612)*AK64</f>
        <v>0</v>
      </c>
      <c r="G702" s="180">
        <f>(G625/G612)*AK77</f>
        <v>0</v>
      </c>
      <c r="H702" s="180">
        <f>(H628/H612)*AK60</f>
        <v>105132.69970019758</v>
      </c>
      <c r="I702" s="180">
        <f>(I629/I612)*AK78</f>
        <v>74458.51459999707</v>
      </c>
      <c r="J702" s="180">
        <f>(J630/J612)*AK79</f>
        <v>2067.2402832747516</v>
      </c>
      <c r="K702" s="180">
        <f>(K644/K612)*AK75</f>
        <v>9954.8717991900503</v>
      </c>
      <c r="L702" s="180">
        <f>(L647/L612)*AK80</f>
        <v>0</v>
      </c>
      <c r="M702" s="180">
        <f t="shared" si="20"/>
        <v>256439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17681733</v>
      </c>
      <c r="D715" s="180">
        <f>SUM(D616:D647)+SUM(D668:D713)</f>
        <v>-1771123</v>
      </c>
      <c r="E715" s="180">
        <f>SUM(E624:E647)+SUM(E668:E713)</f>
        <v>4404033.6577306492</v>
      </c>
      <c r="F715" s="180">
        <f>SUM(F625:F648)+SUM(F668:F713)</f>
        <v>-3357.8534912135137</v>
      </c>
      <c r="G715" s="180">
        <f>SUM(G626:G647)+SUM(G668:G713)</f>
        <v>-60375.824719885597</v>
      </c>
      <c r="H715" s="180">
        <f>SUM(H629:H647)+SUM(H668:H713)</f>
        <v>973937.64861155255</v>
      </c>
      <c r="I715" s="180">
        <f>SUM(I630:I647)+SUM(I668:I713)</f>
        <v>495364.79879445618</v>
      </c>
      <c r="J715" s="180">
        <f>SUM(J631:J647)+SUM(J668:J713)</f>
        <v>81100.126505698834</v>
      </c>
      <c r="K715" s="180">
        <f>SUM(K668:K713)</f>
        <v>1280302.0824846001</v>
      </c>
      <c r="L715" s="180">
        <f>SUM(L668:L713)</f>
        <v>848143.19002695894</v>
      </c>
      <c r="M715" s="180">
        <f>SUM(M668:M713)</f>
        <v>6008590</v>
      </c>
      <c r="N715" s="198" t="s">
        <v>742</v>
      </c>
    </row>
    <row r="716" spans="1:15" ht="12.6" customHeight="1" x14ac:dyDescent="0.25">
      <c r="C716" s="180">
        <f>CE71</f>
        <v>17681733</v>
      </c>
      <c r="D716" s="180">
        <f>D615</f>
        <v>-1771123</v>
      </c>
      <c r="E716" s="180">
        <f>E623</f>
        <v>4404033.6577306502</v>
      </c>
      <c r="F716" s="180">
        <f>F624</f>
        <v>-3357.8534912135137</v>
      </c>
      <c r="G716" s="180">
        <f>G625</f>
        <v>-60375.824719885597</v>
      </c>
      <c r="H716" s="180">
        <f>H628</f>
        <v>973937.64861155255</v>
      </c>
      <c r="I716" s="180">
        <f>I629</f>
        <v>495364.79879445618</v>
      </c>
      <c r="J716" s="180">
        <f>J630</f>
        <v>81100.126505698834</v>
      </c>
      <c r="K716" s="180">
        <f>K644</f>
        <v>1280302.0824846001</v>
      </c>
      <c r="L716" s="180">
        <f>L647</f>
        <v>848143.19002695882</v>
      </c>
      <c r="M716" s="180">
        <f>C648</f>
        <v>6008590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5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4" transitionEvaluation="1" transitionEntry="1" codeName="Sheet10">
    <pageSetUpPr autoPageBreaks="0"/>
  </sheetPr>
  <dimension ref="A1:CF817"/>
  <sheetViews>
    <sheetView showGridLines="0" topLeftCell="A44" zoomScale="75" workbookViewId="0">
      <selection activeCell="G73" sqref="G7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223473+1012776+2000000</f>
        <v>3236249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409175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508134</v>
      </c>
      <c r="Q48" s="195">
        <f>ROUND(((B48/CE61)*Q61),0)</f>
        <v>66370</v>
      </c>
      <c r="R48" s="195">
        <f>ROUND(((B48/CE61)*R61),0)</f>
        <v>365845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38889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81792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66896</v>
      </c>
      <c r="AC48" s="195">
        <f>ROUND(((B48/CE61)*AC61),0)</f>
        <v>78935</v>
      </c>
      <c r="AD48" s="195">
        <f>ROUND(((B48/CE61)*AD61),0)</f>
        <v>0</v>
      </c>
      <c r="AE48" s="195">
        <f>ROUND(((B48/CE61)*AE61),0)</f>
        <v>94401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150686</v>
      </c>
      <c r="AK48" s="195">
        <f>ROUND(((B48/CE61)*AK61),0)</f>
        <v>74769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94632</v>
      </c>
      <c r="AZ48" s="195">
        <f>ROUND(((B48/CE61)*AZ61),0)</f>
        <v>0</v>
      </c>
      <c r="BA48" s="195">
        <f>ROUND(((B48/CE61)*BA61),0)</f>
        <v>15863</v>
      </c>
      <c r="BB48" s="195">
        <f>ROUND(((B48/CE61)*BB61),0)</f>
        <v>139803</v>
      </c>
      <c r="BC48" s="195">
        <f>ROUND(((B48/CE61)*BC61),0)</f>
        <v>0</v>
      </c>
      <c r="BD48" s="195">
        <f>ROUND(((B48/CE61)*BD61),0)</f>
        <v>29158</v>
      </c>
      <c r="BE48" s="195">
        <f>ROUND(((B48/CE61)*BE61),0)</f>
        <v>0</v>
      </c>
      <c r="BF48" s="195">
        <f>ROUND(((B48/CE61)*BF61),0)</f>
        <v>71984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625363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98073</v>
      </c>
      <c r="BR48" s="195">
        <f>ROUND(((B48/CE61)*BR61),0)</f>
        <v>46181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48722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130580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3236251</v>
      </c>
    </row>
    <row r="49" spans="1:84" ht="12.6" customHeight="1" x14ac:dyDescent="0.25">
      <c r="A49" s="175" t="s">
        <v>206</v>
      </c>
      <c r="B49" s="195">
        <f>B47+B48</f>
        <v>3236249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965599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176480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42360</v>
      </c>
      <c r="Q52" s="195">
        <f>ROUND((B52/(CE76+CF76)*Q76),0)</f>
        <v>15342</v>
      </c>
      <c r="R52" s="195">
        <f>ROUND((B52/(CE76+CF76)*R76),0)</f>
        <v>5756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5016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35048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3264</v>
      </c>
      <c r="AC52" s="195">
        <f>ROUND((B52/(CE76+CF76)*AC76),0)</f>
        <v>1121</v>
      </c>
      <c r="AD52" s="195">
        <f>ROUND((B52/(CE76+CF76)*AD76),0)</f>
        <v>0</v>
      </c>
      <c r="AE52" s="195">
        <f>ROUND((B52/(CE76+CF76)*AE76),0)</f>
        <v>56810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93088</v>
      </c>
      <c r="AK52" s="195">
        <f>ROUND((B52/(CE76+CF76)*AK76),0)</f>
        <v>65123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23906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47931</v>
      </c>
      <c r="AZ52" s="195">
        <f>ROUND((B52/(CE76+CF76)*AZ76),0)</f>
        <v>15658</v>
      </c>
      <c r="BA52" s="195">
        <f>ROUND((B52/(CE76+CF76)*BA76),0)</f>
        <v>17562</v>
      </c>
      <c r="BB52" s="195">
        <f>ROUND((B52/(CE76+CF76)*BB76),0)</f>
        <v>12132</v>
      </c>
      <c r="BC52" s="195">
        <f>ROUND((B52/(CE76+CF76)*BC76),0)</f>
        <v>0</v>
      </c>
      <c r="BD52" s="195">
        <f>ROUND((B52/(CE76+CF76)*BD76),0)</f>
        <v>2666</v>
      </c>
      <c r="BE52" s="195">
        <f>ROUND((B52/(CE76+CF76)*BE76),0)</f>
        <v>0</v>
      </c>
      <c r="BF52" s="195">
        <f>ROUND((B52/(CE76+CF76)*BF76),0)</f>
        <v>7856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145056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91314</v>
      </c>
      <c r="BR52" s="195">
        <f>ROUND((B52/(CE76+CF76)*BR76),0)</f>
        <v>5136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30304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12687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911616</v>
      </c>
    </row>
    <row r="53" spans="1:84" ht="12.6" customHeight="1" x14ac:dyDescent="0.25">
      <c r="A53" s="175" t="s">
        <v>206</v>
      </c>
      <c r="B53" s="195">
        <f>B51+B52</f>
        <v>965599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829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120720</v>
      </c>
      <c r="Q59" s="185">
        <v>37740</v>
      </c>
      <c r="R59" s="185">
        <v>120480</v>
      </c>
      <c r="S59" s="248"/>
      <c r="T59" s="248"/>
      <c r="U59" s="224">
        <f>1984+156</f>
        <v>2140</v>
      </c>
      <c r="V59" s="185"/>
      <c r="W59" s="185"/>
      <c r="X59" s="185"/>
      <c r="Y59" s="185">
        <v>8807</v>
      </c>
      <c r="Z59" s="185"/>
      <c r="AA59" s="185"/>
      <c r="AB59" s="248"/>
      <c r="AC59" s="185">
        <v>1559</v>
      </c>
      <c r="AD59" s="185"/>
      <c r="AE59" s="185">
        <v>6480</v>
      </c>
      <c r="AF59" s="185"/>
      <c r="AG59" s="185"/>
      <c r="AH59" s="185"/>
      <c r="AI59" s="185"/>
      <c r="AJ59" s="185">
        <v>9685</v>
      </c>
      <c r="AK59" s="185">
        <v>1030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5173</v>
      </c>
      <c r="AZ59" s="185">
        <f>3277+23335</f>
        <v>26612</v>
      </c>
      <c r="BA59" s="248"/>
      <c r="BB59" s="248"/>
      <c r="BC59" s="248"/>
      <c r="BD59" s="248"/>
      <c r="BE59" s="185">
        <v>88741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17.11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8.4499999999999993</v>
      </c>
      <c r="Q60" s="221">
        <v>2.89</v>
      </c>
      <c r="R60" s="221">
        <v>3.85</v>
      </c>
      <c r="S60" s="221"/>
      <c r="T60" s="221"/>
      <c r="U60" s="221">
        <v>1.61</v>
      </c>
      <c r="V60" s="221"/>
      <c r="W60" s="221"/>
      <c r="X60" s="221"/>
      <c r="Y60" s="221">
        <v>3.97</v>
      </c>
      <c r="Z60" s="221"/>
      <c r="AA60" s="221"/>
      <c r="AB60" s="221">
        <v>1.64</v>
      </c>
      <c r="AC60" s="221">
        <v>3.25</v>
      </c>
      <c r="AD60" s="221"/>
      <c r="AE60" s="221">
        <v>4.05</v>
      </c>
      <c r="AF60" s="221"/>
      <c r="AG60" s="221"/>
      <c r="AH60" s="221"/>
      <c r="AI60" s="221"/>
      <c r="AJ60" s="221">
        <v>8.81</v>
      </c>
      <c r="AK60" s="221">
        <v>3.48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6.96</v>
      </c>
      <c r="AZ60" s="221"/>
      <c r="BA60" s="221">
        <v>1.97</v>
      </c>
      <c r="BB60" s="221">
        <v>6.41</v>
      </c>
      <c r="BC60" s="221"/>
      <c r="BD60" s="221">
        <v>1.82</v>
      </c>
      <c r="BE60" s="221"/>
      <c r="BF60" s="221">
        <v>7.22</v>
      </c>
      <c r="BG60" s="221"/>
      <c r="BH60" s="221"/>
      <c r="BI60" s="221"/>
      <c r="BJ60" s="221"/>
      <c r="BK60" s="221"/>
      <c r="BL60" s="221"/>
      <c r="BM60" s="221"/>
      <c r="BN60" s="221">
        <v>30.1</v>
      </c>
      <c r="BO60" s="221"/>
      <c r="BP60" s="221"/>
      <c r="BQ60" s="221">
        <v>4.4400000000000004</v>
      </c>
      <c r="BR60" s="221">
        <v>1.87</v>
      </c>
      <c r="BS60" s="221"/>
      <c r="BT60" s="221"/>
      <c r="BU60" s="221"/>
      <c r="BV60" s="221">
        <v>2.56</v>
      </c>
      <c r="BW60" s="221"/>
      <c r="BX60" s="221"/>
      <c r="BY60" s="221">
        <v>3.38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125.83999999999997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1636573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2032379</v>
      </c>
      <c r="Q61" s="185">
        <v>265460</v>
      </c>
      <c r="R61" s="185">
        <v>1463266</v>
      </c>
      <c r="S61" s="185"/>
      <c r="T61" s="185"/>
      <c r="U61" s="185">
        <v>155545</v>
      </c>
      <c r="V61" s="185"/>
      <c r="W61" s="185"/>
      <c r="X61" s="185"/>
      <c r="Y61" s="185">
        <v>327142</v>
      </c>
      <c r="Z61" s="185"/>
      <c r="AA61" s="185"/>
      <c r="AB61" s="185">
        <v>267564</v>
      </c>
      <c r="AC61" s="185">
        <v>315715</v>
      </c>
      <c r="AD61" s="185"/>
      <c r="AE61" s="185">
        <v>377574</v>
      </c>
      <c r="AF61" s="185"/>
      <c r="AG61" s="185"/>
      <c r="AH61" s="185"/>
      <c r="AI61" s="185"/>
      <c r="AJ61" s="185">
        <v>602696</v>
      </c>
      <c r="AK61" s="185">
        <v>299053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378497</v>
      </c>
      <c r="AZ61" s="185"/>
      <c r="BA61" s="185">
        <v>63449</v>
      </c>
      <c r="BB61" s="185">
        <v>559170</v>
      </c>
      <c r="BC61" s="185"/>
      <c r="BD61" s="185">
        <v>116622</v>
      </c>
      <c r="BE61" s="185"/>
      <c r="BF61" s="185">
        <v>287914</v>
      </c>
      <c r="BG61" s="185"/>
      <c r="BH61" s="185"/>
      <c r="BI61" s="185"/>
      <c r="BJ61" s="185"/>
      <c r="BK61" s="185"/>
      <c r="BL61" s="185"/>
      <c r="BM61" s="185"/>
      <c r="BN61" s="185">
        <v>2501262</v>
      </c>
      <c r="BO61" s="185"/>
      <c r="BP61" s="185"/>
      <c r="BQ61" s="185">
        <v>392262</v>
      </c>
      <c r="BR61" s="185">
        <v>184710</v>
      </c>
      <c r="BS61" s="185"/>
      <c r="BT61" s="185"/>
      <c r="BU61" s="185"/>
      <c r="BV61" s="185">
        <v>194873</v>
      </c>
      <c r="BW61" s="185"/>
      <c r="BX61" s="185"/>
      <c r="BY61" s="185">
        <v>522278</v>
      </c>
      <c r="BZ61" s="185"/>
      <c r="CA61" s="185"/>
      <c r="CB61" s="185"/>
      <c r="CC61" s="185"/>
      <c r="CD61" s="249" t="s">
        <v>221</v>
      </c>
      <c r="CE61" s="195">
        <f t="shared" si="0"/>
        <v>12944004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409175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508134</v>
      </c>
      <c r="Q62" s="195">
        <f t="shared" si="1"/>
        <v>66370</v>
      </c>
      <c r="R62" s="195">
        <f t="shared" si="1"/>
        <v>365845</v>
      </c>
      <c r="S62" s="195">
        <f t="shared" si="1"/>
        <v>0</v>
      </c>
      <c r="T62" s="195">
        <f t="shared" si="1"/>
        <v>0</v>
      </c>
      <c r="U62" s="195">
        <f t="shared" si="1"/>
        <v>38889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81792</v>
      </c>
      <c r="Z62" s="195">
        <f t="shared" si="1"/>
        <v>0</v>
      </c>
      <c r="AA62" s="195">
        <f t="shared" si="1"/>
        <v>0</v>
      </c>
      <c r="AB62" s="195">
        <f t="shared" si="1"/>
        <v>66896</v>
      </c>
      <c r="AC62" s="195">
        <f t="shared" si="1"/>
        <v>78935</v>
      </c>
      <c r="AD62" s="195">
        <f t="shared" si="1"/>
        <v>0</v>
      </c>
      <c r="AE62" s="195">
        <f t="shared" si="1"/>
        <v>94401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150686</v>
      </c>
      <c r="AK62" s="195">
        <f t="shared" si="1"/>
        <v>74769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94632</v>
      </c>
      <c r="AZ62" s="195">
        <f>ROUND(AZ47+AZ48,0)</f>
        <v>0</v>
      </c>
      <c r="BA62" s="195">
        <f>ROUND(BA47+BA48,0)</f>
        <v>15863</v>
      </c>
      <c r="BB62" s="195">
        <f t="shared" si="1"/>
        <v>139803</v>
      </c>
      <c r="BC62" s="195">
        <f t="shared" si="1"/>
        <v>0</v>
      </c>
      <c r="BD62" s="195">
        <f t="shared" si="1"/>
        <v>29158</v>
      </c>
      <c r="BE62" s="195">
        <f t="shared" si="1"/>
        <v>0</v>
      </c>
      <c r="BF62" s="195">
        <f t="shared" si="1"/>
        <v>71984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625363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98073</v>
      </c>
      <c r="BR62" s="195">
        <f t="shared" si="2"/>
        <v>46181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48722</v>
      </c>
      <c r="BW62" s="195">
        <f t="shared" si="2"/>
        <v>0</v>
      </c>
      <c r="BX62" s="195">
        <f t="shared" si="2"/>
        <v>0</v>
      </c>
      <c r="BY62" s="195">
        <f t="shared" si="2"/>
        <v>130580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3236251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0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9" t="s">
        <v>221</v>
      </c>
      <c r="CE64" s="195">
        <f t="shared" si="0"/>
        <v>1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0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176480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42360</v>
      </c>
      <c r="Q67" s="195">
        <f t="shared" si="3"/>
        <v>15342</v>
      </c>
      <c r="R67" s="195">
        <f t="shared" si="3"/>
        <v>5756</v>
      </c>
      <c r="S67" s="195">
        <f t="shared" si="3"/>
        <v>0</v>
      </c>
      <c r="T67" s="195">
        <f t="shared" si="3"/>
        <v>0</v>
      </c>
      <c r="U67" s="195">
        <f t="shared" si="3"/>
        <v>5016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35048</v>
      </c>
      <c r="Z67" s="195">
        <f t="shared" si="3"/>
        <v>0</v>
      </c>
      <c r="AA67" s="195">
        <f t="shared" si="3"/>
        <v>0</v>
      </c>
      <c r="AB67" s="195">
        <f t="shared" si="3"/>
        <v>3264</v>
      </c>
      <c r="AC67" s="195">
        <f t="shared" si="3"/>
        <v>1121</v>
      </c>
      <c r="AD67" s="195">
        <f t="shared" si="3"/>
        <v>0</v>
      </c>
      <c r="AE67" s="195">
        <f t="shared" si="3"/>
        <v>56810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93088</v>
      </c>
      <c r="AK67" s="195">
        <f t="shared" si="3"/>
        <v>65123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23906</v>
      </c>
      <c r="AW67" s="195">
        <f t="shared" si="3"/>
        <v>0</v>
      </c>
      <c r="AX67" s="195">
        <f t="shared" si="3"/>
        <v>0</v>
      </c>
      <c r="AY67" s="195">
        <f t="shared" si="3"/>
        <v>47931</v>
      </c>
      <c r="AZ67" s="195">
        <f>ROUND(AZ51+AZ52,0)</f>
        <v>15658</v>
      </c>
      <c r="BA67" s="195">
        <f>ROUND(BA51+BA52,0)</f>
        <v>17562</v>
      </c>
      <c r="BB67" s="195">
        <f t="shared" si="3"/>
        <v>12132</v>
      </c>
      <c r="BC67" s="195">
        <f t="shared" si="3"/>
        <v>0</v>
      </c>
      <c r="BD67" s="195">
        <f t="shared" si="3"/>
        <v>2666</v>
      </c>
      <c r="BE67" s="195">
        <f t="shared" si="3"/>
        <v>0</v>
      </c>
      <c r="BF67" s="195">
        <f t="shared" si="3"/>
        <v>7856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145056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91314</v>
      </c>
      <c r="BR67" s="195">
        <f t="shared" si="4"/>
        <v>5136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30304</v>
      </c>
      <c r="BW67" s="195">
        <f t="shared" si="4"/>
        <v>0</v>
      </c>
      <c r="BX67" s="195">
        <f t="shared" si="4"/>
        <v>0</v>
      </c>
      <c r="BY67" s="195">
        <f t="shared" si="4"/>
        <v>12687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911616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0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2052171</v>
      </c>
      <c r="CE70" s="195">
        <f t="shared" si="0"/>
        <v>2052171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2222229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2582873</v>
      </c>
      <c r="Q71" s="195">
        <f t="shared" si="5"/>
        <v>347172</v>
      </c>
      <c r="R71" s="195">
        <f t="shared" si="5"/>
        <v>1834867</v>
      </c>
      <c r="S71" s="195">
        <f t="shared" si="5"/>
        <v>0</v>
      </c>
      <c r="T71" s="195">
        <f t="shared" si="5"/>
        <v>0</v>
      </c>
      <c r="U71" s="195">
        <f t="shared" si="5"/>
        <v>199450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443982</v>
      </c>
      <c r="Z71" s="195">
        <f t="shared" si="5"/>
        <v>0</v>
      </c>
      <c r="AA71" s="195">
        <f t="shared" si="5"/>
        <v>0</v>
      </c>
      <c r="AB71" s="195">
        <f t="shared" si="5"/>
        <v>337724</v>
      </c>
      <c r="AC71" s="195">
        <f t="shared" si="5"/>
        <v>395771</v>
      </c>
      <c r="AD71" s="195">
        <f t="shared" si="5"/>
        <v>0</v>
      </c>
      <c r="AE71" s="195">
        <f t="shared" si="5"/>
        <v>528785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846470</v>
      </c>
      <c r="AK71" s="195">
        <f t="shared" si="6"/>
        <v>438945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23906</v>
      </c>
      <c r="AW71" s="195">
        <f t="shared" si="6"/>
        <v>0</v>
      </c>
      <c r="AX71" s="195">
        <f t="shared" si="6"/>
        <v>0</v>
      </c>
      <c r="AY71" s="195">
        <f t="shared" si="6"/>
        <v>521060</v>
      </c>
      <c r="AZ71" s="195">
        <f t="shared" si="6"/>
        <v>15658</v>
      </c>
      <c r="BA71" s="195">
        <f t="shared" si="6"/>
        <v>96874</v>
      </c>
      <c r="BB71" s="195">
        <f t="shared" si="6"/>
        <v>711105</v>
      </c>
      <c r="BC71" s="195">
        <f t="shared" si="6"/>
        <v>0</v>
      </c>
      <c r="BD71" s="195">
        <f t="shared" si="6"/>
        <v>148446</v>
      </c>
      <c r="BE71" s="195">
        <f t="shared" si="6"/>
        <v>0</v>
      </c>
      <c r="BF71" s="195">
        <f t="shared" si="6"/>
        <v>367754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3271681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581649</v>
      </c>
      <c r="BR71" s="195">
        <f t="shared" si="7"/>
        <v>236027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273899</v>
      </c>
      <c r="BW71" s="195">
        <f t="shared" si="7"/>
        <v>0</v>
      </c>
      <c r="BX71" s="195">
        <f t="shared" si="7"/>
        <v>0</v>
      </c>
      <c r="BY71" s="195">
        <f t="shared" si="7"/>
        <v>665545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-2052171</v>
      </c>
      <c r="CE71" s="195">
        <f>SUM(CE61:CE69)-CE70</f>
        <v>15039701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f>1896918+54063</f>
        <v>1950981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2957669</v>
      </c>
      <c r="Q73" s="185">
        <v>221927</v>
      </c>
      <c r="R73" s="185">
        <v>917880</v>
      </c>
      <c r="S73" s="185">
        <f>330869+4058868</f>
        <v>4389737</v>
      </c>
      <c r="T73" s="185"/>
      <c r="U73" s="185">
        <f>51951+9095+9138+9491</f>
        <v>79675</v>
      </c>
      <c r="V73" s="185"/>
      <c r="W73" s="185"/>
      <c r="X73" s="185"/>
      <c r="Y73" s="185">
        <f>172624+6447</f>
        <v>179071</v>
      </c>
      <c r="Z73" s="185"/>
      <c r="AA73" s="185"/>
      <c r="AB73" s="185">
        <f>201723+864918+7965+4097</f>
        <v>1078703</v>
      </c>
      <c r="AC73" s="185">
        <f>61768+218755</f>
        <v>280523</v>
      </c>
      <c r="AD73" s="185"/>
      <c r="AE73" s="185">
        <f>88787+29535</f>
        <v>118322</v>
      </c>
      <c r="AF73" s="185"/>
      <c r="AG73" s="185"/>
      <c r="AH73" s="185"/>
      <c r="AI73" s="185"/>
      <c r="AJ73" s="185">
        <f>3687+137</f>
        <v>3824</v>
      </c>
      <c r="AK73" s="185">
        <v>0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12178312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6540043</v>
      </c>
      <c r="Q74" s="185">
        <v>729754</v>
      </c>
      <c r="R74" s="185">
        <v>2459994</v>
      </c>
      <c r="S74" s="185">
        <f>144312+562569</f>
        <v>706881</v>
      </c>
      <c r="T74" s="185"/>
      <c r="U74" s="185">
        <v>90540</v>
      </c>
      <c r="V74" s="185"/>
      <c r="W74" s="185"/>
      <c r="X74" s="185"/>
      <c r="Y74" s="185">
        <v>2587254</v>
      </c>
      <c r="Z74" s="185"/>
      <c r="AA74" s="185"/>
      <c r="AB74" s="185">
        <f>162446+782272+52326</f>
        <v>997044</v>
      </c>
      <c r="AC74" s="185">
        <f>93172+15713</f>
        <v>108885</v>
      </c>
      <c r="AD74" s="185"/>
      <c r="AE74" s="185">
        <f>776054+139445</f>
        <v>915499</v>
      </c>
      <c r="AF74" s="185"/>
      <c r="AG74" s="185"/>
      <c r="AH74" s="185"/>
      <c r="AI74" s="185"/>
      <c r="AJ74" s="185">
        <f>1938421+957+745247+161632+11625</f>
        <v>2857882</v>
      </c>
      <c r="AK74" s="185">
        <f>122543+61613</f>
        <v>184156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18177932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1950981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9497712</v>
      </c>
      <c r="Q75" s="195">
        <f t="shared" si="9"/>
        <v>951681</v>
      </c>
      <c r="R75" s="195">
        <f t="shared" si="9"/>
        <v>3377874</v>
      </c>
      <c r="S75" s="195">
        <f t="shared" si="9"/>
        <v>5096618</v>
      </c>
      <c r="T75" s="195">
        <f t="shared" si="9"/>
        <v>0</v>
      </c>
      <c r="U75" s="195">
        <f t="shared" si="9"/>
        <v>170215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2766325</v>
      </c>
      <c r="Z75" s="195">
        <f t="shared" si="9"/>
        <v>0</v>
      </c>
      <c r="AA75" s="195">
        <f t="shared" si="9"/>
        <v>0</v>
      </c>
      <c r="AB75" s="195">
        <f t="shared" si="9"/>
        <v>2075747</v>
      </c>
      <c r="AC75" s="195">
        <f t="shared" si="9"/>
        <v>389408</v>
      </c>
      <c r="AD75" s="195">
        <f t="shared" si="9"/>
        <v>0</v>
      </c>
      <c r="AE75" s="195">
        <f t="shared" si="9"/>
        <v>1033821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2861706</v>
      </c>
      <c r="AK75" s="195">
        <f t="shared" si="9"/>
        <v>184156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30356244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16219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3893</v>
      </c>
      <c r="Q76" s="185">
        <v>1410</v>
      </c>
      <c r="R76" s="185">
        <v>529</v>
      </c>
      <c r="S76" s="185"/>
      <c r="T76" s="185"/>
      <c r="U76" s="185">
        <v>461</v>
      </c>
      <c r="V76" s="185"/>
      <c r="W76" s="185"/>
      <c r="X76" s="185"/>
      <c r="Y76" s="185">
        <v>3221</v>
      </c>
      <c r="Z76" s="185"/>
      <c r="AA76" s="185"/>
      <c r="AB76" s="185">
        <v>300</v>
      </c>
      <c r="AC76" s="185">
        <v>103</v>
      </c>
      <c r="AD76" s="185"/>
      <c r="AE76" s="185">
        <v>5221</v>
      </c>
      <c r="AF76" s="185"/>
      <c r="AG76" s="185"/>
      <c r="AH76" s="185"/>
      <c r="AI76" s="185"/>
      <c r="AJ76" s="185">
        <v>8555</v>
      </c>
      <c r="AK76" s="185">
        <v>5985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2197</v>
      </c>
      <c r="AW76" s="185"/>
      <c r="AX76" s="185"/>
      <c r="AY76" s="185">
        <v>4405</v>
      </c>
      <c r="AZ76" s="185">
        <v>1439</v>
      </c>
      <c r="BA76" s="185">
        <v>1614</v>
      </c>
      <c r="BB76" s="185">
        <v>1115</v>
      </c>
      <c r="BC76" s="185"/>
      <c r="BD76" s="185">
        <v>245</v>
      </c>
      <c r="BE76" s="185"/>
      <c r="BF76" s="185">
        <v>722</v>
      </c>
      <c r="BG76" s="185"/>
      <c r="BH76" s="185"/>
      <c r="BI76" s="185"/>
      <c r="BJ76" s="185"/>
      <c r="BK76" s="185"/>
      <c r="BL76" s="185"/>
      <c r="BM76" s="185"/>
      <c r="BN76" s="185">
        <v>13331</v>
      </c>
      <c r="BO76" s="185"/>
      <c r="BP76" s="185"/>
      <c r="BQ76" s="185">
        <v>8392</v>
      </c>
      <c r="BR76" s="185">
        <v>472</v>
      </c>
      <c r="BS76" s="185"/>
      <c r="BT76" s="185"/>
      <c r="BU76" s="185"/>
      <c r="BV76" s="185">
        <v>2785</v>
      </c>
      <c r="BW76" s="185"/>
      <c r="BX76" s="185"/>
      <c r="BY76" s="185">
        <v>1166</v>
      </c>
      <c r="BZ76" s="185"/>
      <c r="CA76" s="185"/>
      <c r="CB76" s="185"/>
      <c r="CC76" s="185"/>
      <c r="CD76" s="249" t="s">
        <v>221</v>
      </c>
      <c r="CE76" s="195">
        <f t="shared" si="8"/>
        <v>83780</v>
      </c>
      <c r="CF76" s="195">
        <f>BE59-CE76</f>
        <v>4961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5173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26612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31785</v>
      </c>
      <c r="CF77" s="195">
        <f>AY59-CE77</f>
        <v>-26612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16219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3893</v>
      </c>
      <c r="Q78" s="184">
        <v>1410</v>
      </c>
      <c r="R78" s="184">
        <v>529</v>
      </c>
      <c r="S78" s="184"/>
      <c r="T78" s="184"/>
      <c r="U78" s="184">
        <v>461</v>
      </c>
      <c r="V78" s="184"/>
      <c r="W78" s="184"/>
      <c r="X78" s="184"/>
      <c r="Y78" s="184">
        <v>3221</v>
      </c>
      <c r="Z78" s="184"/>
      <c r="AA78" s="184"/>
      <c r="AB78" s="184">
        <v>300</v>
      </c>
      <c r="AC78" s="184">
        <v>103</v>
      </c>
      <c r="AD78" s="184"/>
      <c r="AE78" s="184">
        <v>5221</v>
      </c>
      <c r="AF78" s="184"/>
      <c r="AG78" s="184"/>
      <c r="AH78" s="184"/>
      <c r="AI78" s="184"/>
      <c r="AJ78" s="184">
        <v>8555</v>
      </c>
      <c r="AK78" s="184">
        <v>5985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2197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1115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49209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23512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16700</v>
      </c>
      <c r="Q79" s="184"/>
      <c r="R79" s="184"/>
      <c r="S79" s="184"/>
      <c r="T79" s="184"/>
      <c r="U79" s="184"/>
      <c r="V79" s="184"/>
      <c r="W79" s="184"/>
      <c r="X79" s="184"/>
      <c r="Y79" s="184">
        <v>2473</v>
      </c>
      <c r="Z79" s="184"/>
      <c r="AA79" s="184"/>
      <c r="AB79" s="184"/>
      <c r="AC79" s="184"/>
      <c r="AD79" s="184"/>
      <c r="AE79" s="184">
        <v>968</v>
      </c>
      <c r="AF79" s="184"/>
      <c r="AG79" s="184"/>
      <c r="AH79" s="184"/>
      <c r="AI79" s="184"/>
      <c r="AJ79" s="184">
        <v>7726</v>
      </c>
      <c r="AK79" s="184">
        <v>993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678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53050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17.11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8.4499999999999993</v>
      </c>
      <c r="Q80" s="187">
        <v>2.89</v>
      </c>
      <c r="R80" s="187">
        <v>3.85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>
        <v>8.81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41.11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1278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176</v>
      </c>
      <c r="D111" s="174">
        <v>838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30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>
        <v>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</v>
      </c>
      <c r="C138" s="189">
        <v>81</v>
      </c>
      <c r="D138" s="174">
        <v>94</v>
      </c>
      <c r="E138" s="175">
        <f>SUM(B138:D138)</f>
        <v>176</v>
      </c>
    </row>
    <row r="139" spans="1:6" ht="12.6" customHeight="1" x14ac:dyDescent="0.25">
      <c r="A139" s="173" t="s">
        <v>215</v>
      </c>
      <c r="B139" s="174">
        <v>2</v>
      </c>
      <c r="C139" s="189">
        <v>360</v>
      </c>
      <c r="D139" s="174">
        <v>476</v>
      </c>
      <c r="E139" s="175">
        <f>SUM(B139:D139)</f>
        <v>838</v>
      </c>
    </row>
    <row r="140" spans="1:6" ht="12.6" customHeight="1" x14ac:dyDescent="0.25">
      <c r="A140" s="173" t="s">
        <v>298</v>
      </c>
      <c r="B140" s="174">
        <v>7</v>
      </c>
      <c r="C140" s="174">
        <f>1213+4683+81+276+426</f>
        <v>6679</v>
      </c>
      <c r="D140" s="174">
        <f>1373+5446-1-6679-7</f>
        <v>132</v>
      </c>
      <c r="E140" s="175">
        <f>SUM(B140:D140)</f>
        <v>6818</v>
      </c>
    </row>
    <row r="141" spans="1:6" ht="12.6" customHeight="1" x14ac:dyDescent="0.25">
      <c r="A141" s="173" t="s">
        <v>245</v>
      </c>
      <c r="B141" s="174">
        <f>10398+39925</f>
        <v>50323</v>
      </c>
      <c r="C141" s="189">
        <f>164025+468586+1297586+4238372</f>
        <v>6168569</v>
      </c>
      <c r="D141" s="174">
        <f>13653112-6168569-50323</f>
        <v>7434220</v>
      </c>
      <c r="E141" s="175">
        <f>SUM(B141:D141)</f>
        <v>13653112</v>
      </c>
      <c r="F141" s="199"/>
    </row>
    <row r="142" spans="1:6" ht="12.6" customHeight="1" x14ac:dyDescent="0.25">
      <c r="A142" s="173" t="s">
        <v>246</v>
      </c>
      <c r="B142" s="174">
        <f>11689+53657-B141</f>
        <v>15023</v>
      </c>
      <c r="C142" s="189">
        <f>725098+2396444+3353193+11626037-C141</f>
        <v>11932203</v>
      </c>
      <c r="D142" s="174">
        <f>36460482-13653112-C142-B142</f>
        <v>10860144</v>
      </c>
      <c r="E142" s="175">
        <f>SUM(B142:D142)</f>
        <v>22807370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1416766+45062+1064470+725098+2396444+9987+11689+143221+250067+61491</f>
        <v>6124295</v>
      </c>
      <c r="C157" s="174">
        <v>4968842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850653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-8563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170686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18445+1433986-132863</f>
        <v>1319568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30344+10000</f>
        <v>40344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380000+420799</f>
        <v>800799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62762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3236249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27328+62340</f>
        <v>89668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89668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42157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70547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112704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2862934</v>
      </c>
      <c r="C195" s="189"/>
      <c r="D195" s="174"/>
      <c r="E195" s="175">
        <f t="shared" ref="E195:E203" si="10">SUM(B195:C195)-D195</f>
        <v>2862934</v>
      </c>
    </row>
    <row r="196" spans="1:8" ht="12.6" customHeight="1" x14ac:dyDescent="0.25">
      <c r="A196" s="173" t="s">
        <v>333</v>
      </c>
      <c r="B196" s="174">
        <v>206831</v>
      </c>
      <c r="C196" s="189"/>
      <c r="D196" s="174"/>
      <c r="E196" s="175">
        <f t="shared" si="10"/>
        <v>206831</v>
      </c>
    </row>
    <row r="197" spans="1:8" ht="12.6" customHeight="1" x14ac:dyDescent="0.25">
      <c r="A197" s="173" t="s">
        <v>334</v>
      </c>
      <c r="B197" s="174">
        <v>20250362</v>
      </c>
      <c r="C197" s="189"/>
      <c r="D197" s="174"/>
      <c r="E197" s="175">
        <f t="shared" si="10"/>
        <v>20250362</v>
      </c>
    </row>
    <row r="198" spans="1:8" ht="12.6" customHeight="1" x14ac:dyDescent="0.25">
      <c r="A198" s="173" t="s">
        <v>335</v>
      </c>
      <c r="B198" s="174">
        <v>1842567</v>
      </c>
      <c r="C198" s="189"/>
      <c r="D198" s="174"/>
      <c r="E198" s="175">
        <f t="shared" si="10"/>
        <v>1842567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7076028</v>
      </c>
      <c r="C200" s="189"/>
      <c r="D200" s="174"/>
      <c r="E200" s="175">
        <f t="shared" si="10"/>
        <v>7076028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50895</v>
      </c>
      <c r="C203" s="189"/>
      <c r="D203" s="174"/>
      <c r="E203" s="175">
        <f t="shared" si="10"/>
        <v>50895</v>
      </c>
    </row>
    <row r="204" spans="1:8" ht="12.6" customHeight="1" x14ac:dyDescent="0.25">
      <c r="A204" s="173" t="s">
        <v>203</v>
      </c>
      <c r="B204" s="175">
        <f>SUM(B195:B203)</f>
        <v>32289617</v>
      </c>
      <c r="C204" s="191">
        <f>SUM(C195:C203)</f>
        <v>0</v>
      </c>
      <c r="D204" s="175">
        <f>SUM(D195:D203)</f>
        <v>0</v>
      </c>
      <c r="E204" s="175">
        <f>SUM(E195:E203)</f>
        <v>32289617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153975</v>
      </c>
      <c r="C209" s="189"/>
      <c r="D209" s="174"/>
      <c r="E209" s="175">
        <f t="shared" ref="E209:E216" si="11">SUM(B209:C209)-D209</f>
        <v>153975</v>
      </c>
      <c r="H209" s="259"/>
    </row>
    <row r="210" spans="1:8" ht="12.6" customHeight="1" x14ac:dyDescent="0.25">
      <c r="A210" s="173" t="s">
        <v>334</v>
      </c>
      <c r="B210" s="174">
        <v>12980014</v>
      </c>
      <c r="C210" s="189"/>
      <c r="D210" s="174"/>
      <c r="E210" s="175">
        <f t="shared" si="11"/>
        <v>12980014</v>
      </c>
      <c r="H210" s="259"/>
    </row>
    <row r="211" spans="1:8" ht="12.6" customHeight="1" x14ac:dyDescent="0.25">
      <c r="A211" s="173" t="s">
        <v>335</v>
      </c>
      <c r="B211" s="174">
        <v>1756562</v>
      </c>
      <c r="C211" s="189"/>
      <c r="D211" s="174"/>
      <c r="E211" s="175">
        <f t="shared" si="11"/>
        <v>1756562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f>5630815-903344</f>
        <v>4727471</v>
      </c>
      <c r="C213" s="189"/>
      <c r="D213" s="174"/>
      <c r="E213" s="175">
        <f t="shared" si="11"/>
        <v>4727471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19618022</v>
      </c>
      <c r="C217" s="191">
        <f>SUM(C208:C216)</f>
        <v>0</v>
      </c>
      <c r="D217" s="175">
        <f>SUM(D208:D216)</f>
        <v>0</v>
      </c>
      <c r="E217" s="175">
        <f>SUM(E208:E216)</f>
        <v>19618022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0</v>
      </c>
      <c r="D221" s="172">
        <f>C221</f>
        <v>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-1860+1860+252</f>
        <v>252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-368728-261966+18780+298156+3019133+10417844</f>
        <v>13123219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6450+8957+554200</f>
        <v>569607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-836047-198928-530928+238194+160194+103954+6102655+163775+3580129+3463-2510</f>
        <v>8783951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22477029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494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0+99399+32606+1282156+172903</f>
        <v>1587064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-9987+250067+61491-71076+1951491+346031+4952-C233</f>
        <v>945905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2532969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118131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1339132</f>
        <v>1339132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1457263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26467261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241768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5831106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4199320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6939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1635582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316957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3833032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2862934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206831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20250362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1842567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7076028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50895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32289617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153975+12980014+1756562+5630815-903344</f>
        <v>19618022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12671595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16504627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36836+121669+200395</f>
        <v>358900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547734+1143648+41902</f>
        <v>1733284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742+3594</f>
        <v>4336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-31632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2064888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f>11036+928212</f>
        <v>939248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939248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13500491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16504627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16504627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13653112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22807370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36460482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D229</f>
        <v>22477029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D236</f>
        <v>2532969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D240</f>
        <v>1457263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26467261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9993221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1393736+641987-144463+159309+1602</f>
        <v>2052171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124151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2176322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12169543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13753459+13569</f>
        <v>13767028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2223473+1012776</f>
        <v>3236249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357613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3272719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437223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231521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965599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21075+61882</f>
        <v>82957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42157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1372405+1602</f>
        <v>1374007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23767073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-11597530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-11597530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-11597530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Shriners Hospitals for Children - Spokane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176</v>
      </c>
      <c r="C414" s="194">
        <f>E138</f>
        <v>176</v>
      </c>
      <c r="D414" s="179"/>
    </row>
    <row r="415" spans="1:5" ht="12.6" customHeight="1" x14ac:dyDescent="0.25">
      <c r="A415" s="179" t="s">
        <v>464</v>
      </c>
      <c r="B415" s="179">
        <f>D111</f>
        <v>838</v>
      </c>
      <c r="C415" s="179">
        <f>E139</f>
        <v>838</v>
      </c>
      <c r="D415" s="194">
        <f>SUM(C59:H59)+N59</f>
        <v>829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13767028</v>
      </c>
      <c r="C427" s="179">
        <f t="shared" ref="C427:C434" si="13">CE61</f>
        <v>12944004</v>
      </c>
      <c r="D427" s="179"/>
    </row>
    <row r="428" spans="1:7" ht="12.6" customHeight="1" x14ac:dyDescent="0.25">
      <c r="A428" s="179" t="s">
        <v>3</v>
      </c>
      <c r="B428" s="179">
        <f t="shared" si="12"/>
        <v>3236249</v>
      </c>
      <c r="C428" s="179">
        <f t="shared" si="13"/>
        <v>3236251</v>
      </c>
      <c r="D428" s="179">
        <f>D173</f>
        <v>3236249</v>
      </c>
    </row>
    <row r="429" spans="1:7" ht="12.6" customHeight="1" x14ac:dyDescent="0.25">
      <c r="A429" s="179" t="s">
        <v>236</v>
      </c>
      <c r="B429" s="179">
        <f t="shared" si="12"/>
        <v>357613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3272719</v>
      </c>
      <c r="C430" s="179">
        <f t="shared" si="13"/>
        <v>1</v>
      </c>
      <c r="D430" s="179"/>
    </row>
    <row r="431" spans="1:7" ht="12.6" customHeight="1" x14ac:dyDescent="0.25">
      <c r="A431" s="179" t="s">
        <v>444</v>
      </c>
      <c r="B431" s="179">
        <f t="shared" si="12"/>
        <v>437223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231521</v>
      </c>
      <c r="C432" s="179">
        <f t="shared" si="13"/>
        <v>0</v>
      </c>
      <c r="D432" s="179"/>
    </row>
    <row r="433" spans="1:7" ht="12.6" customHeight="1" x14ac:dyDescent="0.25">
      <c r="A433" s="179" t="s">
        <v>6</v>
      </c>
      <c r="B433" s="179">
        <f t="shared" si="12"/>
        <v>965599</v>
      </c>
      <c r="C433" s="179">
        <f t="shared" si="13"/>
        <v>911616</v>
      </c>
      <c r="D433" s="179">
        <f>C217</f>
        <v>0</v>
      </c>
    </row>
    <row r="434" spans="1:7" ht="12.6" customHeight="1" x14ac:dyDescent="0.25">
      <c r="A434" s="179" t="s">
        <v>474</v>
      </c>
      <c r="B434" s="179">
        <f t="shared" si="12"/>
        <v>82957</v>
      </c>
      <c r="C434" s="179">
        <f t="shared" si="13"/>
        <v>0</v>
      </c>
      <c r="D434" s="179">
        <f>D177</f>
        <v>89668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42157</v>
      </c>
      <c r="C436" s="179"/>
      <c r="D436" s="179">
        <f>D186</f>
        <v>112704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42157</v>
      </c>
      <c r="C438" s="194">
        <f>CD69</f>
        <v>0</v>
      </c>
      <c r="D438" s="194">
        <f>D181+D186+D190</f>
        <v>112704</v>
      </c>
    </row>
    <row r="439" spans="1:7" ht="12.6" customHeight="1" x14ac:dyDescent="0.25">
      <c r="A439" s="179" t="s">
        <v>451</v>
      </c>
      <c r="B439" s="194">
        <f>C389</f>
        <v>1374007</v>
      </c>
      <c r="C439" s="194">
        <f>SUM(C69:CC69)</f>
        <v>0</v>
      </c>
      <c r="D439" s="179"/>
    </row>
    <row r="440" spans="1:7" ht="12.6" customHeight="1" x14ac:dyDescent="0.25">
      <c r="A440" s="179" t="s">
        <v>477</v>
      </c>
      <c r="B440" s="194">
        <f>B438+B439</f>
        <v>1416164</v>
      </c>
      <c r="C440" s="194">
        <f>CE69</f>
        <v>0</v>
      </c>
      <c r="D440" s="179"/>
    </row>
    <row r="441" spans="1:7" ht="12.6" customHeight="1" x14ac:dyDescent="0.25">
      <c r="A441" s="179" t="s">
        <v>478</v>
      </c>
      <c r="B441" s="179">
        <f>D390</f>
        <v>23767073</v>
      </c>
      <c r="C441" s="179">
        <f>SUM(C427:C437)+C440</f>
        <v>17091872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22477029</v>
      </c>
      <c r="C445" s="179">
        <f>C364</f>
        <v>22477029</v>
      </c>
      <c r="D445" s="179"/>
    </row>
    <row r="446" spans="1:7" ht="12.6" customHeight="1" x14ac:dyDescent="0.25">
      <c r="A446" s="179" t="s">
        <v>351</v>
      </c>
      <c r="B446" s="179">
        <f>D236</f>
        <v>2532969</v>
      </c>
      <c r="C446" s="179">
        <f>C365</f>
        <v>2532969</v>
      </c>
      <c r="D446" s="179"/>
    </row>
    <row r="447" spans="1:7" ht="12.6" customHeight="1" x14ac:dyDescent="0.25">
      <c r="A447" s="179" t="s">
        <v>356</v>
      </c>
      <c r="B447" s="179">
        <f>D240</f>
        <v>1457263</v>
      </c>
      <c r="C447" s="179">
        <f>C366</f>
        <v>1457263</v>
      </c>
      <c r="D447" s="179"/>
    </row>
    <row r="448" spans="1:7" ht="12.6" customHeight="1" x14ac:dyDescent="0.25">
      <c r="A448" s="179" t="s">
        <v>358</v>
      </c>
      <c r="B448" s="179">
        <f>D242</f>
        <v>26467261</v>
      </c>
      <c r="C448" s="179">
        <f>D367</f>
        <v>26467261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494</v>
      </c>
    </row>
    <row r="454" spans="1:7" ht="12.6" customHeight="1" x14ac:dyDescent="0.25">
      <c r="A454" s="179" t="s">
        <v>168</v>
      </c>
      <c r="B454" s="179">
        <f>C233</f>
        <v>1587064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945905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2052171</v>
      </c>
      <c r="C458" s="194">
        <f>CE70</f>
        <v>2052171</v>
      </c>
      <c r="D458" s="194"/>
    </row>
    <row r="459" spans="1:7" ht="12.6" customHeight="1" x14ac:dyDescent="0.25">
      <c r="A459" s="179" t="s">
        <v>244</v>
      </c>
      <c r="B459" s="194">
        <f>C371</f>
        <v>124151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13653112</v>
      </c>
      <c r="C463" s="194">
        <f>CE73</f>
        <v>12178312</v>
      </c>
      <c r="D463" s="194">
        <f>E141+E147+E153</f>
        <v>13653112</v>
      </c>
    </row>
    <row r="464" spans="1:7" ht="12.6" customHeight="1" x14ac:dyDescent="0.25">
      <c r="A464" s="179" t="s">
        <v>246</v>
      </c>
      <c r="B464" s="194">
        <f>C360</f>
        <v>22807370</v>
      </c>
      <c r="C464" s="194">
        <f>CE74</f>
        <v>18177932</v>
      </c>
      <c r="D464" s="194">
        <f>E142+E148+E154</f>
        <v>22807370</v>
      </c>
    </row>
    <row r="465" spans="1:7" ht="12.6" customHeight="1" x14ac:dyDescent="0.25">
      <c r="A465" s="179" t="s">
        <v>247</v>
      </c>
      <c r="B465" s="194">
        <f>D361</f>
        <v>36460482</v>
      </c>
      <c r="C465" s="194">
        <f>CE75</f>
        <v>30356244</v>
      </c>
      <c r="D465" s="194">
        <f>D463+D464</f>
        <v>36460482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2862934</v>
      </c>
      <c r="C468" s="179">
        <f>E195</f>
        <v>2862934</v>
      </c>
      <c r="D468" s="179"/>
    </row>
    <row r="469" spans="1:7" ht="12.6" customHeight="1" x14ac:dyDescent="0.25">
      <c r="A469" s="179" t="s">
        <v>333</v>
      </c>
      <c r="B469" s="179">
        <f t="shared" si="14"/>
        <v>206831</v>
      </c>
      <c r="C469" s="179">
        <f>E196</f>
        <v>206831</v>
      </c>
      <c r="D469" s="179"/>
    </row>
    <row r="470" spans="1:7" ht="12.6" customHeight="1" x14ac:dyDescent="0.25">
      <c r="A470" s="179" t="s">
        <v>334</v>
      </c>
      <c r="B470" s="179">
        <f t="shared" si="14"/>
        <v>20250362</v>
      </c>
      <c r="C470" s="179">
        <f>E197</f>
        <v>20250362</v>
      </c>
      <c r="D470" s="179"/>
    </row>
    <row r="471" spans="1:7" ht="12.6" customHeight="1" x14ac:dyDescent="0.25">
      <c r="A471" s="179" t="s">
        <v>494</v>
      </c>
      <c r="B471" s="179">
        <f t="shared" si="14"/>
        <v>1842567</v>
      </c>
      <c r="C471" s="179">
        <f>E198</f>
        <v>1842567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7076028</v>
      </c>
      <c r="C473" s="179">
        <f>SUM(E200:E201)</f>
        <v>7076028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50895</v>
      </c>
      <c r="C475" s="179">
        <f>E203</f>
        <v>50895</v>
      </c>
      <c r="D475" s="179"/>
    </row>
    <row r="476" spans="1:7" ht="12.6" customHeight="1" x14ac:dyDescent="0.25">
      <c r="A476" s="179" t="s">
        <v>203</v>
      </c>
      <c r="B476" s="179">
        <f>D275</f>
        <v>32289617</v>
      </c>
      <c r="C476" s="179">
        <f>E204</f>
        <v>32289617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19618022</v>
      </c>
      <c r="C478" s="179">
        <f>E217</f>
        <v>19618022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16504627</v>
      </c>
    </row>
    <row r="482" spans="1:12" ht="12.6" customHeight="1" x14ac:dyDescent="0.25">
      <c r="A482" s="180" t="s">
        <v>499</v>
      </c>
      <c r="C482" s="180">
        <f>D339</f>
        <v>16504627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Shriners Hospitals for Children - Spokane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2137049</v>
      </c>
      <c r="C498" s="240">
        <f>E71</f>
        <v>2222229</v>
      </c>
      <c r="D498" s="240">
        <v>829</v>
      </c>
      <c r="E498" s="180">
        <f>E59</f>
        <v>829</v>
      </c>
      <c r="F498" s="263">
        <f t="shared" si="15"/>
        <v>2577.8636911942099</v>
      </c>
      <c r="G498" s="263">
        <f t="shared" si="15"/>
        <v>2680.6139927623644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715100</v>
      </c>
      <c r="C509" s="240">
        <f>P71</f>
        <v>2582873</v>
      </c>
      <c r="D509" s="240">
        <v>112860</v>
      </c>
      <c r="E509" s="180">
        <f>P59</f>
        <v>120720</v>
      </c>
      <c r="F509" s="263">
        <f t="shared" si="15"/>
        <v>6.336168704589757</v>
      </c>
      <c r="G509" s="263">
        <f t="shared" si="15"/>
        <v>21.395568257123923</v>
      </c>
      <c r="H509" s="265">
        <f t="shared" si="16"/>
        <v>2.3767358879863041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319375</v>
      </c>
      <c r="C510" s="240">
        <f>Q71</f>
        <v>347172</v>
      </c>
      <c r="D510" s="240">
        <v>39930</v>
      </c>
      <c r="E510" s="180">
        <f>Q59</f>
        <v>37740</v>
      </c>
      <c r="F510" s="263">
        <f t="shared" si="15"/>
        <v>7.9983721512647135</v>
      </c>
      <c r="G510" s="263">
        <f t="shared" si="15"/>
        <v>9.199046104928458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1834867</v>
      </c>
      <c r="D511" s="240">
        <v>0</v>
      </c>
      <c r="E511" s="180">
        <f>R59</f>
        <v>120480</v>
      </c>
      <c r="F511" s="263" t="str">
        <f t="shared" si="15"/>
        <v/>
      </c>
      <c r="G511" s="263">
        <f t="shared" si="15"/>
        <v>15.229639774236388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206789</v>
      </c>
      <c r="C514" s="240">
        <f>U71</f>
        <v>199450</v>
      </c>
      <c r="D514" s="240">
        <v>3577</v>
      </c>
      <c r="E514" s="180">
        <f>U59</f>
        <v>2140</v>
      </c>
      <c r="F514" s="263">
        <f t="shared" si="17"/>
        <v>57.810735253005312</v>
      </c>
      <c r="G514" s="263">
        <f t="shared" si="17"/>
        <v>93.200934579439249</v>
      </c>
      <c r="H514" s="265">
        <f t="shared" si="16"/>
        <v>0.61217348597195298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434633</v>
      </c>
      <c r="C518" s="240">
        <f>Y71</f>
        <v>443982</v>
      </c>
      <c r="D518" s="240">
        <v>7958</v>
      </c>
      <c r="E518" s="180">
        <f>Y59</f>
        <v>8807</v>
      </c>
      <c r="F518" s="263">
        <f t="shared" si="17"/>
        <v>54.615858255843179</v>
      </c>
      <c r="G518" s="263">
        <f t="shared" si="17"/>
        <v>50.412399227886908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0</v>
      </c>
      <c r="C521" s="240">
        <f>AB71</f>
        <v>337724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402854</v>
      </c>
      <c r="C522" s="240">
        <f>AC71</f>
        <v>395771</v>
      </c>
      <c r="D522" s="240">
        <v>901</v>
      </c>
      <c r="E522" s="180">
        <f>AC59</f>
        <v>1559</v>
      </c>
      <c r="F522" s="263">
        <f t="shared" si="17"/>
        <v>447.11875693673699</v>
      </c>
      <c r="G522" s="263">
        <f t="shared" si="17"/>
        <v>253.86209108402824</v>
      </c>
      <c r="H522" s="265">
        <f t="shared" si="16"/>
        <v>-0.43222670231222871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880134</v>
      </c>
      <c r="C524" s="240">
        <f>AE71</f>
        <v>528785</v>
      </c>
      <c r="D524" s="240">
        <v>6506</v>
      </c>
      <c r="E524" s="180">
        <f>AE59</f>
        <v>6480</v>
      </c>
      <c r="F524" s="263">
        <f t="shared" si="17"/>
        <v>135.2803565939133</v>
      </c>
      <c r="G524" s="263">
        <f t="shared" si="17"/>
        <v>81.602623456790127</v>
      </c>
      <c r="H524" s="265">
        <f t="shared" si="16"/>
        <v>-0.39678882055473752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792751</v>
      </c>
      <c r="C529" s="240">
        <f>AJ71</f>
        <v>846470</v>
      </c>
      <c r="D529" s="240">
        <v>9965</v>
      </c>
      <c r="E529" s="180">
        <f>AJ59</f>
        <v>9685</v>
      </c>
      <c r="F529" s="263">
        <f t="shared" si="18"/>
        <v>79.553537380832921</v>
      </c>
      <c r="G529" s="263">
        <f t="shared" si="18"/>
        <v>87.40010325245224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137856</v>
      </c>
      <c r="C530" s="240">
        <f>AK71</f>
        <v>438945</v>
      </c>
      <c r="D530" s="240">
        <v>997</v>
      </c>
      <c r="E530" s="180">
        <f>AK59</f>
        <v>1030</v>
      </c>
      <c r="F530" s="263">
        <f t="shared" si="18"/>
        <v>138.27081243731195</v>
      </c>
      <c r="G530" s="263">
        <f t="shared" si="18"/>
        <v>426.16019417475729</v>
      </c>
      <c r="H530" s="265">
        <f t="shared" si="16"/>
        <v>2.082069069117289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23906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50384</v>
      </c>
      <c r="C544" s="240">
        <f>AY71</f>
        <v>521060</v>
      </c>
      <c r="D544" s="240">
        <v>5276</v>
      </c>
      <c r="E544" s="180">
        <f>AY59</f>
        <v>5173</v>
      </c>
      <c r="F544" s="263">
        <f t="shared" ref="F544:G550" si="19">IF(B544=0,"",IF(D544=0,"",B544/D544))</f>
        <v>9.5496588324488254</v>
      </c>
      <c r="G544" s="263">
        <f t="shared" si="19"/>
        <v>100.72685095689155</v>
      </c>
      <c r="H544" s="265">
        <f t="shared" si="16"/>
        <v>9.5476910457399136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495784</v>
      </c>
      <c r="C545" s="240">
        <f>AZ71</f>
        <v>15658</v>
      </c>
      <c r="D545" s="240">
        <v>19758</v>
      </c>
      <c r="E545" s="180">
        <f>AZ59</f>
        <v>26612</v>
      </c>
      <c r="F545" s="263">
        <f t="shared" si="19"/>
        <v>25.09282316023889</v>
      </c>
      <c r="G545" s="263">
        <f t="shared" si="19"/>
        <v>0.58838118142191498</v>
      </c>
      <c r="H545" s="265">
        <f t="shared" si="16"/>
        <v>-0.97655181413169001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97750</v>
      </c>
      <c r="C546" s="240">
        <f>BA71</f>
        <v>96874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632667</v>
      </c>
      <c r="C547" s="240">
        <f>BB71</f>
        <v>711105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173755</v>
      </c>
      <c r="C549" s="240">
        <f>BD71</f>
        <v>148446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668759</v>
      </c>
      <c r="C550" s="240">
        <f>BE71</f>
        <v>0</v>
      </c>
      <c r="D550" s="240">
        <v>88741</v>
      </c>
      <c r="E550" s="180">
        <f>BE59</f>
        <v>88741</v>
      </c>
      <c r="F550" s="263">
        <f t="shared" si="19"/>
        <v>7.5360768979389459</v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364894</v>
      </c>
      <c r="C551" s="240">
        <f>BF71</f>
        <v>367754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342800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457773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150168</v>
      </c>
      <c r="C559" s="240">
        <f>BN71</f>
        <v>3271681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581649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160377</v>
      </c>
      <c r="C563" s="240">
        <f>BR71</f>
        <v>236027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280236</v>
      </c>
      <c r="C567" s="240">
        <f>BV71</f>
        <v>273899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224004</v>
      </c>
      <c r="C570" s="240">
        <f>BY71</f>
        <v>665545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12125662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-173431</v>
      </c>
      <c r="C575" s="240">
        <f>CD71</f>
        <v>-2052171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83780</v>
      </c>
      <c r="E612" s="180">
        <f>SUM(C624:D647)+SUM(C668:D713)</f>
        <v>11718470.67334686</v>
      </c>
      <c r="F612" s="180">
        <f>CE64-(AX64+BD64+BE64+BG64+BJ64+BN64+BP64+BQ64+CB64+CC64+CD64)</f>
        <v>1</v>
      </c>
      <c r="G612" s="180">
        <f>CE77-(AX77+AY77+BD77+BE77+BG77+BJ77+BN77+BP77+BQ77+CB77+CC77+CD77)</f>
        <v>31785</v>
      </c>
      <c r="H612" s="197">
        <f>CE60-(AX60+AY60+AZ60+BD60+BE60+BG60+BJ60+BN60+BO60+BP60+BQ60+BR60+CB60+CC60+CD60)</f>
        <v>80.649999999999977</v>
      </c>
      <c r="I612" s="180">
        <f>CE78-(AX78+AY78+AZ78+BD78+BE78+BF78+BG78+BJ78+BN78+BO78+BP78+BQ78+BR78+CB78+CC78+CD78)</f>
        <v>49209</v>
      </c>
      <c r="J612" s="180">
        <f>CE79-(AX79+AY79+AZ79+BA79+BD79+BE79+BF79+BG79+BJ79+BN79+BO79+BP79+BQ79+BR79+CB79+CC79+CD79)</f>
        <v>53050</v>
      </c>
      <c r="K612" s="180">
        <f>CE75-(AW75+AX75+AY75+AZ75+BA75+BB75+BC75+BD75+BE75+BF75+BG75+BH75+BI75+BJ75+BK75+BL75+BM75+BN75+BO75+BP75+BQ75+BR75+BS75+BT75+BU75+BV75+BW75+BX75+CB75+CC75+CD75)</f>
        <v>30356244</v>
      </c>
      <c r="L612" s="197">
        <f>CE80-(AW80+AX80+AY80+AZ80+BA80+BB80+BC80+BD80+BE80+BF80+BG80+BH80+BI80+BJ80+BK80+BL80+BM80+BN80+BO80+BP80+BQ80+BR80+BS80+BT80+BU80+BV80+BW80+BX80+BY80+BZ80+CA80+CB80+CC80+CD80)</f>
        <v>41.11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-2052171</v>
      </c>
      <c r="D615" s="266">
        <f>SUM(C614:C615)</f>
        <v>-2052171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3271681</v>
      </c>
      <c r="D619" s="180">
        <f>(D615/D612)*BN76</f>
        <v>-326539.64670565765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581649</v>
      </c>
      <c r="D623" s="180">
        <f>(D615/D612)*BQ76</f>
        <v>-205560.02664120315</v>
      </c>
      <c r="E623" s="180">
        <f>SUM(C616:D623)</f>
        <v>3321230.3266531392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148446</v>
      </c>
      <c r="D624" s="180">
        <f>(D615/D612)*BD76</f>
        <v>-6001.2162210551442</v>
      </c>
      <c r="E624" s="180">
        <f>(E623/E612)*SUM(C624:D624)</f>
        <v>40371.474140922444</v>
      </c>
      <c r="F624" s="180">
        <f>SUM(C624:E624)</f>
        <v>182816.25791986732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521060</v>
      </c>
      <c r="D625" s="180">
        <f>(D615/D612)*AY76</f>
        <v>-107899.4181785629</v>
      </c>
      <c r="E625" s="180">
        <f>(E623/E612)*SUM(C625:D625)</f>
        <v>117097.31520206161</v>
      </c>
      <c r="F625" s="180">
        <f>(F624/F612)*AY64</f>
        <v>0</v>
      </c>
      <c r="G625" s="180">
        <f>SUM(C625:F625)</f>
        <v>530257.89702349878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236027</v>
      </c>
      <c r="D626" s="180">
        <f>(D615/D612)*BR76</f>
        <v>-11561.52676056338</v>
      </c>
      <c r="E626" s="180">
        <f>(E623/E612)*SUM(C626:D626)</f>
        <v>63617.647540389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15658</v>
      </c>
      <c r="D628" s="180">
        <f>(D615/D612)*AZ76</f>
        <v>-35247.959763666746</v>
      </c>
      <c r="E628" s="180">
        <f>(E623/E612)*SUM(C628:D628)</f>
        <v>-5552.155249488922</v>
      </c>
      <c r="F628" s="180">
        <f>(F624/F612)*AZ64</f>
        <v>0</v>
      </c>
      <c r="G628" s="180">
        <f>(G625/G612)*AZ77</f>
        <v>443958.57025607518</v>
      </c>
      <c r="H628" s="180">
        <f>SUM(C626:G628)</f>
        <v>706899.57602274511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367754</v>
      </c>
      <c r="D629" s="180">
        <f>(D615/D612)*BF76</f>
        <v>-17685.216782048221</v>
      </c>
      <c r="E629" s="180">
        <f>(E623/E612)*SUM(C629:D629)</f>
        <v>99215.937953613786</v>
      </c>
      <c r="F629" s="180">
        <f>(F624/F612)*BF64</f>
        <v>0</v>
      </c>
      <c r="G629" s="180">
        <f>(G625/G612)*BF77</f>
        <v>0</v>
      </c>
      <c r="H629" s="180">
        <f>(H628/H612)*BF60</f>
        <v>63283.508231670443</v>
      </c>
      <c r="I629" s="180">
        <f>SUM(C629:H629)</f>
        <v>512568.22940323601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96874</v>
      </c>
      <c r="D630" s="180">
        <f>(D615/D612)*BA76</f>
        <v>-39534.542778706134</v>
      </c>
      <c r="E630" s="180">
        <f>(E623/E612)*SUM(C630:D630)</f>
        <v>16251.057799746279</v>
      </c>
      <c r="F630" s="180">
        <f>(F624/F612)*BA64</f>
        <v>0</v>
      </c>
      <c r="G630" s="180">
        <f>(G625/G612)*BA77</f>
        <v>0</v>
      </c>
      <c r="H630" s="180">
        <f>(H628/H612)*BA60</f>
        <v>17267.106816674623</v>
      </c>
      <c r="I630" s="180">
        <f>(I629/I612)*BA78</f>
        <v>0</v>
      </c>
      <c r="J630" s="180">
        <f>SUM(C630:I630)</f>
        <v>90857.621837714774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711105</v>
      </c>
      <c r="D632" s="180">
        <f>(D615/D612)*BB76</f>
        <v>-27311.657495822394</v>
      </c>
      <c r="E632" s="180">
        <f>(E623/E612)*SUM(C632:D632)</f>
        <v>193799.62194672381</v>
      </c>
      <c r="F632" s="180">
        <f>(F624/F612)*BB64</f>
        <v>0</v>
      </c>
      <c r="G632" s="180">
        <f>(G625/G612)*BB77</f>
        <v>0</v>
      </c>
      <c r="H632" s="180">
        <f>(H628/H612)*BB60</f>
        <v>56183.834870499661</v>
      </c>
      <c r="I632" s="180">
        <f>(I629/I612)*BB78</f>
        <v>11614.005075994395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273899</v>
      </c>
      <c r="D642" s="180">
        <f>(D615/D612)*BV76</f>
        <v>-68217.906839341129</v>
      </c>
      <c r="E642" s="180">
        <f>(E623/E612)*SUM(C642:D642)</f>
        <v>58293.808404373347</v>
      </c>
      <c r="F642" s="180">
        <f>(F624/F612)*BV64</f>
        <v>0</v>
      </c>
      <c r="G642" s="180">
        <f>(G625/G612)*BV77</f>
        <v>0</v>
      </c>
      <c r="H642" s="180">
        <f>(H628/H612)*BV60</f>
        <v>22438.473832836058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1231804.1797952636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665545</v>
      </c>
      <c r="D645" s="180">
        <f>(D615/D612)*BY76</f>
        <v>-28560.890260205299</v>
      </c>
      <c r="E645" s="180">
        <f>(E623/E612)*SUM(C645:D645)</f>
        <v>180533.02362020066</v>
      </c>
      <c r="F645" s="180">
        <f>(F624/F612)*BY64</f>
        <v>0</v>
      </c>
      <c r="G645" s="180">
        <f>(G625/G612)*BY77</f>
        <v>0</v>
      </c>
      <c r="H645" s="180">
        <f>(H628/H612)*BY60</f>
        <v>29625.797482416358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847142.93084241182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4837527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2222229</v>
      </c>
      <c r="D670" s="180">
        <f>(D615/D612)*E76</f>
        <v>-397280.51383385056</v>
      </c>
      <c r="E670" s="180">
        <f>(E623/E612)*SUM(C670:D670)</f>
        <v>517223.99840282876</v>
      </c>
      <c r="F670" s="180">
        <f>(F624/F612)*E64</f>
        <v>182816.25791986732</v>
      </c>
      <c r="G670" s="180">
        <f>(G625/G612)*E77</f>
        <v>86299.326767423612</v>
      </c>
      <c r="H670" s="180">
        <f>(H628/H612)*E60</f>
        <v>149969.64346868161</v>
      </c>
      <c r="I670" s="180">
        <f>(I629/I612)*E78</f>
        <v>168939.50522650502</v>
      </c>
      <c r="J670" s="180">
        <f>(J630/J612)*E79</f>
        <v>40268.509041439203</v>
      </c>
      <c r="K670" s="180">
        <f>(K644/K612)*E75</f>
        <v>79167.454000605052</v>
      </c>
      <c r="L670" s="180">
        <f>(L647/L612)*E80</f>
        <v>352581.25873786584</v>
      </c>
      <c r="M670" s="180">
        <f t="shared" si="20"/>
        <v>1179985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2582873</v>
      </c>
      <c r="D681" s="180">
        <f>(D615/D612)*P76</f>
        <v>-95358.101014561951</v>
      </c>
      <c r="E681" s="180">
        <f>(E623/E612)*SUM(C681:D681)</f>
        <v>705007.51768766379</v>
      </c>
      <c r="F681" s="180">
        <f>(F624/F612)*P64</f>
        <v>0</v>
      </c>
      <c r="G681" s="180">
        <f>(G625/G612)*P77</f>
        <v>0</v>
      </c>
      <c r="H681" s="180">
        <f>(H628/H612)*P60</f>
        <v>74064.493706040885</v>
      </c>
      <c r="I681" s="180">
        <f>(I629/I612)*P78</f>
        <v>40550.064359503303</v>
      </c>
      <c r="J681" s="180">
        <f>(J630/J612)*P79</f>
        <v>28601.73957945027</v>
      </c>
      <c r="K681" s="180">
        <f>(K644/K612)*P75</f>
        <v>385400.82034166122</v>
      </c>
      <c r="L681" s="180">
        <f>(L647/L612)*P80</f>
        <v>174126.92205347554</v>
      </c>
      <c r="M681" s="180">
        <f t="shared" si="20"/>
        <v>1312393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347172</v>
      </c>
      <c r="D682" s="180">
        <f>(D615/D612)*Q76</f>
        <v>-34537.611721174508</v>
      </c>
      <c r="E682" s="180">
        <f>(E623/E612)*SUM(C682:D682)</f>
        <v>88606.341258157947</v>
      </c>
      <c r="F682" s="180">
        <f>(F624/F612)*Q64</f>
        <v>0</v>
      </c>
      <c r="G682" s="180">
        <f>(G625/G612)*Q77</f>
        <v>0</v>
      </c>
      <c r="H682" s="180">
        <f>(H628/H612)*Q60</f>
        <v>25330.933350350082</v>
      </c>
      <c r="I682" s="180">
        <f>(I629/I612)*Q78</f>
        <v>14686.768750809057</v>
      </c>
      <c r="J682" s="180">
        <f>(J630/J612)*Q79</f>
        <v>0</v>
      </c>
      <c r="K682" s="180">
        <f>(K644/K612)*Q75</f>
        <v>38617.578434003102</v>
      </c>
      <c r="L682" s="180">
        <f>(L647/L612)*Q80</f>
        <v>59553.468015922408</v>
      </c>
      <c r="M682" s="180">
        <f t="shared" si="20"/>
        <v>192257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1834867</v>
      </c>
      <c r="D683" s="180">
        <f>(D615/D612)*R76</f>
        <v>-12957.728085461924</v>
      </c>
      <c r="E683" s="180">
        <f>(E623/E612)*SUM(C683:D683)</f>
        <v>516362.62913178501</v>
      </c>
      <c r="F683" s="180">
        <f>(F624/F612)*R64</f>
        <v>0</v>
      </c>
      <c r="G683" s="180">
        <f>(G625/G612)*R77</f>
        <v>0</v>
      </c>
      <c r="H683" s="180">
        <f>(H628/H612)*R60</f>
        <v>33745.361037663606</v>
      </c>
      <c r="I683" s="180">
        <f>(I629/I612)*R78</f>
        <v>5510.1423185659505</v>
      </c>
      <c r="J683" s="180">
        <f>(J630/J612)*R79</f>
        <v>0</v>
      </c>
      <c r="K683" s="180">
        <f>(K644/K612)*R75</f>
        <v>137068.31820240166</v>
      </c>
      <c r="L683" s="180">
        <f>(L647/L612)*R80</f>
        <v>79335.934900104243</v>
      </c>
      <c r="M683" s="180">
        <f t="shared" si="20"/>
        <v>759065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206811.99410637812</v>
      </c>
      <c r="L684" s="180">
        <f>(L647/L612)*S80</f>
        <v>0</v>
      </c>
      <c r="M684" s="180">
        <f t="shared" si="20"/>
        <v>206812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199450</v>
      </c>
      <c r="D686" s="180">
        <f>(D615/D612)*U76</f>
        <v>-11292.084399618047</v>
      </c>
      <c r="E686" s="180">
        <f>(E623/E612)*SUM(C686:D686)</f>
        <v>53327.417280923306</v>
      </c>
      <c r="F686" s="180">
        <f>(F624/F612)*U64</f>
        <v>0</v>
      </c>
      <c r="G686" s="180">
        <f>(G625/G612)*U77</f>
        <v>0</v>
      </c>
      <c r="H686" s="180">
        <f>(H628/H612)*U60</f>
        <v>14111.696433932053</v>
      </c>
      <c r="I686" s="180">
        <f>(I629/I612)*U78</f>
        <v>4801.8442511510457</v>
      </c>
      <c r="J686" s="180">
        <f>(J630/J612)*U79</f>
        <v>0</v>
      </c>
      <c r="K686" s="180">
        <f>(K644/K612)*U75</f>
        <v>6907.031991963524</v>
      </c>
      <c r="L686" s="180">
        <f>(L647/L612)*U80</f>
        <v>0</v>
      </c>
      <c r="M686" s="180">
        <f t="shared" si="20"/>
        <v>67856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443982</v>
      </c>
      <c r="D690" s="180">
        <f>(D615/D612)*Y76</f>
        <v>-78897.622236810697</v>
      </c>
      <c r="E690" s="180">
        <f>(E623/E612)*SUM(C690:D690)</f>
        <v>103471.63388583112</v>
      </c>
      <c r="F690" s="180">
        <f>(F624/F612)*Y64</f>
        <v>0</v>
      </c>
      <c r="G690" s="180">
        <f>(G625/G612)*Y77</f>
        <v>0</v>
      </c>
      <c r="H690" s="180">
        <f>(H628/H612)*Y60</f>
        <v>34797.164498577797</v>
      </c>
      <c r="I690" s="180">
        <f>(I629/I612)*Y78</f>
        <v>33550.412869756008</v>
      </c>
      <c r="J690" s="180">
        <f>(J630/J612)*Y79</f>
        <v>4235.4552083820672</v>
      </c>
      <c r="K690" s="180">
        <f>(K644/K612)*Y75</f>
        <v>112252.71142477746</v>
      </c>
      <c r="L690" s="180">
        <f>(L647/L612)*Y80</f>
        <v>0</v>
      </c>
      <c r="M690" s="180">
        <f t="shared" si="20"/>
        <v>209410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337724</v>
      </c>
      <c r="D693" s="180">
        <f>(D615/D612)*AB76</f>
        <v>-7348.42802578181</v>
      </c>
      <c r="E693" s="180">
        <f>(E623/E612)*SUM(C693:D693)</f>
        <v>93634.519333807286</v>
      </c>
      <c r="F693" s="180">
        <f>(F624/F612)*AB64</f>
        <v>0</v>
      </c>
      <c r="G693" s="180">
        <f>(G625/G612)*AB77</f>
        <v>0</v>
      </c>
      <c r="H693" s="180">
        <f>(H628/H612)*AB60</f>
        <v>14374.647299160599</v>
      </c>
      <c r="I693" s="180">
        <f>(I629/I612)*AB78</f>
        <v>3124.8444150657565</v>
      </c>
      <c r="J693" s="180">
        <f>(J630/J612)*AB79</f>
        <v>0</v>
      </c>
      <c r="K693" s="180">
        <f>(K644/K612)*AB75</f>
        <v>84230.243728357134</v>
      </c>
      <c r="L693" s="180">
        <f>(L647/L612)*AB80</f>
        <v>0</v>
      </c>
      <c r="M693" s="180">
        <f t="shared" si="20"/>
        <v>188016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395771</v>
      </c>
      <c r="D694" s="180">
        <f>(D615/D612)*AC76</f>
        <v>-2522.9602888517547</v>
      </c>
      <c r="E694" s="180">
        <f>(E623/E612)*SUM(C694:D694)</f>
        <v>111453.73417677748</v>
      </c>
      <c r="F694" s="180">
        <f>(F624/F612)*AC64</f>
        <v>0</v>
      </c>
      <c r="G694" s="180">
        <f>(G625/G612)*AC77</f>
        <v>0</v>
      </c>
      <c r="H694" s="180">
        <f>(H628/H612)*AC60</f>
        <v>28486.343733092654</v>
      </c>
      <c r="I694" s="180">
        <f>(I629/I612)*AC78</f>
        <v>1072.8632491725764</v>
      </c>
      <c r="J694" s="180">
        <f>(J630/J612)*AC79</f>
        <v>0</v>
      </c>
      <c r="K694" s="180">
        <f>(K644/K612)*AC75</f>
        <v>15801.506999539006</v>
      </c>
      <c r="L694" s="180">
        <f>(L647/L612)*AC80</f>
        <v>0</v>
      </c>
      <c r="M694" s="180">
        <f t="shared" si="20"/>
        <v>154291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528785</v>
      </c>
      <c r="D696" s="180">
        <f>(D615/D612)*AE76</f>
        <v>-127887.14240868943</v>
      </c>
      <c r="E696" s="180">
        <f>(E623/E612)*SUM(C696:D696)</f>
        <v>113621.83339767285</v>
      </c>
      <c r="F696" s="180">
        <f>(F624/F612)*AE64</f>
        <v>0</v>
      </c>
      <c r="G696" s="180">
        <f>(G625/G612)*AE77</f>
        <v>0</v>
      </c>
      <c r="H696" s="180">
        <f>(H628/H612)*AE60</f>
        <v>35498.366805853919</v>
      </c>
      <c r="I696" s="180">
        <f>(I629/I612)*AE78</f>
        <v>54382.708970194384</v>
      </c>
      <c r="J696" s="180">
        <f>(J630/J612)*AE79</f>
        <v>1657.8732881980754</v>
      </c>
      <c r="K696" s="180">
        <f>(K644/K612)*AE75</f>
        <v>41950.678383008089</v>
      </c>
      <c r="L696" s="180">
        <f>(L647/L612)*AE80</f>
        <v>0</v>
      </c>
      <c r="M696" s="180">
        <f t="shared" si="20"/>
        <v>119224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846470</v>
      </c>
      <c r="D701" s="180">
        <f>(D615/D612)*AJ76</f>
        <v>-209552.67253521128</v>
      </c>
      <c r="E701" s="180">
        <f>(E623/E612)*SUM(C701:D701)</f>
        <v>180514.09629399781</v>
      </c>
      <c r="F701" s="180">
        <f>(F624/F612)*AJ64</f>
        <v>0</v>
      </c>
      <c r="G701" s="180">
        <f>(G625/G612)*AJ77</f>
        <v>0</v>
      </c>
      <c r="H701" s="180">
        <f>(H628/H612)*AJ60</f>
        <v>77219.904088783471</v>
      </c>
      <c r="I701" s="180">
        <f>(I629/I612)*AJ78</f>
        <v>89110.146569625154</v>
      </c>
      <c r="J701" s="180">
        <f>(J630/J612)*AJ79</f>
        <v>13232.158083283401</v>
      </c>
      <c r="K701" s="180">
        <f>(K644/K612)*AJ75</f>
        <v>116123.10838406702</v>
      </c>
      <c r="L701" s="180">
        <f>(L647/L612)*AJ80</f>
        <v>181545.34713504373</v>
      </c>
      <c r="M701" s="180">
        <f t="shared" si="20"/>
        <v>448192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438945</v>
      </c>
      <c r="D702" s="180">
        <f>(D615/D612)*AK76</f>
        <v>-146601.13911434711</v>
      </c>
      <c r="E702" s="180">
        <f>(E623/E612)*SUM(C702:D702)</f>
        <v>82855.632244970286</v>
      </c>
      <c r="F702" s="180">
        <f>(F624/F612)*AK64</f>
        <v>0</v>
      </c>
      <c r="G702" s="180">
        <f>(G625/G612)*AK77</f>
        <v>0</v>
      </c>
      <c r="H702" s="180">
        <f>(H628/H612)*AK60</f>
        <v>30502.300366511517</v>
      </c>
      <c r="I702" s="180">
        <f>(I629/I612)*AK78</f>
        <v>62340.646080561841</v>
      </c>
      <c r="J702" s="180">
        <f>(J630/J612)*AK79</f>
        <v>1700.6902636164143</v>
      </c>
      <c r="K702" s="180">
        <f>(K644/K612)*AK75</f>
        <v>7472.7337985020986</v>
      </c>
      <c r="L702" s="180">
        <f>(L647/L612)*AK80</f>
        <v>0</v>
      </c>
      <c r="M702" s="180">
        <f t="shared" si="20"/>
        <v>38271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23906</v>
      </c>
      <c r="D713" s="180">
        <f>(D615/D612)*AV76</f>
        <v>-53814.987908808784</v>
      </c>
      <c r="E713" s="180">
        <f>(E623/E612)*SUM(C713:D713)</f>
        <v>-8476.757799818537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22884.277266331555</v>
      </c>
      <c r="J713" s="180">
        <f>(J630/J612)*AV79</f>
        <v>1161.1963733453463</v>
      </c>
      <c r="K713" s="180">
        <f>(K644/K612)*AV75</f>
        <v>0</v>
      </c>
      <c r="L713" s="180">
        <f>(L647/L612)*AV80</f>
        <v>0</v>
      </c>
      <c r="M713" s="180">
        <f t="shared" si="20"/>
        <v>-38246</v>
      </c>
      <c r="N713" s="199" t="s">
        <v>741</v>
      </c>
    </row>
    <row r="715" spans="1:83" ht="12.6" customHeight="1" x14ac:dyDescent="0.25">
      <c r="C715" s="180">
        <f>SUM(C614:C647)+SUM(C668:C713)</f>
        <v>15039701</v>
      </c>
      <c r="D715" s="180">
        <f>SUM(D616:D647)+SUM(D668:D713)</f>
        <v>-2052171</v>
      </c>
      <c r="E715" s="180">
        <f>SUM(E624:E647)+SUM(E668:E713)</f>
        <v>3321230.3266531392</v>
      </c>
      <c r="F715" s="180">
        <f>SUM(F625:F648)+SUM(F668:F713)</f>
        <v>182816.25791986732</v>
      </c>
      <c r="G715" s="180">
        <f>SUM(G626:G647)+SUM(G668:G713)</f>
        <v>530257.89702349878</v>
      </c>
      <c r="H715" s="180">
        <f>SUM(H629:H647)+SUM(H668:H713)</f>
        <v>706899.57602274534</v>
      </c>
      <c r="I715" s="180">
        <f>SUM(I630:I647)+SUM(I668:I713)</f>
        <v>512568.22940323607</v>
      </c>
      <c r="J715" s="180">
        <f>SUM(J631:J647)+SUM(J668:J713)</f>
        <v>90857.621837714774</v>
      </c>
      <c r="K715" s="180">
        <f>SUM(K668:K713)</f>
        <v>1231804.1797952633</v>
      </c>
      <c r="L715" s="180">
        <f>SUM(L668:L713)</f>
        <v>847142.9308424117</v>
      </c>
      <c r="M715" s="180">
        <f>SUM(M668:M713)</f>
        <v>4837526</v>
      </c>
      <c r="N715" s="198" t="s">
        <v>742</v>
      </c>
    </row>
    <row r="716" spans="1:83" ht="12.6" customHeight="1" x14ac:dyDescent="0.25">
      <c r="C716" s="180">
        <f>CE71</f>
        <v>15039701</v>
      </c>
      <c r="D716" s="180">
        <f>D615</f>
        <v>-2052171</v>
      </c>
      <c r="E716" s="180">
        <f>E623</f>
        <v>3321230.3266531392</v>
      </c>
      <c r="F716" s="180">
        <f>F624</f>
        <v>182816.25791986732</v>
      </c>
      <c r="G716" s="180">
        <f>G625</f>
        <v>530257.89702349878</v>
      </c>
      <c r="H716" s="180">
        <f>H628</f>
        <v>706899.57602274511</v>
      </c>
      <c r="I716" s="180">
        <f>I629</f>
        <v>512568.22940323601</v>
      </c>
      <c r="J716" s="180">
        <f>J630</f>
        <v>90857.621837714774</v>
      </c>
      <c r="K716" s="180">
        <f>K644</f>
        <v>1231804.1797952636</v>
      </c>
      <c r="L716" s="180">
        <f>L647</f>
        <v>847142.93084241182</v>
      </c>
      <c r="M716" s="180">
        <f>C648</f>
        <v>4837527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042*2017*A</v>
      </c>
      <c r="B722" s="275">
        <f>ROUND(C165,0)</f>
        <v>850653</v>
      </c>
      <c r="C722" s="275">
        <f>ROUND(C166,0)</f>
        <v>-8563</v>
      </c>
      <c r="D722" s="275">
        <f>ROUND(C167,0)</f>
        <v>170686</v>
      </c>
      <c r="E722" s="275">
        <f>ROUND(C168,0)</f>
        <v>1319568</v>
      </c>
      <c r="F722" s="275">
        <f>ROUND(C169,0)</f>
        <v>40344</v>
      </c>
      <c r="G722" s="275">
        <f>ROUND(C170,0)</f>
        <v>800799</v>
      </c>
      <c r="H722" s="275">
        <f>ROUND(C171+C172,0)</f>
        <v>62762</v>
      </c>
      <c r="I722" s="275">
        <f>ROUND(C175,0)</f>
        <v>0</v>
      </c>
      <c r="J722" s="275">
        <f>ROUND(C176,0)</f>
        <v>89668</v>
      </c>
      <c r="K722" s="275">
        <f>ROUND(C179,0)</f>
        <v>0</v>
      </c>
      <c r="L722" s="275">
        <f>ROUND(C180,0)</f>
        <v>0</v>
      </c>
      <c r="M722" s="275">
        <f>ROUND(C183,0)</f>
        <v>42157</v>
      </c>
      <c r="N722" s="275">
        <f>ROUND(C184,0)</f>
        <v>70547</v>
      </c>
      <c r="O722" s="275">
        <f>ROUND(C185,0)</f>
        <v>0</v>
      </c>
      <c r="P722" s="275">
        <f>ROUND(C188,0)</f>
        <v>0</v>
      </c>
      <c r="Q722" s="275">
        <f>ROUND(C189,0)</f>
        <v>0</v>
      </c>
      <c r="R722" s="275">
        <f>ROUND(B195,0)</f>
        <v>2862934</v>
      </c>
      <c r="S722" s="275">
        <f>ROUND(C195,0)</f>
        <v>0</v>
      </c>
      <c r="T722" s="275">
        <f>ROUND(D195,0)</f>
        <v>0</v>
      </c>
      <c r="U722" s="275">
        <f>ROUND(B196,0)</f>
        <v>206831</v>
      </c>
      <c r="V722" s="275">
        <f>ROUND(C196,0)</f>
        <v>0</v>
      </c>
      <c r="W722" s="275">
        <f>ROUND(D196,0)</f>
        <v>0</v>
      </c>
      <c r="X722" s="275">
        <f>ROUND(B197,0)</f>
        <v>20250362</v>
      </c>
      <c r="Y722" s="275">
        <f>ROUND(C197,0)</f>
        <v>0</v>
      </c>
      <c r="Z722" s="275">
        <f>ROUND(D197,0)</f>
        <v>0</v>
      </c>
      <c r="AA722" s="275">
        <f>ROUND(B198,0)</f>
        <v>1842567</v>
      </c>
      <c r="AB722" s="275">
        <f>ROUND(C198,0)</f>
        <v>0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7076028</v>
      </c>
      <c r="AH722" s="275">
        <f>ROUND(C200,0)</f>
        <v>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50895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153975</v>
      </c>
      <c r="AW722" s="275">
        <f>ROUND(C209,0)</f>
        <v>0</v>
      </c>
      <c r="AX722" s="275">
        <f>ROUND(D209,0)</f>
        <v>0</v>
      </c>
      <c r="AY722" s="275">
        <f>ROUND(B210,0)</f>
        <v>12980014</v>
      </c>
      <c r="AZ722" s="275">
        <f>ROUND(C210,0)</f>
        <v>0</v>
      </c>
      <c r="BA722" s="275">
        <f>ROUND(D210,0)</f>
        <v>0</v>
      </c>
      <c r="BB722" s="275">
        <f>ROUND(B211,0)</f>
        <v>1756562</v>
      </c>
      <c r="BC722" s="275">
        <f>ROUND(C211,0)</f>
        <v>0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4727471</v>
      </c>
      <c r="BI722" s="275">
        <f>ROUND(C213,0)</f>
        <v>0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252</v>
      </c>
      <c r="BU722" s="275">
        <f>ROUND(C224,0)</f>
        <v>13123219</v>
      </c>
      <c r="BV722" s="275">
        <f>ROUND(C225,0)</f>
        <v>0</v>
      </c>
      <c r="BW722" s="275">
        <f>ROUND(C226,0)</f>
        <v>569607</v>
      </c>
      <c r="BX722" s="275">
        <f>ROUND(C227,0)</f>
        <v>8783951</v>
      </c>
      <c r="BY722" s="275">
        <f>ROUND(C228,0)</f>
        <v>0</v>
      </c>
      <c r="BZ722" s="275">
        <f>ROUND(C231,0)</f>
        <v>494</v>
      </c>
      <c r="CA722" s="275">
        <f>ROUND(C233,0)</f>
        <v>1587064</v>
      </c>
      <c r="CB722" s="275">
        <f>ROUND(C234,0)</f>
        <v>945905</v>
      </c>
      <c r="CC722" s="275">
        <f>ROUND(C238+C239,0)</f>
        <v>1457263</v>
      </c>
      <c r="CD722" s="275">
        <f>D221</f>
        <v>0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042*2017*A</v>
      </c>
      <c r="B726" s="275">
        <f>ROUND(C111,0)</f>
        <v>176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838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30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30</v>
      </c>
      <c r="W726" s="275">
        <f>ROUND(C129,0)</f>
        <v>0</v>
      </c>
      <c r="X726" s="275">
        <f>ROUND(B138,0)</f>
        <v>1</v>
      </c>
      <c r="Y726" s="275">
        <f>ROUND(B139,0)</f>
        <v>2</v>
      </c>
      <c r="Z726" s="275">
        <f>ROUND(B140,0)</f>
        <v>7</v>
      </c>
      <c r="AA726" s="275">
        <f>ROUND(B141,0)</f>
        <v>50323</v>
      </c>
      <c r="AB726" s="275">
        <f>ROUND(B142,0)</f>
        <v>15023</v>
      </c>
      <c r="AC726" s="275">
        <f>ROUND(C138,0)</f>
        <v>81</v>
      </c>
      <c r="AD726" s="275">
        <f>ROUND(C139,0)</f>
        <v>360</v>
      </c>
      <c r="AE726" s="275">
        <f>ROUND(C140,0)</f>
        <v>6679</v>
      </c>
      <c r="AF726" s="275">
        <f>ROUND(C141,0)</f>
        <v>6168569</v>
      </c>
      <c r="AG726" s="275">
        <f>ROUND(C142,0)</f>
        <v>11932203</v>
      </c>
      <c r="AH726" s="275">
        <f>ROUND(D138,0)</f>
        <v>94</v>
      </c>
      <c r="AI726" s="275">
        <f>ROUND(D139,0)</f>
        <v>476</v>
      </c>
      <c r="AJ726" s="275">
        <f>ROUND(D140,0)</f>
        <v>132</v>
      </c>
      <c r="AK726" s="275">
        <f>ROUND(D141,0)</f>
        <v>7434220</v>
      </c>
      <c r="AL726" s="275">
        <f>ROUND(D142,0)</f>
        <v>10860144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6124295</v>
      </c>
      <c r="BR726" s="275">
        <f>ROUND(C157,0)</f>
        <v>4968842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042*2017*A</v>
      </c>
      <c r="B730" s="275">
        <f>ROUND(C250,0)</f>
        <v>241768</v>
      </c>
      <c r="C730" s="275">
        <f>ROUND(C251,0)</f>
        <v>0</v>
      </c>
      <c r="D730" s="275">
        <f>ROUND(C252,0)</f>
        <v>5831106</v>
      </c>
      <c r="E730" s="275">
        <f>ROUND(C253,0)</f>
        <v>4199320</v>
      </c>
      <c r="F730" s="275">
        <f>ROUND(C254,0)</f>
        <v>0</v>
      </c>
      <c r="G730" s="275">
        <f>ROUND(C255,0)</f>
        <v>6939</v>
      </c>
      <c r="H730" s="275">
        <f>ROUND(C256,0)</f>
        <v>0</v>
      </c>
      <c r="I730" s="275">
        <f>ROUND(C257,0)</f>
        <v>1635582</v>
      </c>
      <c r="J730" s="275">
        <f>ROUND(C258,0)</f>
        <v>316957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2862934</v>
      </c>
      <c r="P730" s="275">
        <f>ROUND(C268,0)</f>
        <v>206831</v>
      </c>
      <c r="Q730" s="275">
        <f>ROUND(C269,0)</f>
        <v>20250362</v>
      </c>
      <c r="R730" s="275">
        <f>ROUND(C270,0)</f>
        <v>1842567</v>
      </c>
      <c r="S730" s="275">
        <f>ROUND(C271,0)</f>
        <v>0</v>
      </c>
      <c r="T730" s="275">
        <f>ROUND(C272,0)</f>
        <v>7076028</v>
      </c>
      <c r="U730" s="275">
        <f>ROUND(C273,0)</f>
        <v>0</v>
      </c>
      <c r="V730" s="275">
        <f>ROUND(C274,0)</f>
        <v>50895</v>
      </c>
      <c r="W730" s="275">
        <f>ROUND(C275,0)</f>
        <v>0</v>
      </c>
      <c r="X730" s="275">
        <f>ROUND(C276,0)</f>
        <v>19618022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358900</v>
      </c>
      <c r="AI730" s="275">
        <f>ROUND(C306,0)</f>
        <v>1733284</v>
      </c>
      <c r="AJ730" s="275">
        <f>ROUND(C307,0)</f>
        <v>4336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-31632</v>
      </c>
      <c r="AP730" s="275">
        <f>ROUND(C313,0)</f>
        <v>0</v>
      </c>
      <c r="AQ730" s="275">
        <f>ROUND(C316,0)</f>
        <v>0</v>
      </c>
      <c r="AR730" s="275">
        <f>ROUND(C317,0)</f>
        <v>939248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13500491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125.84</v>
      </c>
      <c r="BJ730" s="275">
        <f>ROUND(C359,0)</f>
        <v>13653112</v>
      </c>
      <c r="BK730" s="275">
        <f>ROUND(C360,0)</f>
        <v>22807370</v>
      </c>
      <c r="BL730" s="275">
        <f>ROUND(C364,0)</f>
        <v>22477029</v>
      </c>
      <c r="BM730" s="275">
        <f>ROUND(C365,0)</f>
        <v>2532969</v>
      </c>
      <c r="BN730" s="275">
        <f>ROUND(C366,0)</f>
        <v>1457263</v>
      </c>
      <c r="BO730" s="275">
        <f>ROUND(C370,0)</f>
        <v>2052171</v>
      </c>
      <c r="BP730" s="275">
        <f>ROUND(C371,0)</f>
        <v>124151</v>
      </c>
      <c r="BQ730" s="275">
        <f>ROUND(C378,0)</f>
        <v>13767028</v>
      </c>
      <c r="BR730" s="275">
        <f>ROUND(C379,0)</f>
        <v>3236249</v>
      </c>
      <c r="BS730" s="275">
        <f>ROUND(C380,0)</f>
        <v>357613</v>
      </c>
      <c r="BT730" s="275">
        <f>ROUND(C381,0)</f>
        <v>3272719</v>
      </c>
      <c r="BU730" s="275">
        <f>ROUND(C382,0)</f>
        <v>437223</v>
      </c>
      <c r="BV730" s="275">
        <f>ROUND(C383,0)</f>
        <v>231521</v>
      </c>
      <c r="BW730" s="275">
        <f>ROUND(C384,0)</f>
        <v>965599</v>
      </c>
      <c r="BX730" s="275">
        <f>ROUND(C385,0)</f>
        <v>82957</v>
      </c>
      <c r="BY730" s="275">
        <f>ROUND(C386,0)</f>
        <v>0</v>
      </c>
      <c r="BZ730" s="275">
        <f>ROUND(C387,0)</f>
        <v>42157</v>
      </c>
      <c r="CA730" s="275">
        <f>ROUND(C388,0)</f>
        <v>0</v>
      </c>
      <c r="CB730" s="275">
        <f>C363</f>
        <v>0</v>
      </c>
      <c r="CC730" s="275">
        <f>ROUND(C389,0)</f>
        <v>1374007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042*2017*6010*A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042*2017*6030*A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042*2017*6070*A</v>
      </c>
      <c r="B736" s="275">
        <f>ROUND(E59,0)</f>
        <v>829</v>
      </c>
      <c r="C736" s="277">
        <f>ROUND(E60,2)</f>
        <v>17.11</v>
      </c>
      <c r="D736" s="275">
        <f>ROUND(E61,0)</f>
        <v>1636573</v>
      </c>
      <c r="E736" s="275">
        <f>ROUND(E62,0)</f>
        <v>409175</v>
      </c>
      <c r="F736" s="275">
        <f>ROUND(E63,0)</f>
        <v>0</v>
      </c>
      <c r="G736" s="275">
        <f>ROUND(E64,0)</f>
        <v>1</v>
      </c>
      <c r="H736" s="275">
        <f>ROUND(E65,0)</f>
        <v>0</v>
      </c>
      <c r="I736" s="275">
        <f>ROUND(E66,0)</f>
        <v>0</v>
      </c>
      <c r="J736" s="275">
        <f>ROUND(E67,0)</f>
        <v>176480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1950981</v>
      </c>
      <c r="O736" s="275">
        <f>ROUND(E73,0)</f>
        <v>1950981</v>
      </c>
      <c r="P736" s="275">
        <f>IF(E76&gt;0,ROUND(E76,0),0)</f>
        <v>16219</v>
      </c>
      <c r="Q736" s="275">
        <f>IF(E77&gt;0,ROUND(E77,0),0)</f>
        <v>5173</v>
      </c>
      <c r="R736" s="275">
        <f>IF(E78&gt;0,ROUND(E78,0),0)</f>
        <v>16219</v>
      </c>
      <c r="S736" s="275">
        <f>IF(E79&gt;0,ROUND(E79,0),0)</f>
        <v>23512</v>
      </c>
      <c r="T736" s="277">
        <f>IF(E80&gt;0,ROUND(E80,2),0)</f>
        <v>17.11</v>
      </c>
      <c r="U736" s="275"/>
      <c r="V736" s="276"/>
      <c r="W736" s="275"/>
      <c r="X736" s="275"/>
      <c r="Y736" s="275">
        <f t="shared" si="21"/>
        <v>1179985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042*2017*6100*A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042*2017*6120*A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042*2017*6140*A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042*2017*6150*A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042*2017*6170*A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042*2017*6200*A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042*2017*6210*A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042*2017*6330*A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042*2017*6400*A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042*2017*7010*A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042*2017*7020*A</v>
      </c>
      <c r="B747" s="275">
        <f>ROUND(P59,0)</f>
        <v>120720</v>
      </c>
      <c r="C747" s="277">
        <f>ROUND(P60,2)</f>
        <v>8.4499999999999993</v>
      </c>
      <c r="D747" s="275">
        <f>ROUND(P61,0)</f>
        <v>2032379</v>
      </c>
      <c r="E747" s="275">
        <f>ROUND(P62,0)</f>
        <v>508134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42360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9497712</v>
      </c>
      <c r="O747" s="275">
        <f>ROUND(P73,0)</f>
        <v>2957669</v>
      </c>
      <c r="P747" s="275">
        <f>IF(P76&gt;0,ROUND(P76,0),0)</f>
        <v>3893</v>
      </c>
      <c r="Q747" s="275">
        <f>IF(P77&gt;0,ROUND(P77,0),0)</f>
        <v>0</v>
      </c>
      <c r="R747" s="275">
        <f>IF(P78&gt;0,ROUND(P78,0),0)</f>
        <v>3893</v>
      </c>
      <c r="S747" s="275">
        <f>IF(P79&gt;0,ROUND(P79,0),0)</f>
        <v>16700</v>
      </c>
      <c r="T747" s="277">
        <f>IF(P80&gt;0,ROUND(P80,2),0)</f>
        <v>8.4499999999999993</v>
      </c>
      <c r="U747" s="275"/>
      <c r="V747" s="276"/>
      <c r="W747" s="275"/>
      <c r="X747" s="275"/>
      <c r="Y747" s="275">
        <f t="shared" si="21"/>
        <v>1312393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042*2017*7030*A</v>
      </c>
      <c r="B748" s="275">
        <f>ROUND(Q59,0)</f>
        <v>37740</v>
      </c>
      <c r="C748" s="277">
        <f>ROUND(Q60,2)</f>
        <v>2.89</v>
      </c>
      <c r="D748" s="275">
        <f>ROUND(Q61,0)</f>
        <v>265460</v>
      </c>
      <c r="E748" s="275">
        <f>ROUND(Q62,0)</f>
        <v>66370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15342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951681</v>
      </c>
      <c r="O748" s="275">
        <f>ROUND(Q73,0)</f>
        <v>221927</v>
      </c>
      <c r="P748" s="275">
        <f>IF(Q76&gt;0,ROUND(Q76,0),0)</f>
        <v>1410</v>
      </c>
      <c r="Q748" s="275">
        <f>IF(Q77&gt;0,ROUND(Q77,0),0)</f>
        <v>0</v>
      </c>
      <c r="R748" s="275">
        <f>IF(Q78&gt;0,ROUND(Q78,0),0)</f>
        <v>1410</v>
      </c>
      <c r="S748" s="275">
        <f>IF(Q79&gt;0,ROUND(Q79,0),0)</f>
        <v>0</v>
      </c>
      <c r="T748" s="277">
        <f>IF(Q80&gt;0,ROUND(Q80,2),0)</f>
        <v>2.89</v>
      </c>
      <c r="U748" s="275"/>
      <c r="V748" s="276"/>
      <c r="W748" s="275"/>
      <c r="X748" s="275"/>
      <c r="Y748" s="275">
        <f t="shared" si="21"/>
        <v>192257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042*2017*7040*A</v>
      </c>
      <c r="B749" s="275">
        <f>ROUND(R59,0)</f>
        <v>120480</v>
      </c>
      <c r="C749" s="277">
        <f>ROUND(R60,2)</f>
        <v>3.85</v>
      </c>
      <c r="D749" s="275">
        <f>ROUND(R61,0)</f>
        <v>1463266</v>
      </c>
      <c r="E749" s="275">
        <f>ROUND(R62,0)</f>
        <v>365845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5756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3377874</v>
      </c>
      <c r="O749" s="275">
        <f>ROUND(R73,0)</f>
        <v>917880</v>
      </c>
      <c r="P749" s="275">
        <f>IF(R76&gt;0,ROUND(R76,0),0)</f>
        <v>529</v>
      </c>
      <c r="Q749" s="275">
        <f>IF(R77&gt;0,ROUND(R77,0),0)</f>
        <v>0</v>
      </c>
      <c r="R749" s="275">
        <f>IF(R78&gt;0,ROUND(R78,0),0)</f>
        <v>529</v>
      </c>
      <c r="S749" s="275">
        <f>IF(R79&gt;0,ROUND(R79,0),0)</f>
        <v>0</v>
      </c>
      <c r="T749" s="277">
        <f>IF(R80&gt;0,ROUND(R80,2),0)</f>
        <v>3.85</v>
      </c>
      <c r="U749" s="275"/>
      <c r="V749" s="276"/>
      <c r="W749" s="275"/>
      <c r="X749" s="275"/>
      <c r="Y749" s="275">
        <f t="shared" si="21"/>
        <v>759065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042*2017*7050*A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5096618</v>
      </c>
      <c r="O750" s="275">
        <f>ROUND(S73,0)</f>
        <v>4389737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206812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042*2017*7060*A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042*2017*7070*A</v>
      </c>
      <c r="B752" s="275">
        <f>ROUND(U59,0)</f>
        <v>2140</v>
      </c>
      <c r="C752" s="277">
        <f>ROUND(U60,2)</f>
        <v>1.61</v>
      </c>
      <c r="D752" s="275">
        <f>ROUND(U61,0)</f>
        <v>155545</v>
      </c>
      <c r="E752" s="275">
        <f>ROUND(U62,0)</f>
        <v>38889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5016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170215</v>
      </c>
      <c r="O752" s="275">
        <f>ROUND(U73,0)</f>
        <v>79675</v>
      </c>
      <c r="P752" s="275">
        <f>IF(U76&gt;0,ROUND(U76,0),0)</f>
        <v>461</v>
      </c>
      <c r="Q752" s="275">
        <f>IF(U77&gt;0,ROUND(U77,0),0)</f>
        <v>0</v>
      </c>
      <c r="R752" s="275">
        <f>IF(U78&gt;0,ROUND(U78,0),0)</f>
        <v>461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67856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042*2017*7110*A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042*2017*7120*A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042*2017*7130*A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042*2017*7140*A</v>
      </c>
      <c r="B756" s="275">
        <f>ROUND(Y59,0)</f>
        <v>8807</v>
      </c>
      <c r="C756" s="277">
        <f>ROUND(Y60,2)</f>
        <v>3.97</v>
      </c>
      <c r="D756" s="275">
        <f>ROUND(Y61,0)</f>
        <v>327142</v>
      </c>
      <c r="E756" s="275">
        <f>ROUND(Y62,0)</f>
        <v>81792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0</v>
      </c>
      <c r="J756" s="275">
        <f>ROUND(Y67,0)</f>
        <v>35048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2766325</v>
      </c>
      <c r="O756" s="275">
        <f>ROUND(Y73,0)</f>
        <v>179071</v>
      </c>
      <c r="P756" s="275">
        <f>IF(Y76&gt;0,ROUND(Y76,0),0)</f>
        <v>3221</v>
      </c>
      <c r="Q756" s="275">
        <f>IF(Y77&gt;0,ROUND(Y77,0),0)</f>
        <v>0</v>
      </c>
      <c r="R756" s="275">
        <f>IF(Y78&gt;0,ROUND(Y78,0),0)</f>
        <v>3221</v>
      </c>
      <c r="S756" s="275">
        <f>IF(Y79&gt;0,ROUND(Y79,0),0)</f>
        <v>2473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209410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042*2017*7150*A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042*2017*7160*A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042*2017*7170*A</v>
      </c>
      <c r="B759" s="275"/>
      <c r="C759" s="277">
        <f>ROUND(AB60,2)</f>
        <v>1.64</v>
      </c>
      <c r="D759" s="275">
        <f>ROUND(AB61,0)</f>
        <v>267564</v>
      </c>
      <c r="E759" s="275">
        <f>ROUND(AB62,0)</f>
        <v>66896</v>
      </c>
      <c r="F759" s="275">
        <f>ROUND(AB63,0)</f>
        <v>0</v>
      </c>
      <c r="G759" s="275">
        <f>ROUND(AB64,0)</f>
        <v>0</v>
      </c>
      <c r="H759" s="275">
        <f>ROUND(AB65,0)</f>
        <v>0</v>
      </c>
      <c r="I759" s="275">
        <f>ROUND(AB66,0)</f>
        <v>0</v>
      </c>
      <c r="J759" s="275">
        <f>ROUND(AB67,0)</f>
        <v>3264</v>
      </c>
      <c r="K759" s="275">
        <f>ROUND(AB68,0)</f>
        <v>0</v>
      </c>
      <c r="L759" s="275">
        <f>ROUND(AB69,0)</f>
        <v>0</v>
      </c>
      <c r="M759" s="275">
        <f>ROUND(AB70,0)</f>
        <v>0</v>
      </c>
      <c r="N759" s="275">
        <f>ROUND(AB75,0)</f>
        <v>2075747</v>
      </c>
      <c r="O759" s="275">
        <f>ROUND(AB73,0)</f>
        <v>1078703</v>
      </c>
      <c r="P759" s="275">
        <f>IF(AB76&gt;0,ROUND(AB76,0),0)</f>
        <v>300</v>
      </c>
      <c r="Q759" s="275">
        <f>IF(AB77&gt;0,ROUND(AB77,0),0)</f>
        <v>0</v>
      </c>
      <c r="R759" s="275">
        <f>IF(AB78&gt;0,ROUND(AB78,0),0)</f>
        <v>300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188016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042*2017*7180*A</v>
      </c>
      <c r="B760" s="275">
        <f>ROUND(AC59,0)</f>
        <v>1559</v>
      </c>
      <c r="C760" s="277">
        <f>ROUND(AC60,2)</f>
        <v>3.25</v>
      </c>
      <c r="D760" s="275">
        <f>ROUND(AC61,0)</f>
        <v>315715</v>
      </c>
      <c r="E760" s="275">
        <f>ROUND(AC62,0)</f>
        <v>78935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1121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389408</v>
      </c>
      <c r="O760" s="275">
        <f>ROUND(AC73,0)</f>
        <v>280523</v>
      </c>
      <c r="P760" s="275">
        <f>IF(AC76&gt;0,ROUND(AC76,0),0)</f>
        <v>103</v>
      </c>
      <c r="Q760" s="275">
        <f>IF(AC77&gt;0,ROUND(AC77,0),0)</f>
        <v>0</v>
      </c>
      <c r="R760" s="275">
        <f>IF(AC78&gt;0,ROUND(AC78,0),0)</f>
        <v>103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154291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042*2017*7190*A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042*2017*7200*A</v>
      </c>
      <c r="B762" s="275">
        <f>ROUND(AE59,0)</f>
        <v>6480</v>
      </c>
      <c r="C762" s="277">
        <f>ROUND(AE60,2)</f>
        <v>4.05</v>
      </c>
      <c r="D762" s="275">
        <f>ROUND(AE61,0)</f>
        <v>377574</v>
      </c>
      <c r="E762" s="275">
        <f>ROUND(AE62,0)</f>
        <v>94401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56810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1033821</v>
      </c>
      <c r="O762" s="275">
        <f>ROUND(AE73,0)</f>
        <v>118322</v>
      </c>
      <c r="P762" s="275">
        <f>IF(AE76&gt;0,ROUND(AE76,0),0)</f>
        <v>5221</v>
      </c>
      <c r="Q762" s="275">
        <f>IF(AE77&gt;0,ROUND(AE77,0),0)</f>
        <v>0</v>
      </c>
      <c r="R762" s="275">
        <f>IF(AE78&gt;0,ROUND(AE78,0),0)</f>
        <v>5221</v>
      </c>
      <c r="S762" s="275">
        <f>IF(AE79&gt;0,ROUND(AE79,0),0)</f>
        <v>968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119224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042*2017*7220*A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042*2017*7230*A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042*2017*7240*A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042*2017*7250*A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042*2017*7260*A</v>
      </c>
      <c r="B767" s="275">
        <f>ROUND(AJ59,0)</f>
        <v>9685</v>
      </c>
      <c r="C767" s="277">
        <f>ROUND(AJ60,2)</f>
        <v>8.81</v>
      </c>
      <c r="D767" s="275">
        <f>ROUND(AJ61,0)</f>
        <v>602696</v>
      </c>
      <c r="E767" s="275">
        <f>ROUND(AJ62,0)</f>
        <v>150686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93088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2861706</v>
      </c>
      <c r="O767" s="275">
        <f>ROUND(AJ73,0)</f>
        <v>3824</v>
      </c>
      <c r="P767" s="275">
        <f>IF(AJ76&gt;0,ROUND(AJ76,0),0)</f>
        <v>8555</v>
      </c>
      <c r="Q767" s="275">
        <f>IF(AJ77&gt;0,ROUND(AJ77,0),0)</f>
        <v>0</v>
      </c>
      <c r="R767" s="275">
        <f>IF(AJ78&gt;0,ROUND(AJ78,0),0)</f>
        <v>8555</v>
      </c>
      <c r="S767" s="275">
        <f>IF(AJ79&gt;0,ROUND(AJ79,0),0)</f>
        <v>7726</v>
      </c>
      <c r="T767" s="277">
        <f>IF(AJ80&gt;0,ROUND(AJ80,2),0)</f>
        <v>8.81</v>
      </c>
      <c r="U767" s="275"/>
      <c r="V767" s="276"/>
      <c r="W767" s="275"/>
      <c r="X767" s="275"/>
      <c r="Y767" s="275">
        <f t="shared" si="21"/>
        <v>448192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042*2017*7310*A</v>
      </c>
      <c r="B768" s="275">
        <f>ROUND(AK59,0)</f>
        <v>1030</v>
      </c>
      <c r="C768" s="277">
        <f>ROUND(AK60,2)</f>
        <v>3.48</v>
      </c>
      <c r="D768" s="275">
        <f>ROUND(AK61,0)</f>
        <v>299053</v>
      </c>
      <c r="E768" s="275">
        <f>ROUND(AK62,0)</f>
        <v>74769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65123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184156</v>
      </c>
      <c r="O768" s="275">
        <f>ROUND(AK73,0)</f>
        <v>0</v>
      </c>
      <c r="P768" s="275">
        <f>IF(AK76&gt;0,ROUND(AK76,0),0)</f>
        <v>5985</v>
      </c>
      <c r="Q768" s="275">
        <f>IF(AK77&gt;0,ROUND(AK77,0),0)</f>
        <v>0</v>
      </c>
      <c r="R768" s="275">
        <f>IF(AK78&gt;0,ROUND(AK78,0),0)</f>
        <v>5985</v>
      </c>
      <c r="S768" s="275">
        <f>IF(AK79&gt;0,ROUND(AK79,0),0)</f>
        <v>993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38271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042*2017*7320*A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042*2017*7330*A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042*2017*7340*A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042*2017*7350*A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042*2017*7380*A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042*2017*7390*A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042*2017*7400*A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042*2017*7410*A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042*2017*7420*A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042*2017*7430*A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042*2017*7490*A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23906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2197</v>
      </c>
      <c r="Q779" s="275">
        <f>IF(AV77&gt;0,ROUND(AV77,0),0)</f>
        <v>0</v>
      </c>
      <c r="R779" s="275">
        <f>IF(AV78&gt;0,ROUND(AV78,0),0)</f>
        <v>2197</v>
      </c>
      <c r="S779" s="275">
        <f>IF(AV79&gt;0,ROUND(AV79,0),0)</f>
        <v>678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-38246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042*2017*8200*A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042*2017*8310*A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042*2017*8320*A</v>
      </c>
      <c r="B782" s="275">
        <f>ROUND(AY59,0)</f>
        <v>5173</v>
      </c>
      <c r="C782" s="277">
        <f>ROUND(AY60,2)</f>
        <v>6.96</v>
      </c>
      <c r="D782" s="275">
        <f>ROUND(AY61,0)</f>
        <v>378497</v>
      </c>
      <c r="E782" s="275">
        <f>ROUND(AY62,0)</f>
        <v>94632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47931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4405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042*2017*8330*A</v>
      </c>
      <c r="B783" s="275">
        <f>ROUND(AZ59,0)</f>
        <v>26612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15658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1439</v>
      </c>
      <c r="Q783" s="275">
        <f>IF(AZ77&gt;0,ROUND(AZ77,0),0)</f>
        <v>26612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042*2017*8350*A</v>
      </c>
      <c r="B784" s="275">
        <f>ROUND(BA59,0)</f>
        <v>0</v>
      </c>
      <c r="C784" s="277">
        <f>ROUND(BA60,2)</f>
        <v>1.97</v>
      </c>
      <c r="D784" s="275">
        <f>ROUND(BA61,0)</f>
        <v>63449</v>
      </c>
      <c r="E784" s="275">
        <f>ROUND(BA62,0)</f>
        <v>15863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17562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1614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042*2017*8360*A</v>
      </c>
      <c r="B785" s="275"/>
      <c r="C785" s="277">
        <f>ROUND(BB60,2)</f>
        <v>6.41</v>
      </c>
      <c r="D785" s="275">
        <f>ROUND(BB61,0)</f>
        <v>559170</v>
      </c>
      <c r="E785" s="275">
        <f>ROUND(BB62,0)</f>
        <v>139803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12132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1115</v>
      </c>
      <c r="Q785" s="275">
        <f>IF(BB77&gt;0,ROUND(BB77,0),0)</f>
        <v>0</v>
      </c>
      <c r="R785" s="275">
        <f>IF(BB78&gt;0,ROUND(BB78,0),0)</f>
        <v>1115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042*2017*8370*A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042*2017*8420*A</v>
      </c>
      <c r="B787" s="275"/>
      <c r="C787" s="277">
        <f>ROUND(BD60,2)</f>
        <v>1.82</v>
      </c>
      <c r="D787" s="275">
        <f>ROUND(BD61,0)</f>
        <v>116622</v>
      </c>
      <c r="E787" s="275">
        <f>ROUND(BD62,0)</f>
        <v>29158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2666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245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042*2017*8430*A</v>
      </c>
      <c r="B788" s="275">
        <f>ROUND(BE59,0)</f>
        <v>88741</v>
      </c>
      <c r="C788" s="277">
        <f>ROUND(BE60,2)</f>
        <v>0</v>
      </c>
      <c r="D788" s="275">
        <f>ROUND(BE61,0)</f>
        <v>0</v>
      </c>
      <c r="E788" s="275">
        <f>ROUND(BE62,0)</f>
        <v>0</v>
      </c>
      <c r="F788" s="275">
        <f>ROUND(BE63,0)</f>
        <v>0</v>
      </c>
      <c r="G788" s="275">
        <f>ROUND(BE64,0)</f>
        <v>0</v>
      </c>
      <c r="H788" s="275">
        <f>ROUND(BE65,0)</f>
        <v>0</v>
      </c>
      <c r="I788" s="275">
        <f>ROUND(BE66,0)</f>
        <v>0</v>
      </c>
      <c r="J788" s="275">
        <f>ROUND(BE67,0)</f>
        <v>0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042*2017*8460*A</v>
      </c>
      <c r="B789" s="275"/>
      <c r="C789" s="277">
        <f>ROUND(BF60,2)</f>
        <v>7.22</v>
      </c>
      <c r="D789" s="275">
        <f>ROUND(BF61,0)</f>
        <v>287914</v>
      </c>
      <c r="E789" s="275">
        <f>ROUND(BF62,0)</f>
        <v>71984</v>
      </c>
      <c r="F789" s="275">
        <f>ROUND(BF63,0)</f>
        <v>0</v>
      </c>
      <c r="G789" s="275">
        <f>ROUND(BF64,0)</f>
        <v>0</v>
      </c>
      <c r="H789" s="275">
        <f>ROUND(BF65,0)</f>
        <v>0</v>
      </c>
      <c r="I789" s="275">
        <f>ROUND(BF66,0)</f>
        <v>0</v>
      </c>
      <c r="J789" s="275">
        <f>ROUND(BF67,0)</f>
        <v>7856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722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042*2017*8470*A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042*2017*8480*A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042*2017*8490*A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042*2017*8510*A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042*2017*8530*A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042*2017*8560*A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042*2017*8590*A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042*2017*8610*A</v>
      </c>
      <c r="B797" s="275"/>
      <c r="C797" s="277">
        <f>ROUND(BN60,2)</f>
        <v>30.1</v>
      </c>
      <c r="D797" s="275">
        <f>ROUND(BN61,0)</f>
        <v>2501262</v>
      </c>
      <c r="E797" s="275">
        <f>ROUND(BN62,0)</f>
        <v>625363</v>
      </c>
      <c r="F797" s="275">
        <f>ROUND(BN63,0)</f>
        <v>0</v>
      </c>
      <c r="G797" s="275">
        <f>ROUND(BN64,0)</f>
        <v>0</v>
      </c>
      <c r="H797" s="275">
        <f>ROUND(BN65,0)</f>
        <v>0</v>
      </c>
      <c r="I797" s="275">
        <f>ROUND(BN66,0)</f>
        <v>0</v>
      </c>
      <c r="J797" s="275">
        <f>ROUND(BN67,0)</f>
        <v>145056</v>
      </c>
      <c r="K797" s="275">
        <f>ROUND(BN68,0)</f>
        <v>0</v>
      </c>
      <c r="L797" s="275">
        <f>ROUND(BN69,0)</f>
        <v>0</v>
      </c>
      <c r="M797" s="275">
        <f>ROUND(BN70,0)</f>
        <v>0</v>
      </c>
      <c r="N797" s="275"/>
      <c r="O797" s="275"/>
      <c r="P797" s="275">
        <f>IF(BN76&gt;0,ROUND(BN76,0),0)</f>
        <v>13331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042*2017*8620*A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042*2017*8630*A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042*2017*8640*A</v>
      </c>
      <c r="B800" s="275"/>
      <c r="C800" s="277">
        <f>ROUND(BQ60,2)</f>
        <v>4.4400000000000004</v>
      </c>
      <c r="D800" s="275">
        <f>ROUND(BQ61,0)</f>
        <v>392262</v>
      </c>
      <c r="E800" s="275">
        <f>ROUND(BQ62,0)</f>
        <v>98073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91314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8392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042*2017*8650*A</v>
      </c>
      <c r="B801" s="275"/>
      <c r="C801" s="277">
        <f>ROUND(BR60,2)</f>
        <v>1.87</v>
      </c>
      <c r="D801" s="275">
        <f>ROUND(BR61,0)</f>
        <v>184710</v>
      </c>
      <c r="E801" s="275">
        <f>ROUND(BR62,0)</f>
        <v>46181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5136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472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042*2017*8660*A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042*2017*8670*A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042*2017*8680*A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042*2017*8690*A</v>
      </c>
      <c r="B805" s="275"/>
      <c r="C805" s="277">
        <f>ROUND(BV60,2)</f>
        <v>2.56</v>
      </c>
      <c r="D805" s="275">
        <f>ROUND(BV61,0)</f>
        <v>194873</v>
      </c>
      <c r="E805" s="275">
        <f>ROUND(BV62,0)</f>
        <v>48722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30304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2785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042*2017*8700*A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042*2017*8710*A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042*2017*8720*A</v>
      </c>
      <c r="B808" s="275"/>
      <c r="C808" s="277">
        <f>ROUND(BY60,2)</f>
        <v>3.38</v>
      </c>
      <c r="D808" s="275">
        <f>ROUND(BY61,0)</f>
        <v>522278</v>
      </c>
      <c r="E808" s="275">
        <f>ROUND(BY62,0)</f>
        <v>130580</v>
      </c>
      <c r="F808" s="275">
        <f>ROUND(BY63,0)</f>
        <v>0</v>
      </c>
      <c r="G808" s="275">
        <f>ROUND(BY64,0)</f>
        <v>0</v>
      </c>
      <c r="H808" s="275">
        <f>ROUND(BY65,0)</f>
        <v>0</v>
      </c>
      <c r="I808" s="275">
        <f>ROUND(BY66,0)</f>
        <v>0</v>
      </c>
      <c r="J808" s="275">
        <f>ROUND(BY67,0)</f>
        <v>12687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1166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042*2017*8730*A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042*2017*8740*A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042*2017*8770*A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042*2017*8790*A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042*2017*9000*A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2052171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125.83999999999997</v>
      </c>
      <c r="D815" s="276">
        <f t="shared" si="22"/>
        <v>12944004</v>
      </c>
      <c r="E815" s="276">
        <f t="shared" si="22"/>
        <v>3236251</v>
      </c>
      <c r="F815" s="276">
        <f t="shared" si="22"/>
        <v>0</v>
      </c>
      <c r="G815" s="276">
        <f t="shared" si="22"/>
        <v>1</v>
      </c>
      <c r="H815" s="276">
        <f t="shared" si="22"/>
        <v>0</v>
      </c>
      <c r="I815" s="276">
        <f t="shared" si="22"/>
        <v>0</v>
      </c>
      <c r="J815" s="276">
        <f t="shared" si="22"/>
        <v>911616</v>
      </c>
      <c r="K815" s="276">
        <f t="shared" si="22"/>
        <v>0</v>
      </c>
      <c r="L815" s="276">
        <f>SUM(L734:L813)+SUM(U734:U813)</f>
        <v>0</v>
      </c>
      <c r="M815" s="276">
        <f>SUM(M734:M813)+SUM(V734:V813)</f>
        <v>2052171</v>
      </c>
      <c r="N815" s="276">
        <f t="shared" ref="N815:Y815" si="23">SUM(N734:N813)</f>
        <v>30356244</v>
      </c>
      <c r="O815" s="276">
        <f t="shared" si="23"/>
        <v>12178312</v>
      </c>
      <c r="P815" s="276">
        <f t="shared" si="23"/>
        <v>83780</v>
      </c>
      <c r="Q815" s="276">
        <f t="shared" si="23"/>
        <v>31785</v>
      </c>
      <c r="R815" s="276">
        <f t="shared" si="23"/>
        <v>49209</v>
      </c>
      <c r="S815" s="276">
        <f t="shared" si="23"/>
        <v>53050</v>
      </c>
      <c r="T815" s="280">
        <f t="shared" si="23"/>
        <v>41.11</v>
      </c>
      <c r="U815" s="276">
        <f t="shared" si="23"/>
        <v>0</v>
      </c>
      <c r="V815" s="276">
        <f t="shared" si="23"/>
        <v>2052171</v>
      </c>
      <c r="W815" s="276">
        <f t="shared" si="23"/>
        <v>0</v>
      </c>
      <c r="X815" s="276">
        <f t="shared" si="23"/>
        <v>0</v>
      </c>
      <c r="Y815" s="276">
        <f t="shared" si="23"/>
        <v>4837526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125.83999999999997</v>
      </c>
      <c r="D816" s="276">
        <f>CE61</f>
        <v>12944004</v>
      </c>
      <c r="E816" s="276">
        <f>CE62</f>
        <v>3236251</v>
      </c>
      <c r="F816" s="276">
        <f>CE63</f>
        <v>0</v>
      </c>
      <c r="G816" s="276">
        <f>CE64</f>
        <v>1</v>
      </c>
      <c r="H816" s="279">
        <f>CE65</f>
        <v>0</v>
      </c>
      <c r="I816" s="279">
        <f>CE66</f>
        <v>0</v>
      </c>
      <c r="J816" s="279">
        <f>CE67</f>
        <v>911616</v>
      </c>
      <c r="K816" s="279">
        <f>CE68</f>
        <v>0</v>
      </c>
      <c r="L816" s="279">
        <f>CE69</f>
        <v>0</v>
      </c>
      <c r="M816" s="279">
        <f>CE70</f>
        <v>2052171</v>
      </c>
      <c r="N816" s="276">
        <f>CE75</f>
        <v>30356244</v>
      </c>
      <c r="O816" s="276">
        <f>CE73</f>
        <v>12178312</v>
      </c>
      <c r="P816" s="276">
        <f>CE76</f>
        <v>83780</v>
      </c>
      <c r="Q816" s="276">
        <f>CE77</f>
        <v>31785</v>
      </c>
      <c r="R816" s="276">
        <f>CE78</f>
        <v>49209</v>
      </c>
      <c r="S816" s="276">
        <f>CE79</f>
        <v>53050</v>
      </c>
      <c r="T816" s="280">
        <f>CE80</f>
        <v>41.11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4837527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13767028</v>
      </c>
      <c r="E817" s="180">
        <f>C379</f>
        <v>3236249</v>
      </c>
      <c r="F817" s="180">
        <f>C380</f>
        <v>357613</v>
      </c>
      <c r="G817" s="240">
        <f>C381</f>
        <v>3272719</v>
      </c>
      <c r="H817" s="240">
        <f>C382</f>
        <v>437223</v>
      </c>
      <c r="I817" s="240">
        <f>C383</f>
        <v>231521</v>
      </c>
      <c r="J817" s="240">
        <f>C384</f>
        <v>965599</v>
      </c>
      <c r="K817" s="240">
        <f>C385</f>
        <v>82957</v>
      </c>
      <c r="L817" s="240">
        <f>C386+C387+C388+C389</f>
        <v>1416164</v>
      </c>
      <c r="M817" s="240">
        <f>C370</f>
        <v>2052171</v>
      </c>
      <c r="N817" s="180">
        <f>D361</f>
        <v>36460482</v>
      </c>
      <c r="O817" s="180">
        <f>C359</f>
        <v>13653112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5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F36" sqref="F3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Shriners Hospitals for Children - Spokane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H-042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911 W 5th Avenue Spokane Washington 99204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'2900 Rocky Point Drive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Tampa FL 33607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H-42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Shriners Hospitals for Children - Spokane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John McCabe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Sharon Russell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Von Chimienti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813-281-8610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813-281-7155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164</v>
      </c>
      <c r="G23" s="21">
        <f>data!D111</f>
        <v>694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30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Shriners Hospitals for Children - Spokane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0</v>
      </c>
      <c r="C7" s="48">
        <f>data!B139</f>
        <v>0</v>
      </c>
      <c r="D7" s="48">
        <f>data!B140</f>
        <v>0</v>
      </c>
      <c r="E7" s="48">
        <f>data!B141</f>
        <v>0</v>
      </c>
      <c r="F7" s="48">
        <f>data!B142</f>
        <v>0</v>
      </c>
      <c r="G7" s="48">
        <f>data!B141+data!B142</f>
        <v>0</v>
      </c>
    </row>
    <row r="8" spans="1:13" ht="20.100000000000001" customHeight="1" x14ac:dyDescent="0.25">
      <c r="A8" s="23" t="s">
        <v>297</v>
      </c>
      <c r="B8" s="48">
        <f>data!C138</f>
        <v>81</v>
      </c>
      <c r="C8" s="48">
        <f>data!C139</f>
        <v>324</v>
      </c>
      <c r="D8" s="48">
        <f>data!C140</f>
        <v>7783</v>
      </c>
      <c r="E8" s="48">
        <f>data!C141</f>
        <v>5421037</v>
      </c>
      <c r="F8" s="48">
        <f>data!C142</f>
        <v>13917443</v>
      </c>
      <c r="G8" s="48">
        <f>data!C141+data!C142</f>
        <v>19338480</v>
      </c>
    </row>
    <row r="9" spans="1:13" ht="20.100000000000001" customHeight="1" x14ac:dyDescent="0.25">
      <c r="A9" s="23" t="s">
        <v>1058</v>
      </c>
      <c r="B9" s="48">
        <f>data!D138</f>
        <v>83</v>
      </c>
      <c r="C9" s="48">
        <f>data!D139</f>
        <v>370</v>
      </c>
      <c r="D9" s="48">
        <f>data!D140</f>
        <v>7415</v>
      </c>
      <c r="E9" s="48">
        <f>data!D141</f>
        <v>5916588</v>
      </c>
      <c r="F9" s="48">
        <f>data!D142</f>
        <v>13209413</v>
      </c>
      <c r="G9" s="48">
        <f>data!D141+data!D142</f>
        <v>19126001</v>
      </c>
    </row>
    <row r="10" spans="1:13" ht="20.100000000000001" customHeight="1" x14ac:dyDescent="0.25">
      <c r="A10" s="111" t="s">
        <v>203</v>
      </c>
      <c r="B10" s="48">
        <f>data!E138</f>
        <v>164</v>
      </c>
      <c r="C10" s="48">
        <f>data!E139</f>
        <v>694</v>
      </c>
      <c r="D10" s="48">
        <f>data!E140</f>
        <v>15198</v>
      </c>
      <c r="E10" s="48">
        <f>data!E141</f>
        <v>11337625</v>
      </c>
      <c r="F10" s="48">
        <f>data!E142</f>
        <v>27126856</v>
      </c>
      <c r="G10" s="48">
        <f>data!E141+data!E142</f>
        <v>38464481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6795336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5580975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Shriners Hospitals for Children - Spokane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867702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97094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172525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2009533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10000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867462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54146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4078462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332531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332531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36222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69563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105785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Shriners Hospitals for Children - Spokane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2862934</v>
      </c>
      <c r="D7" s="21">
        <f>data!C195</f>
        <v>0</v>
      </c>
      <c r="E7" s="21">
        <f>data!D195</f>
        <v>0</v>
      </c>
      <c r="F7" s="21">
        <f>data!E195</f>
        <v>2862934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206831</v>
      </c>
      <c r="D8" s="21">
        <f>data!C196</f>
        <v>0</v>
      </c>
      <c r="E8" s="21">
        <f>data!D196</f>
        <v>0</v>
      </c>
      <c r="F8" s="21">
        <f>data!E196</f>
        <v>206831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20250362</v>
      </c>
      <c r="D9" s="21">
        <f>data!C197</f>
        <v>74311</v>
      </c>
      <c r="E9" s="21">
        <f>data!D197</f>
        <v>0</v>
      </c>
      <c r="F9" s="21">
        <f>data!E197</f>
        <v>20324673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1842567</v>
      </c>
      <c r="D10" s="21">
        <f>data!C198</f>
        <v>7859</v>
      </c>
      <c r="E10" s="21">
        <f>data!D198</f>
        <v>0</v>
      </c>
      <c r="F10" s="21">
        <f>data!E198</f>
        <v>1850426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7076028</v>
      </c>
      <c r="D12" s="21">
        <f>data!C200</f>
        <v>880406</v>
      </c>
      <c r="E12" s="21">
        <f>data!D200</f>
        <v>0</v>
      </c>
      <c r="F12" s="21">
        <f>data!E200</f>
        <v>7956434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50895</v>
      </c>
      <c r="D15" s="21">
        <f>data!C203</f>
        <v>0</v>
      </c>
      <c r="E15" s="21">
        <f>data!D203</f>
        <v>0</v>
      </c>
      <c r="F15" s="21">
        <f>data!E203</f>
        <v>50895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32289617</v>
      </c>
      <c r="D16" s="21">
        <f>data!C204</f>
        <v>962576</v>
      </c>
      <c r="E16" s="21">
        <f>data!D204</f>
        <v>0</v>
      </c>
      <c r="F16" s="21">
        <f>data!E204</f>
        <v>33252193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153975</v>
      </c>
      <c r="D24" s="21">
        <f>data!C209</f>
        <v>4416</v>
      </c>
      <c r="E24" s="21">
        <f>data!D209</f>
        <v>0</v>
      </c>
      <c r="F24" s="21">
        <f>data!E209</f>
        <v>158391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12980014</v>
      </c>
      <c r="D25" s="21">
        <f>data!C210</f>
        <v>518748</v>
      </c>
      <c r="E25" s="21">
        <f>data!D210</f>
        <v>0</v>
      </c>
      <c r="F25" s="21">
        <f>data!E210</f>
        <v>13498762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1756562</v>
      </c>
      <c r="D26" s="21">
        <f>data!C211</f>
        <v>38857</v>
      </c>
      <c r="E26" s="21">
        <f>data!D211</f>
        <v>0</v>
      </c>
      <c r="F26" s="21">
        <f>data!E211</f>
        <v>1795419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4727471</v>
      </c>
      <c r="D28" s="21">
        <f>data!C213</f>
        <v>1188537</v>
      </c>
      <c r="E28" s="21">
        <f>data!D213</f>
        <v>0</v>
      </c>
      <c r="F28" s="21">
        <f>data!E213</f>
        <v>5916008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19618022</v>
      </c>
      <c r="D32" s="21">
        <f>data!C217</f>
        <v>1750558</v>
      </c>
      <c r="E32" s="21">
        <f>data!D217</f>
        <v>0</v>
      </c>
      <c r="F32" s="21">
        <f>data!E217</f>
        <v>21368580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Shriners Hospitals for Children - Spokane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14745946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759576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10172215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192631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25870368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599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1345500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1394321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2739821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105023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750324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29465536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Shriners Hospitals for Children - Spokane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256081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5398558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4080663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18904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716220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287496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2596596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2862934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206831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20324673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1850426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7956434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50895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33252193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21368580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11883613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14480209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Shriners Hospitals for Children - Spokane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532253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1790090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229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50896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2373468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12106739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12106739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14480207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Shriners Hospitals for Children - Spokane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11337625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27126856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38464481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26725715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2739821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29465536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8998945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1869733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1869733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10868678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14432967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4078462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321600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2747505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411234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254091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1042751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78440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105785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1246878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24719713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-13851035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165327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-13685708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-13685708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Shriners Hospitals for Children - Spokane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694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16.16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1766649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499313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190581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2456544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1131969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1603974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1603974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16219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4740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16219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23960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16.16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Shriners Hospitals for Children - Spokane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8.17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2066631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584097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48036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2698764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1568659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2632950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7803553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10436503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4088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4088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17703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8.17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Shriners Hospitals for Children - Spokane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1.95</v>
      </c>
      <c r="D74" s="26">
        <f>data!R60</f>
        <v>4.33</v>
      </c>
      <c r="E74" s="26">
        <f>data!S60</f>
        <v>0</v>
      </c>
      <c r="F74" s="26">
        <f>data!T60</f>
        <v>0</v>
      </c>
      <c r="G74" s="26">
        <f>data!U60</f>
        <v>1.27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188539</v>
      </c>
      <c r="D75" s="14">
        <f>data!R61</f>
        <v>1859203</v>
      </c>
      <c r="E75" s="14">
        <f>data!S61</f>
        <v>113235</v>
      </c>
      <c r="F75" s="14">
        <f>data!T61</f>
        <v>0</v>
      </c>
      <c r="G75" s="14">
        <f>data!U61</f>
        <v>131310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53287</v>
      </c>
      <c r="D76" s="14">
        <f>data!R62</f>
        <v>525472</v>
      </c>
      <c r="E76" s="14">
        <f>data!S62</f>
        <v>32004</v>
      </c>
      <c r="F76" s="14">
        <f>data!T62</f>
        <v>0</v>
      </c>
      <c r="G76" s="14">
        <f>data!U62</f>
        <v>37112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16568</v>
      </c>
      <c r="D81" s="14">
        <f>data!R67</f>
        <v>6334</v>
      </c>
      <c r="E81" s="14">
        <f>data!S67</f>
        <v>0</v>
      </c>
      <c r="F81" s="14">
        <f>data!T67</f>
        <v>0</v>
      </c>
      <c r="G81" s="14">
        <f>data!U67</f>
        <v>5417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258394</v>
      </c>
      <c r="D85" s="14">
        <f>data!R71</f>
        <v>2391009</v>
      </c>
      <c r="E85" s="14">
        <f>data!S71</f>
        <v>145239</v>
      </c>
      <c r="F85" s="14">
        <f>data!T71</f>
        <v>0</v>
      </c>
      <c r="G85" s="14">
        <f>data!U71</f>
        <v>173839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173840</v>
      </c>
      <c r="D87" s="48">
        <f>+data!M683</f>
        <v>1099356</v>
      </c>
      <c r="E87" s="48">
        <f>+data!M684</f>
        <v>212936</v>
      </c>
      <c r="F87" s="48">
        <f>+data!M685</f>
        <v>0</v>
      </c>
      <c r="G87" s="48">
        <f>+data!M686</f>
        <v>76430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198877</v>
      </c>
      <c r="D88" s="14">
        <f>data!R73</f>
        <v>822682</v>
      </c>
      <c r="E88" s="14">
        <f>data!S73</f>
        <v>3212468</v>
      </c>
      <c r="F88" s="14">
        <f>data!T73</f>
        <v>0</v>
      </c>
      <c r="G88" s="14">
        <f>data!U73</f>
        <v>105016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872060</v>
      </c>
      <c r="D89" s="14">
        <f>data!R74</f>
        <v>2992114</v>
      </c>
      <c r="E89" s="14">
        <f>data!S74</f>
        <v>862525</v>
      </c>
      <c r="F89" s="14">
        <f>data!T74</f>
        <v>0</v>
      </c>
      <c r="G89" s="14">
        <f>data!U74</f>
        <v>80534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1070937</v>
      </c>
      <c r="D90" s="14">
        <f>data!R75</f>
        <v>3814796</v>
      </c>
      <c r="E90" s="14">
        <f>data!S75</f>
        <v>4074993</v>
      </c>
      <c r="F90" s="14">
        <f>data!T75</f>
        <v>0</v>
      </c>
      <c r="G90" s="14">
        <f>data!U75</f>
        <v>185550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1410</v>
      </c>
      <c r="D92" s="14">
        <f>data!R76</f>
        <v>539</v>
      </c>
      <c r="E92" s="14">
        <f>data!S76</f>
        <v>0</v>
      </c>
      <c r="F92" s="14">
        <f>data!T76</f>
        <v>0</v>
      </c>
      <c r="G92" s="14">
        <f>data!U76</f>
        <v>461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1410</v>
      </c>
      <c r="D94" s="14">
        <f>data!R78</f>
        <v>539</v>
      </c>
      <c r="E94" s="14">
        <f>data!S78</f>
        <v>0</v>
      </c>
      <c r="F94" s="14">
        <f>data!T78</f>
        <v>0</v>
      </c>
      <c r="G94" s="14">
        <f>data!U78</f>
        <v>461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1.95</v>
      </c>
      <c r="D96" s="84">
        <f>data!R80</f>
        <v>4.33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Shriners Hospitals for Children - Spokane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4.2</v>
      </c>
      <c r="E106" s="26">
        <f>data!Z60</f>
        <v>0</v>
      </c>
      <c r="F106" s="26">
        <f>data!AA60</f>
        <v>0</v>
      </c>
      <c r="G106" s="26">
        <f>data!AB60</f>
        <v>1.58</v>
      </c>
      <c r="H106" s="26">
        <f>data!AC60</f>
        <v>3.08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319441</v>
      </c>
      <c r="E107" s="14">
        <f>data!Z61</f>
        <v>0</v>
      </c>
      <c r="F107" s="14">
        <f>data!AA61</f>
        <v>0</v>
      </c>
      <c r="G107" s="14">
        <f>data!AB61</f>
        <v>272172</v>
      </c>
      <c r="H107" s="14">
        <f>data!AC61</f>
        <v>292992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90284</v>
      </c>
      <c r="E108" s="14">
        <f>data!Z62</f>
        <v>0</v>
      </c>
      <c r="F108" s="14">
        <f>data!AA62</f>
        <v>0</v>
      </c>
      <c r="G108" s="14">
        <f>data!AB62</f>
        <v>76925</v>
      </c>
      <c r="H108" s="14">
        <f>data!AC62</f>
        <v>82809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37848</v>
      </c>
      <c r="E113" s="14">
        <f>data!Z67</f>
        <v>0</v>
      </c>
      <c r="F113" s="14">
        <f>data!AA67</f>
        <v>0</v>
      </c>
      <c r="G113" s="14">
        <f>data!AB67</f>
        <v>3525</v>
      </c>
      <c r="H113" s="14">
        <f>data!AC67</f>
        <v>1210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447573</v>
      </c>
      <c r="E117" s="14">
        <f>data!Z71</f>
        <v>0</v>
      </c>
      <c r="F117" s="14">
        <f>data!AA71</f>
        <v>0</v>
      </c>
      <c r="G117" s="14">
        <f>data!AB71</f>
        <v>352622</v>
      </c>
      <c r="H117" s="14">
        <f>data!AC71</f>
        <v>377011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286807</v>
      </c>
      <c r="E119" s="48">
        <f>+data!M691</f>
        <v>0</v>
      </c>
      <c r="F119" s="48">
        <f>+data!M692</f>
        <v>0</v>
      </c>
      <c r="G119" s="48">
        <f>+data!M693</f>
        <v>222883</v>
      </c>
      <c r="H119" s="48">
        <f>+data!M694</f>
        <v>190009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165508</v>
      </c>
      <c r="E120" s="14">
        <f>data!Z73</f>
        <v>0</v>
      </c>
      <c r="F120" s="14">
        <f>data!AA73</f>
        <v>0</v>
      </c>
      <c r="G120" s="14">
        <f>data!AB73</f>
        <v>897495</v>
      </c>
      <c r="H120" s="14">
        <f>data!AC73</f>
        <v>258606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3088444</v>
      </c>
      <c r="E121" s="14">
        <f>data!Z74</f>
        <v>0</v>
      </c>
      <c r="F121" s="14">
        <f>data!AA74</f>
        <v>0</v>
      </c>
      <c r="G121" s="14">
        <f>data!AB74</f>
        <v>1238540</v>
      </c>
      <c r="H121" s="14">
        <f>data!AC74</f>
        <v>163706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3253952</v>
      </c>
      <c r="E122" s="14">
        <f>data!Z75</f>
        <v>0</v>
      </c>
      <c r="F122" s="14">
        <f>data!AA75</f>
        <v>0</v>
      </c>
      <c r="G122" s="14">
        <f>data!AB75</f>
        <v>2136035</v>
      </c>
      <c r="H122" s="14">
        <f>data!AC75</f>
        <v>422312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3221</v>
      </c>
      <c r="E124" s="14">
        <f>data!Z76</f>
        <v>0</v>
      </c>
      <c r="F124" s="14">
        <f>data!AA76</f>
        <v>0</v>
      </c>
      <c r="G124" s="14">
        <f>data!AB76</f>
        <v>300</v>
      </c>
      <c r="H124" s="14">
        <f>data!AC76</f>
        <v>103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3221</v>
      </c>
      <c r="E126" s="14">
        <f>data!Z78</f>
        <v>0</v>
      </c>
      <c r="F126" s="14">
        <f>data!AA78</f>
        <v>0</v>
      </c>
      <c r="G126" s="14">
        <f>data!AB78</f>
        <v>300</v>
      </c>
      <c r="H126" s="14">
        <f>data!AC78</f>
        <v>103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2561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Shriners Hospitals for Children - Spokane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3.81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9</v>
      </c>
      <c r="I138" s="26">
        <f>data!AK60</f>
        <v>6.48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380046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624120</v>
      </c>
      <c r="I139" s="14">
        <f>data!AK61</f>
        <v>641965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107413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176397</v>
      </c>
      <c r="I140" s="14">
        <f>data!AK62</f>
        <v>181440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61349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103275</v>
      </c>
      <c r="I145" s="14">
        <f>data!AK67</f>
        <v>96143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548808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903792</v>
      </c>
      <c r="I149" s="14">
        <f>data!AK71</f>
        <v>919548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181275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607987</v>
      </c>
      <c r="I151" s="48">
        <f>+data!M702</f>
        <v>256439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98838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10112</v>
      </c>
      <c r="I152" s="14">
        <f>data!AK73</f>
        <v>823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940630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3370375</v>
      </c>
      <c r="I153" s="14">
        <f>data!AK74</f>
        <v>245387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1039468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3380487</v>
      </c>
      <c r="I154" s="14">
        <f>data!AK75</f>
        <v>246210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5221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8789</v>
      </c>
      <c r="I156" s="14">
        <f>data!AK76</f>
        <v>8182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5221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8789</v>
      </c>
      <c r="I158" s="14">
        <f>data!AK78</f>
        <v>8182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756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7129</v>
      </c>
      <c r="I159" s="14">
        <f>data!AK79</f>
        <v>1363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9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Shriners Hospitals for Children - Spokane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Shriners Hospitals for Children - Spokane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4740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51761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51761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4405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Shriners Hospitals for Children - Spokane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19660</v>
      </c>
      <c r="D233" s="14">
        <f>data!BA59</f>
        <v>0</v>
      </c>
      <c r="E233" s="212"/>
      <c r="F233" s="212"/>
      <c r="G233" s="212"/>
      <c r="H233" s="14">
        <f>data!BE59</f>
        <v>88741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422359</v>
      </c>
      <c r="D235" s="14">
        <f>data!BA61</f>
        <v>51833</v>
      </c>
      <c r="E235" s="14">
        <f>data!BB61</f>
        <v>558152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295809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119372</v>
      </c>
      <c r="D236" s="14">
        <f>data!BA62</f>
        <v>14650</v>
      </c>
      <c r="E236" s="14">
        <f>data!BB62</f>
        <v>157752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83605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16909</v>
      </c>
      <c r="D241" s="14">
        <f>data!BA67</f>
        <v>18965</v>
      </c>
      <c r="E241" s="14">
        <f>data!BB67</f>
        <v>22408</v>
      </c>
      <c r="F241" s="14">
        <f>data!BC67</f>
        <v>0</v>
      </c>
      <c r="G241" s="14">
        <f>data!BD67</f>
        <v>2879</v>
      </c>
      <c r="H241" s="14">
        <f>data!BE67</f>
        <v>98610</v>
      </c>
      <c r="I241" s="14">
        <f>data!BF67</f>
        <v>8484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558640</v>
      </c>
      <c r="D245" s="14">
        <f>data!BA71</f>
        <v>85448</v>
      </c>
      <c r="E245" s="14">
        <f>data!BB71</f>
        <v>738312</v>
      </c>
      <c r="F245" s="14">
        <f>data!BC71</f>
        <v>0</v>
      </c>
      <c r="G245" s="14">
        <f>data!BD71</f>
        <v>2879</v>
      </c>
      <c r="H245" s="14">
        <f>data!BE71</f>
        <v>98610</v>
      </c>
      <c r="I245" s="14">
        <f>data!BF71</f>
        <v>387898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1439</v>
      </c>
      <c r="D252" s="85">
        <f>data!BA76</f>
        <v>1614</v>
      </c>
      <c r="E252" s="85">
        <f>data!BB76</f>
        <v>1907</v>
      </c>
      <c r="F252" s="85">
        <f>data!BC76</f>
        <v>0</v>
      </c>
      <c r="G252" s="85">
        <f>data!BD76</f>
        <v>245</v>
      </c>
      <c r="H252" s="85">
        <f>data!BE76</f>
        <v>8392</v>
      </c>
      <c r="I252" s="85">
        <f>data!BF76</f>
        <v>722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1614</v>
      </c>
      <c r="E254" s="85">
        <f>data!BB78</f>
        <v>1907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Shriners Hospitals for Children - Spokane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Shriners Hospitals for Children - Spokane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2649486</v>
      </c>
      <c r="D299" s="14">
        <f>data!BO61</f>
        <v>0</v>
      </c>
      <c r="E299" s="14">
        <f>data!BP61</f>
        <v>0</v>
      </c>
      <c r="F299" s="14">
        <f>data!BQ61</f>
        <v>417719</v>
      </c>
      <c r="G299" s="14">
        <f>data!BR61</f>
        <v>162710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748831</v>
      </c>
      <c r="D300" s="14">
        <f>data!BO62</f>
        <v>0</v>
      </c>
      <c r="E300" s="14">
        <f>data!BP62</f>
        <v>0</v>
      </c>
      <c r="F300" s="14">
        <f>data!BQ62</f>
        <v>118061</v>
      </c>
      <c r="G300" s="14">
        <f>data!BR62</f>
        <v>45987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157010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4865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3555327</v>
      </c>
      <c r="D309" s="14">
        <f>data!BO71</f>
        <v>0</v>
      </c>
      <c r="E309" s="14">
        <f>data!BP71</f>
        <v>0</v>
      </c>
      <c r="F309" s="14">
        <f>data!BQ71</f>
        <v>535780</v>
      </c>
      <c r="G309" s="14">
        <f>data!BR71</f>
        <v>213562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13362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414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Shriners Hospitals for Children - Spokane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199415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500109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56361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141347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12467</v>
      </c>
      <c r="E337" s="86">
        <f>data!BW67</f>
        <v>0</v>
      </c>
      <c r="F337" s="86">
        <f>data!BX67</f>
        <v>0</v>
      </c>
      <c r="G337" s="86">
        <f>data!BY67</f>
        <v>15499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255776</v>
      </c>
      <c r="D341" s="14">
        <f>data!BV71</f>
        <v>12467</v>
      </c>
      <c r="E341" s="14">
        <f>data!BW71</f>
        <v>0</v>
      </c>
      <c r="F341" s="14">
        <f>data!BX71</f>
        <v>0</v>
      </c>
      <c r="G341" s="14">
        <f>data!BY71</f>
        <v>656955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1061</v>
      </c>
      <c r="E348" s="85">
        <f>data!BW76</f>
        <v>0</v>
      </c>
      <c r="F348" s="85">
        <f>data!BX76</f>
        <v>0</v>
      </c>
      <c r="G348" s="85">
        <f>data!BY76</f>
        <v>1319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1061</v>
      </c>
      <c r="E350" s="85">
        <f>data!BW78</f>
        <v>0</v>
      </c>
      <c r="F350" s="85">
        <f>data!BX78</f>
        <v>0</v>
      </c>
      <c r="G350" s="85">
        <f>data!BY78</f>
        <v>1319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Shriners Hospitals for Children - Spokane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60.03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516361</v>
      </c>
      <c r="E363" s="218"/>
      <c r="F363" s="219"/>
      <c r="G363" s="219"/>
      <c r="H363" s="219"/>
      <c r="I363" s="86">
        <f>data!CE61</f>
        <v>14430256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145940</v>
      </c>
      <c r="E364" s="218"/>
      <c r="F364" s="219"/>
      <c r="G364" s="219"/>
      <c r="H364" s="219"/>
      <c r="I364" s="86">
        <f>data!CE62</f>
        <v>4078459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62607</v>
      </c>
      <c r="E369" s="218"/>
      <c r="F369" s="219"/>
      <c r="G369" s="219"/>
      <c r="H369" s="219"/>
      <c r="I369" s="86">
        <f>data!CE67</f>
        <v>1042750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0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1869733</v>
      </c>
      <c r="F372" s="220"/>
      <c r="G372" s="220"/>
      <c r="H372" s="220"/>
      <c r="I372" s="14">
        <f>-data!CE70</f>
        <v>-1869733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724908</v>
      </c>
      <c r="E373" s="86">
        <f>data!CD71</f>
        <v>-1869733</v>
      </c>
      <c r="F373" s="219"/>
      <c r="G373" s="219"/>
      <c r="H373" s="219"/>
      <c r="I373" s="14">
        <f>data!CE71</f>
        <v>17681733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10007349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21657868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31665217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5328</v>
      </c>
      <c r="E380" s="214"/>
      <c r="F380" s="211"/>
      <c r="G380" s="211"/>
      <c r="H380" s="211"/>
      <c r="I380" s="14">
        <f>data!CE76</f>
        <v>88741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4740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54434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53472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39.61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Shriners Hospital Spokane Year End Report</dc:title>
  <dc:subject>2018 Shriners Hospital Spokane Year End Report</dc:subject>
  <dc:creator>Washington State Dept of Health - HSQA - Community Health Systems</dc:creator>
  <cp:keywords>hospital financial reports</cp:keywords>
  <cp:lastModifiedBy>Huyck, Randall  (DOH)</cp:lastModifiedBy>
  <cp:lastPrinted>2019-04-16T15:00:13Z</cp:lastPrinted>
  <dcterms:created xsi:type="dcterms:W3CDTF">1999-06-02T22:01:56Z</dcterms:created>
  <dcterms:modified xsi:type="dcterms:W3CDTF">2019-04-26T15:51:24Z</dcterms:modified>
</cp:coreProperties>
</file>