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28" i="1" l="1"/>
  <c r="C370" i="1"/>
  <c r="C364" i="1"/>
  <c r="C389" i="1"/>
  <c r="CC76" i="1" l="1"/>
  <c r="S74" i="1" l="1"/>
  <c r="S73" i="1"/>
  <c r="CE80" i="1" l="1"/>
  <c r="CF79" i="1"/>
  <c r="CE79" i="1"/>
  <c r="CE78" i="1"/>
  <c r="CE77" i="1"/>
  <c r="CF77" i="1" s="1"/>
  <c r="CE76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CE74" i="1"/>
  <c r="CE73" i="1"/>
  <c r="CD71" i="1"/>
  <c r="CE70" i="1"/>
  <c r="CE69" i="1"/>
  <c r="CE68" i="1"/>
  <c r="CE66" i="1"/>
  <c r="CE65" i="1"/>
  <c r="CE64" i="1"/>
  <c r="CE63" i="1"/>
  <c r="CE61" i="1"/>
  <c r="CC48" i="1" s="1"/>
  <c r="CC62" i="1" s="1"/>
  <c r="CE60" i="1"/>
  <c r="CE51" i="1"/>
  <c r="CE47" i="1"/>
  <c r="O48" i="1" l="1"/>
  <c r="O62" i="1" s="1"/>
  <c r="CA48" i="1"/>
  <c r="CA62" i="1" s="1"/>
  <c r="P48" i="1"/>
  <c r="P62" i="1" s="1"/>
  <c r="AQ48" i="1"/>
  <c r="AQ62" i="1" s="1"/>
  <c r="AU48" i="1"/>
  <c r="AU62" i="1" s="1"/>
  <c r="G48" i="1"/>
  <c r="G62" i="1" s="1"/>
  <c r="AA48" i="1"/>
  <c r="AA62" i="1" s="1"/>
  <c r="BG48" i="1"/>
  <c r="BG62" i="1" s="1"/>
  <c r="H48" i="1"/>
  <c r="H62" i="1" s="1"/>
  <c r="AE48" i="1"/>
  <c r="AE62" i="1" s="1"/>
  <c r="BK48" i="1"/>
  <c r="BK62" i="1" s="1"/>
  <c r="C48" i="1"/>
  <c r="C62" i="1" s="1"/>
  <c r="K48" i="1"/>
  <c r="K62" i="1" s="1"/>
  <c r="S48" i="1"/>
  <c r="S62" i="1" s="1"/>
  <c r="AI48" i="1"/>
  <c r="AI62" i="1" s="1"/>
  <c r="AY48" i="1"/>
  <c r="AY62" i="1" s="1"/>
  <c r="BP48" i="1"/>
  <c r="BP62" i="1" s="1"/>
  <c r="D48" i="1"/>
  <c r="D62" i="1" s="1"/>
  <c r="L48" i="1"/>
  <c r="L62" i="1" s="1"/>
  <c r="W48" i="1"/>
  <c r="W62" i="1" s="1"/>
  <c r="AM48" i="1"/>
  <c r="AM62" i="1" s="1"/>
  <c r="BC48" i="1"/>
  <c r="BC62" i="1" s="1"/>
  <c r="BV48" i="1"/>
  <c r="BV62" i="1" s="1"/>
  <c r="T48" i="1"/>
  <c r="T62" i="1" s="1"/>
  <c r="X48" i="1"/>
  <c r="X62" i="1" s="1"/>
  <c r="AB48" i="1"/>
  <c r="AB62" i="1" s="1"/>
  <c r="AF48" i="1"/>
  <c r="AF62" i="1" s="1"/>
  <c r="AJ48" i="1"/>
  <c r="AJ62" i="1" s="1"/>
  <c r="AN48" i="1"/>
  <c r="AN62" i="1" s="1"/>
  <c r="AR48" i="1"/>
  <c r="AR62" i="1" s="1"/>
  <c r="AV48" i="1"/>
  <c r="AV62" i="1" s="1"/>
  <c r="AZ48" i="1"/>
  <c r="AZ62" i="1" s="1"/>
  <c r="BD48" i="1"/>
  <c r="BD62" i="1" s="1"/>
  <c r="BH48" i="1"/>
  <c r="BH62" i="1" s="1"/>
  <c r="BL48" i="1"/>
  <c r="BL62" i="1" s="1"/>
  <c r="BR48" i="1"/>
  <c r="BR62" i="1" s="1"/>
  <c r="BW48" i="1"/>
  <c r="BW62" i="1" s="1"/>
  <c r="CB48" i="1"/>
  <c r="CB62" i="1" s="1"/>
  <c r="Q48" i="1"/>
  <c r="Q62" i="1" s="1"/>
  <c r="E48" i="1"/>
  <c r="E62" i="1" s="1"/>
  <c r="I48" i="1"/>
  <c r="I62" i="1" s="1"/>
  <c r="M48" i="1"/>
  <c r="M62" i="1" s="1"/>
  <c r="U48" i="1"/>
  <c r="U62" i="1" s="1"/>
  <c r="Y48" i="1"/>
  <c r="Y62" i="1" s="1"/>
  <c r="AC48" i="1"/>
  <c r="AC62" i="1" s="1"/>
  <c r="AG48" i="1"/>
  <c r="AG62" i="1" s="1"/>
  <c r="AK48" i="1"/>
  <c r="AK62" i="1" s="1"/>
  <c r="AO48" i="1"/>
  <c r="AO62" i="1" s="1"/>
  <c r="AS48" i="1"/>
  <c r="AS62" i="1" s="1"/>
  <c r="AW48" i="1"/>
  <c r="AW62" i="1" s="1"/>
  <c r="BA48" i="1"/>
  <c r="BA62" i="1" s="1"/>
  <c r="BE48" i="1"/>
  <c r="BE62" i="1" s="1"/>
  <c r="BI48" i="1"/>
  <c r="BI62" i="1" s="1"/>
  <c r="BN48" i="1"/>
  <c r="BN62" i="1" s="1"/>
  <c r="BS48" i="1"/>
  <c r="BS62" i="1" s="1"/>
  <c r="BX48" i="1"/>
  <c r="BX62" i="1" s="1"/>
  <c r="F48" i="1"/>
  <c r="F62" i="1" s="1"/>
  <c r="J48" i="1"/>
  <c r="J62" i="1" s="1"/>
  <c r="N48" i="1"/>
  <c r="N62" i="1" s="1"/>
  <c r="R48" i="1"/>
  <c r="R62" i="1" s="1"/>
  <c r="V48" i="1"/>
  <c r="V62" i="1" s="1"/>
  <c r="Z48" i="1"/>
  <c r="Z62" i="1" s="1"/>
  <c r="AD48" i="1"/>
  <c r="AD62" i="1" s="1"/>
  <c r="AH48" i="1"/>
  <c r="AH62" i="1" s="1"/>
  <c r="AL48" i="1"/>
  <c r="AL62" i="1" s="1"/>
  <c r="AP48" i="1"/>
  <c r="AP62" i="1" s="1"/>
  <c r="AT48" i="1"/>
  <c r="AT62" i="1" s="1"/>
  <c r="AX48" i="1"/>
  <c r="AX62" i="1" s="1"/>
  <c r="BB48" i="1"/>
  <c r="BB62" i="1" s="1"/>
  <c r="BF48" i="1"/>
  <c r="BF62" i="1" s="1"/>
  <c r="BJ48" i="1"/>
  <c r="BJ62" i="1" s="1"/>
  <c r="BO48" i="1"/>
  <c r="BO62" i="1" s="1"/>
  <c r="BT48" i="1"/>
  <c r="BT62" i="1" s="1"/>
  <c r="BZ48" i="1"/>
  <c r="BZ62" i="1" s="1"/>
  <c r="S75" i="1"/>
  <c r="CE75" i="1" s="1"/>
  <c r="CF76" i="1"/>
  <c r="CB52" i="1" s="1"/>
  <c r="CB67" i="1" s="1"/>
  <c r="BM48" i="1"/>
  <c r="BM62" i="1" s="1"/>
  <c r="BQ48" i="1"/>
  <c r="BQ62" i="1" s="1"/>
  <c r="BU48" i="1"/>
  <c r="BU62" i="1" s="1"/>
  <c r="BY48" i="1"/>
  <c r="BY62" i="1" s="1"/>
  <c r="CB71" i="1" l="1"/>
  <c r="CA52" i="1"/>
  <c r="CA67" i="1" s="1"/>
  <c r="CA71" i="1" s="1"/>
  <c r="BF52" i="1"/>
  <c r="BF67" i="1" s="1"/>
  <c r="BF71" i="1" s="1"/>
  <c r="AK52" i="1"/>
  <c r="AK67" i="1" s="1"/>
  <c r="AK71" i="1" s="1"/>
  <c r="O52" i="1"/>
  <c r="O67" i="1" s="1"/>
  <c r="O71" i="1" s="1"/>
  <c r="BU52" i="1"/>
  <c r="BU67" i="1" s="1"/>
  <c r="BU71" i="1" s="1"/>
  <c r="CE62" i="1"/>
  <c r="AY52" i="1"/>
  <c r="AY67" i="1" s="1"/>
  <c r="AY71" i="1" s="1"/>
  <c r="I52" i="1"/>
  <c r="I67" i="1" s="1"/>
  <c r="I71" i="1" s="1"/>
  <c r="BS52" i="1"/>
  <c r="BS67" i="1" s="1"/>
  <c r="BS71" i="1" s="1"/>
  <c r="AC52" i="1"/>
  <c r="AC67" i="1" s="1"/>
  <c r="AC71" i="1" s="1"/>
  <c r="H52" i="1"/>
  <c r="H67" i="1" s="1"/>
  <c r="H71" i="1" s="1"/>
  <c r="BD52" i="1"/>
  <c r="BD67" i="1" s="1"/>
  <c r="BD71" i="1" s="1"/>
  <c r="BA52" i="1"/>
  <c r="BA67" i="1" s="1"/>
  <c r="BA71" i="1" s="1"/>
  <c r="J52" i="1"/>
  <c r="J67" i="1" s="1"/>
  <c r="J71" i="1" s="1"/>
  <c r="BO52" i="1"/>
  <c r="BO67" i="1" s="1"/>
  <c r="BO71" i="1" s="1"/>
  <c r="AT52" i="1"/>
  <c r="AT67" i="1" s="1"/>
  <c r="AT71" i="1" s="1"/>
  <c r="Y52" i="1"/>
  <c r="Y67" i="1" s="1"/>
  <c r="Y71" i="1" s="1"/>
  <c r="C52" i="1"/>
  <c r="BN52" i="1"/>
  <c r="BN67" i="1" s="1"/>
  <c r="BN71" i="1" s="1"/>
  <c r="AS52" i="1"/>
  <c r="AS67" i="1" s="1"/>
  <c r="AS71" i="1" s="1"/>
  <c r="W52" i="1"/>
  <c r="W67" i="1" s="1"/>
  <c r="W71" i="1" s="1"/>
  <c r="L52" i="1"/>
  <c r="L67" i="1" s="1"/>
  <c r="L71" i="1" s="1"/>
  <c r="AB52" i="1"/>
  <c r="AB67" i="1" s="1"/>
  <c r="AB71" i="1" s="1"/>
  <c r="AR52" i="1"/>
  <c r="AR67" i="1" s="1"/>
  <c r="AR71" i="1" s="1"/>
  <c r="BH52" i="1"/>
  <c r="BH67" i="1" s="1"/>
  <c r="BH71" i="1" s="1"/>
  <c r="BX52" i="1"/>
  <c r="BX67" i="1" s="1"/>
  <c r="BX71" i="1" s="1"/>
  <c r="AD52" i="1"/>
  <c r="AD67" i="1" s="1"/>
  <c r="AD71" i="1" s="1"/>
  <c r="AX52" i="1"/>
  <c r="AX67" i="1" s="1"/>
  <c r="AX71" i="1" s="1"/>
  <c r="X52" i="1"/>
  <c r="X67" i="1" s="1"/>
  <c r="X71" i="1" s="1"/>
  <c r="BT52" i="1"/>
  <c r="BT67" i="1" s="1"/>
  <c r="BT71" i="1" s="1"/>
  <c r="CE48" i="1"/>
  <c r="BQ52" i="1"/>
  <c r="BQ67" i="1" s="1"/>
  <c r="BQ71" i="1" s="1"/>
  <c r="AU52" i="1"/>
  <c r="AU67" i="1" s="1"/>
  <c r="AU71" i="1" s="1"/>
  <c r="Z52" i="1"/>
  <c r="Z67" i="1" s="1"/>
  <c r="Z71" i="1" s="1"/>
  <c r="E52" i="1"/>
  <c r="E67" i="1" s="1"/>
  <c r="E71" i="1" s="1"/>
  <c r="BJ52" i="1"/>
  <c r="BJ67" i="1" s="1"/>
  <c r="BJ71" i="1" s="1"/>
  <c r="AO52" i="1"/>
  <c r="AO67" i="1" s="1"/>
  <c r="AO71" i="1" s="1"/>
  <c r="S52" i="1"/>
  <c r="S67" i="1" s="1"/>
  <c r="S71" i="1" s="1"/>
  <c r="BI52" i="1"/>
  <c r="BI67" i="1" s="1"/>
  <c r="BI71" i="1" s="1"/>
  <c r="AM52" i="1"/>
  <c r="AM67" i="1" s="1"/>
  <c r="AM71" i="1" s="1"/>
  <c r="R52" i="1"/>
  <c r="R67" i="1" s="1"/>
  <c r="R71" i="1" s="1"/>
  <c r="P52" i="1"/>
  <c r="P67" i="1" s="1"/>
  <c r="P71" i="1" s="1"/>
  <c r="AF52" i="1"/>
  <c r="AF67" i="1" s="1"/>
  <c r="AF71" i="1" s="1"/>
  <c r="AV52" i="1"/>
  <c r="AV67" i="1" s="1"/>
  <c r="AV71" i="1" s="1"/>
  <c r="BL52" i="1"/>
  <c r="BL67" i="1" s="1"/>
  <c r="BL71" i="1" s="1"/>
  <c r="CC52" i="1"/>
  <c r="CC67" i="1" s="1"/>
  <c r="CC71" i="1" s="1"/>
  <c r="BR52" i="1"/>
  <c r="BR67" i="1" s="1"/>
  <c r="BR71" i="1" s="1"/>
  <c r="BG52" i="1"/>
  <c r="BG67" i="1" s="1"/>
  <c r="BG71" i="1" s="1"/>
  <c r="AW52" i="1"/>
  <c r="AW67" i="1" s="1"/>
  <c r="AW71" i="1" s="1"/>
  <c r="AL52" i="1"/>
  <c r="AL67" i="1" s="1"/>
  <c r="AL71" i="1" s="1"/>
  <c r="AA52" i="1"/>
  <c r="AA67" i="1" s="1"/>
  <c r="AA71" i="1" s="1"/>
  <c r="Q52" i="1"/>
  <c r="Q67" i="1" s="1"/>
  <c r="Q71" i="1" s="1"/>
  <c r="F52" i="1"/>
  <c r="F67" i="1" s="1"/>
  <c r="F71" i="1" s="1"/>
  <c r="BW52" i="1"/>
  <c r="BW67" i="1" s="1"/>
  <c r="BW71" i="1" s="1"/>
  <c r="BM52" i="1"/>
  <c r="BM67" i="1" s="1"/>
  <c r="BM71" i="1" s="1"/>
  <c r="BB52" i="1"/>
  <c r="BB67" i="1" s="1"/>
  <c r="BB71" i="1" s="1"/>
  <c r="AQ52" i="1"/>
  <c r="AQ67" i="1" s="1"/>
  <c r="AQ71" i="1" s="1"/>
  <c r="AG52" i="1"/>
  <c r="AG67" i="1" s="1"/>
  <c r="AG71" i="1" s="1"/>
  <c r="V52" i="1"/>
  <c r="V67" i="1" s="1"/>
  <c r="V71" i="1" s="1"/>
  <c r="K52" i="1"/>
  <c r="K67" i="1" s="1"/>
  <c r="K71" i="1" s="1"/>
  <c r="G52" i="1"/>
  <c r="G67" i="1" s="1"/>
  <c r="G71" i="1" s="1"/>
  <c r="AN52" i="1"/>
  <c r="AN67" i="1" s="1"/>
  <c r="AN71" i="1" s="1"/>
  <c r="BV52" i="1"/>
  <c r="BV67" i="1" s="1"/>
  <c r="BV71" i="1" s="1"/>
  <c r="AE52" i="1"/>
  <c r="AE67" i="1" s="1"/>
  <c r="AE71" i="1" s="1"/>
  <c r="BK52" i="1"/>
  <c r="BK67" i="1" s="1"/>
  <c r="BK71" i="1" s="1"/>
  <c r="AP52" i="1"/>
  <c r="AP67" i="1" s="1"/>
  <c r="AP71" i="1" s="1"/>
  <c r="U52" i="1"/>
  <c r="U67" i="1" s="1"/>
  <c r="U71" i="1" s="1"/>
  <c r="BZ52" i="1"/>
  <c r="BZ67" i="1" s="1"/>
  <c r="BZ71" i="1" s="1"/>
  <c r="BE52" i="1"/>
  <c r="BE67" i="1" s="1"/>
  <c r="BE71" i="1" s="1"/>
  <c r="AI52" i="1"/>
  <c r="AI67" i="1" s="1"/>
  <c r="AI71" i="1" s="1"/>
  <c r="N52" i="1"/>
  <c r="N67" i="1" s="1"/>
  <c r="N71" i="1" s="1"/>
  <c r="BY52" i="1"/>
  <c r="BY67" i="1" s="1"/>
  <c r="BY71" i="1" s="1"/>
  <c r="BC52" i="1"/>
  <c r="BC67" i="1" s="1"/>
  <c r="BC71" i="1" s="1"/>
  <c r="AH52" i="1"/>
  <c r="AH67" i="1" s="1"/>
  <c r="AH71" i="1" s="1"/>
  <c r="M52" i="1"/>
  <c r="M67" i="1" s="1"/>
  <c r="M71" i="1" s="1"/>
  <c r="D52" i="1"/>
  <c r="D67" i="1" s="1"/>
  <c r="D71" i="1" s="1"/>
  <c r="T52" i="1"/>
  <c r="T67" i="1" s="1"/>
  <c r="T71" i="1" s="1"/>
  <c r="AJ52" i="1"/>
  <c r="AJ67" i="1" s="1"/>
  <c r="AJ71" i="1" s="1"/>
  <c r="AZ52" i="1"/>
  <c r="AZ67" i="1" s="1"/>
  <c r="AZ71" i="1" s="1"/>
  <c r="BP52" i="1"/>
  <c r="BP67" i="1" s="1"/>
  <c r="BP71" i="1" s="1"/>
  <c r="C67" i="1" l="1"/>
  <c r="CE52" i="1"/>
  <c r="CE67" i="1" l="1"/>
  <c r="CE71" i="1" s="1"/>
  <c r="C71" i="1"/>
  <c r="C176" i="1" l="1"/>
  <c r="C170" i="1"/>
  <c r="C171" i="1"/>
  <c r="C165" i="1"/>
  <c r="D142" i="1" l="1"/>
  <c r="C141" i="1"/>
  <c r="C142" i="1" s="1"/>
  <c r="B157" i="1"/>
  <c r="D141" i="1" l="1"/>
  <c r="C383" i="1"/>
  <c r="C387" i="1"/>
  <c r="C385" i="1"/>
  <c r="C379" i="1"/>
  <c r="C378" i="1"/>
  <c r="C305" i="1"/>
  <c r="C306" i="1"/>
  <c r="C276" i="1"/>
  <c r="C252" i="1"/>
  <c r="C253" i="1"/>
  <c r="C239" i="1" l="1"/>
  <c r="C238" i="1"/>
  <c r="C231" i="1"/>
  <c r="C225" i="1"/>
  <c r="C224" i="1"/>
  <c r="C223" i="1"/>
  <c r="B213" i="1" l="1"/>
  <c r="D140" i="1" l="1"/>
  <c r="D139" i="1"/>
  <c r="D138" i="1"/>
  <c r="C140" i="1"/>
  <c r="C139" i="1"/>
  <c r="C138" i="1"/>
  <c r="C615" i="10" l="1"/>
  <c r="H550" i="10"/>
  <c r="E550" i="10"/>
  <c r="F550" i="10"/>
  <c r="E546" i="10"/>
  <c r="E545" i="10"/>
  <c r="F545" i="10"/>
  <c r="E544" i="10"/>
  <c r="F544" i="10"/>
  <c r="H540" i="10"/>
  <c r="E540" i="10"/>
  <c r="F540" i="10"/>
  <c r="E539" i="10"/>
  <c r="H539" i="10"/>
  <c r="F538" i="10"/>
  <c r="E538" i="10"/>
  <c r="H538" i="10"/>
  <c r="H537" i="10"/>
  <c r="F537" i="10"/>
  <c r="E537" i="10"/>
  <c r="H536" i="10"/>
  <c r="E536" i="10"/>
  <c r="F536" i="10"/>
  <c r="H535" i="10"/>
  <c r="E535" i="10"/>
  <c r="F535" i="10"/>
  <c r="E534" i="10"/>
  <c r="H534" i="10"/>
  <c r="H533" i="10"/>
  <c r="E533" i="10"/>
  <c r="F533" i="10"/>
  <c r="H532" i="10"/>
  <c r="E532" i="10"/>
  <c r="F532" i="10"/>
  <c r="E531" i="10"/>
  <c r="H531" i="10"/>
  <c r="E530" i="10"/>
  <c r="E529" i="10"/>
  <c r="F529" i="10"/>
  <c r="H528" i="10"/>
  <c r="E528" i="10"/>
  <c r="F528" i="10"/>
  <c r="E527" i="10"/>
  <c r="H527" i="10"/>
  <c r="E526" i="10"/>
  <c r="H526" i="10"/>
  <c r="E525" i="10"/>
  <c r="F525" i="10"/>
  <c r="E524" i="10"/>
  <c r="F524" i="10"/>
  <c r="E523" i="10"/>
  <c r="H523" i="10"/>
  <c r="E522" i="10"/>
  <c r="F521" i="10"/>
  <c r="E520" i="10"/>
  <c r="H520" i="10"/>
  <c r="H519" i="10"/>
  <c r="E519" i="10"/>
  <c r="F519" i="10"/>
  <c r="E518" i="10"/>
  <c r="H517" i="10"/>
  <c r="F517" i="10"/>
  <c r="E517" i="10"/>
  <c r="E516" i="10"/>
  <c r="H516" i="10"/>
  <c r="H515" i="10"/>
  <c r="E515" i="10"/>
  <c r="F515" i="10"/>
  <c r="E514" i="10"/>
  <c r="F514" i="10"/>
  <c r="E511" i="10"/>
  <c r="F511" i="10"/>
  <c r="E510" i="10"/>
  <c r="F510" i="10"/>
  <c r="E509" i="10"/>
  <c r="H508" i="10"/>
  <c r="F508" i="10"/>
  <c r="E508" i="10"/>
  <c r="H507" i="10"/>
  <c r="E507" i="10"/>
  <c r="F507" i="10"/>
  <c r="H506" i="10"/>
  <c r="F506" i="10"/>
  <c r="E506" i="10"/>
  <c r="F505" i="10"/>
  <c r="E505" i="10"/>
  <c r="H505" i="10"/>
  <c r="E504" i="10"/>
  <c r="H504" i="10"/>
  <c r="H503" i="10"/>
  <c r="F503" i="10"/>
  <c r="E503" i="10"/>
  <c r="H502" i="10"/>
  <c r="E502" i="10"/>
  <c r="F502" i="10"/>
  <c r="E501" i="10"/>
  <c r="H500" i="10"/>
  <c r="F500" i="10"/>
  <c r="E500" i="10"/>
  <c r="H499" i="10"/>
  <c r="E499" i="10"/>
  <c r="F499" i="10"/>
  <c r="E498" i="10"/>
  <c r="F498" i="10"/>
  <c r="F497" i="10"/>
  <c r="E497" i="10"/>
  <c r="H497" i="10"/>
  <c r="E496" i="10"/>
  <c r="H496" i="10"/>
  <c r="G493" i="10"/>
  <c r="E493" i="10"/>
  <c r="C493" i="10"/>
  <c r="A493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4" i="10"/>
  <c r="B453" i="10"/>
  <c r="C447" i="10"/>
  <c r="C445" i="10"/>
  <c r="C444" i="10"/>
  <c r="C439" i="10"/>
  <c r="C438" i="10"/>
  <c r="B437" i="10"/>
  <c r="B435" i="10"/>
  <c r="C434" i="10"/>
  <c r="B433" i="10"/>
  <c r="B432" i="10"/>
  <c r="B431" i="10"/>
  <c r="B430" i="10"/>
  <c r="B429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7" i="10"/>
  <c r="B438" i="10" s="1"/>
  <c r="C385" i="10"/>
  <c r="B434" i="10" s="1"/>
  <c r="C379" i="10"/>
  <c r="B428" i="10" s="1"/>
  <c r="C378" i="10"/>
  <c r="C370" i="10"/>
  <c r="C365" i="10"/>
  <c r="C446" i="10" s="1"/>
  <c r="D361" i="10"/>
  <c r="D329" i="10"/>
  <c r="D328" i="10"/>
  <c r="D319" i="10"/>
  <c r="C312" i="10"/>
  <c r="C307" i="10"/>
  <c r="C306" i="10"/>
  <c r="C305" i="10"/>
  <c r="D290" i="10"/>
  <c r="D283" i="10"/>
  <c r="C276" i="10"/>
  <c r="B478" i="10" s="1"/>
  <c r="D275" i="10"/>
  <c r="D277" i="10" s="1"/>
  <c r="D265" i="10"/>
  <c r="C252" i="10"/>
  <c r="D260" i="10" s="1"/>
  <c r="D292" i="10" s="1"/>
  <c r="D341" i="10" s="1"/>
  <c r="C481" i="10" s="1"/>
  <c r="C239" i="10"/>
  <c r="D240" i="10" s="1"/>
  <c r="B447" i="10" s="1"/>
  <c r="C234" i="10"/>
  <c r="B455" i="10" s="1"/>
  <c r="C233" i="10"/>
  <c r="C231" i="10"/>
  <c r="C228" i="10"/>
  <c r="C227" i="10"/>
  <c r="C226" i="10"/>
  <c r="C224" i="10"/>
  <c r="D221" i="10"/>
  <c r="D217" i="10"/>
  <c r="B217" i="10"/>
  <c r="E216" i="10"/>
  <c r="E215" i="10"/>
  <c r="E214" i="10"/>
  <c r="C213" i="10"/>
  <c r="E213" i="10" s="1"/>
  <c r="E212" i="10"/>
  <c r="C211" i="10"/>
  <c r="E211" i="10" s="1"/>
  <c r="C210" i="10"/>
  <c r="E210" i="10" s="1"/>
  <c r="C209" i="10"/>
  <c r="C217" i="10" s="1"/>
  <c r="D433" i="10" s="1"/>
  <c r="D204" i="10"/>
  <c r="B204" i="10"/>
  <c r="C203" i="10"/>
  <c r="E203" i="10" s="1"/>
  <c r="C475" i="10" s="1"/>
  <c r="E202" i="10"/>
  <c r="C474" i="10" s="1"/>
  <c r="E201" i="10"/>
  <c r="C200" i="10"/>
  <c r="E200" i="10" s="1"/>
  <c r="E199" i="10"/>
  <c r="C472" i="10" s="1"/>
  <c r="C198" i="10"/>
  <c r="E198" i="10" s="1"/>
  <c r="C471" i="10" s="1"/>
  <c r="C197" i="10"/>
  <c r="E196" i="10"/>
  <c r="C469" i="10" s="1"/>
  <c r="E195" i="10"/>
  <c r="D190" i="10"/>
  <c r="D437" i="10" s="1"/>
  <c r="D186" i="10"/>
  <c r="D436" i="10" s="1"/>
  <c r="D181" i="10"/>
  <c r="D435" i="10" s="1"/>
  <c r="C176" i="10"/>
  <c r="D177" i="10" s="1"/>
  <c r="D434" i="10" s="1"/>
  <c r="C171" i="10"/>
  <c r="C170" i="10"/>
  <c r="C168" i="10"/>
  <c r="D173" i="10" s="1"/>
  <c r="D428" i="10" s="1"/>
  <c r="B157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E142" i="10" s="1"/>
  <c r="D141" i="10"/>
  <c r="C141" i="10"/>
  <c r="E141" i="10" s="1"/>
  <c r="D463" i="10" s="1"/>
  <c r="E140" i="10"/>
  <c r="D140" i="10"/>
  <c r="C140" i="10"/>
  <c r="D139" i="10"/>
  <c r="C139" i="10"/>
  <c r="E139" i="10" s="1"/>
  <c r="C415" i="10" s="1"/>
  <c r="D138" i="10"/>
  <c r="C138" i="10"/>
  <c r="E138" i="10" s="1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BN76" i="10"/>
  <c r="CE76" i="10" s="1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S74" i="10"/>
  <c r="CE74" i="10" s="1"/>
  <c r="C464" i="10" s="1"/>
  <c r="CE73" i="10"/>
  <c r="C463" i="10" s="1"/>
  <c r="S73" i="10"/>
  <c r="CD71" i="10"/>
  <c r="C575" i="10" s="1"/>
  <c r="CE70" i="10"/>
  <c r="C458" i="10" s="1"/>
  <c r="CE69" i="10"/>
  <c r="C440" i="10" s="1"/>
  <c r="CE68" i="10"/>
  <c r="CE66" i="10"/>
  <c r="C432" i="10" s="1"/>
  <c r="CE65" i="10"/>
  <c r="C431" i="10" s="1"/>
  <c r="CE64" i="10"/>
  <c r="CE63" i="10"/>
  <c r="C429" i="10" s="1"/>
  <c r="CC61" i="10"/>
  <c r="CE60" i="10"/>
  <c r="H612" i="10" s="1"/>
  <c r="B53" i="10"/>
  <c r="CE51" i="10"/>
  <c r="B49" i="10"/>
  <c r="CE47" i="10"/>
  <c r="B440" i="10" l="1"/>
  <c r="D236" i="10"/>
  <c r="B446" i="10" s="1"/>
  <c r="AM52" i="10"/>
  <c r="AM67" i="10" s="1"/>
  <c r="D438" i="10"/>
  <c r="M52" i="10"/>
  <c r="M67" i="10" s="1"/>
  <c r="W52" i="10"/>
  <c r="W67" i="10" s="1"/>
  <c r="AV52" i="10"/>
  <c r="AV67" i="10" s="1"/>
  <c r="BK52" i="10"/>
  <c r="BK67" i="10" s="1"/>
  <c r="BY52" i="10"/>
  <c r="BY67" i="10" s="1"/>
  <c r="CF76" i="10"/>
  <c r="O52" i="10"/>
  <c r="O67" i="10" s="1"/>
  <c r="AC52" i="10"/>
  <c r="AC67" i="10" s="1"/>
  <c r="BA52" i="10"/>
  <c r="BA67" i="10" s="1"/>
  <c r="BL52" i="10"/>
  <c r="BL67" i="10" s="1"/>
  <c r="D229" i="10"/>
  <c r="B445" i="10" s="1"/>
  <c r="E52" i="10"/>
  <c r="E67" i="10" s="1"/>
  <c r="P52" i="10"/>
  <c r="P67" i="10" s="1"/>
  <c r="AE52" i="10"/>
  <c r="AE67" i="10" s="1"/>
  <c r="AS52" i="10"/>
  <c r="AS67" i="10" s="1"/>
  <c r="BC52" i="10"/>
  <c r="BC67" i="10" s="1"/>
  <c r="BQ52" i="10"/>
  <c r="BQ67" i="10" s="1"/>
  <c r="CB52" i="10"/>
  <c r="CB67" i="10" s="1"/>
  <c r="S75" i="10"/>
  <c r="CE75" i="10"/>
  <c r="C465" i="10" s="1"/>
  <c r="CF77" i="10"/>
  <c r="E209" i="10"/>
  <c r="E217" i="10" s="1"/>
  <c r="C478" i="10" s="1"/>
  <c r="D314" i="10"/>
  <c r="D367" i="10"/>
  <c r="C448" i="10" s="1"/>
  <c r="D465" i="10"/>
  <c r="F52" i="10"/>
  <c r="F67" i="10" s="1"/>
  <c r="V52" i="10"/>
  <c r="V67" i="10" s="1"/>
  <c r="AL52" i="10"/>
  <c r="AL67" i="10" s="1"/>
  <c r="BB52" i="10"/>
  <c r="BB67" i="10" s="1"/>
  <c r="BR52" i="10"/>
  <c r="BR67" i="10" s="1"/>
  <c r="D339" i="10"/>
  <c r="C482" i="10" s="1"/>
  <c r="H52" i="10"/>
  <c r="H67" i="10" s="1"/>
  <c r="X52" i="10"/>
  <c r="X67" i="10" s="1"/>
  <c r="AN52" i="10"/>
  <c r="AN67" i="10" s="1"/>
  <c r="BD52" i="10"/>
  <c r="BD67" i="10" s="1"/>
  <c r="CE61" i="10"/>
  <c r="K612" i="10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CC52" i="10"/>
  <c r="CC67" i="10" s="1"/>
  <c r="BE52" i="10"/>
  <c r="BE67" i="10" s="1"/>
  <c r="AW52" i="10"/>
  <c r="AW67" i="10" s="1"/>
  <c r="Y52" i="10"/>
  <c r="Y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U52" i="10"/>
  <c r="BU67" i="10" s="1"/>
  <c r="AO52" i="10"/>
  <c r="AO67" i="10" s="1"/>
  <c r="I52" i="10"/>
  <c r="I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BM52" i="10"/>
  <c r="BM67" i="10" s="1"/>
  <c r="AG52" i="10"/>
  <c r="AG67" i="10" s="1"/>
  <c r="Q52" i="10"/>
  <c r="Q67" i="10" s="1"/>
  <c r="C468" i="10"/>
  <c r="B427" i="10"/>
  <c r="D390" i="10"/>
  <c r="B441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E197" i="10"/>
  <c r="C470" i="10" s="1"/>
  <c r="C204" i="10"/>
  <c r="D464" i="10"/>
  <c r="F496" i="10"/>
  <c r="F504" i="10"/>
  <c r="C430" i="10"/>
  <c r="F612" i="10"/>
  <c r="C473" i="10"/>
  <c r="D372" i="10"/>
  <c r="B458" i="10"/>
  <c r="B465" i="10"/>
  <c r="B476" i="10"/>
  <c r="F518" i="10"/>
  <c r="H525" i="10"/>
  <c r="B444" i="10"/>
  <c r="D242" i="10"/>
  <c r="B448" i="10" s="1"/>
  <c r="D330" i="10"/>
  <c r="B436" i="10"/>
  <c r="F512" i="10"/>
  <c r="H512" i="10"/>
  <c r="F546" i="10"/>
  <c r="H501" i="10"/>
  <c r="F501" i="10"/>
  <c r="H513" i="10"/>
  <c r="F513" i="10"/>
  <c r="F539" i="10"/>
  <c r="F509" i="10"/>
  <c r="F516" i="10"/>
  <c r="F520" i="10"/>
  <c r="F523" i="10"/>
  <c r="F527" i="10"/>
  <c r="F531" i="10"/>
  <c r="F522" i="10"/>
  <c r="F526" i="10"/>
  <c r="F530" i="10"/>
  <c r="F534" i="10"/>
  <c r="F493" i="1"/>
  <c r="D493" i="1"/>
  <c r="B493" i="1"/>
  <c r="B575" i="1"/>
  <c r="D368" i="10" l="1"/>
  <c r="D373" i="10"/>
  <c r="D391" i="10" s="1"/>
  <c r="D393" i="10" s="1"/>
  <c r="D396" i="10" s="1"/>
  <c r="BT52" i="10"/>
  <c r="BT67" i="10" s="1"/>
  <c r="BI52" i="10"/>
  <c r="BI67" i="10" s="1"/>
  <c r="U52" i="10"/>
  <c r="U67" i="10" s="1"/>
  <c r="BS52" i="10"/>
  <c r="BS67" i="10" s="1"/>
  <c r="AU52" i="10"/>
  <c r="AU67" i="10" s="1"/>
  <c r="AF52" i="10"/>
  <c r="AF67" i="10" s="1"/>
  <c r="G52" i="10"/>
  <c r="G67" i="10" s="1"/>
  <c r="AK52" i="10"/>
  <c r="AK67" i="10" s="1"/>
  <c r="CA52" i="10"/>
  <c r="CA67" i="10" s="1"/>
  <c r="C67" i="10"/>
  <c r="C427" i="10"/>
  <c r="BZ48" i="10"/>
  <c r="BZ62" i="10" s="1"/>
  <c r="BZ71" i="10" s="1"/>
  <c r="BR48" i="10"/>
  <c r="BR62" i="10" s="1"/>
  <c r="BR71" i="10" s="1"/>
  <c r="BJ48" i="10"/>
  <c r="BJ62" i="10" s="1"/>
  <c r="BJ71" i="10" s="1"/>
  <c r="BB48" i="10"/>
  <c r="BB62" i="10" s="1"/>
  <c r="BB71" i="10" s="1"/>
  <c r="AT48" i="10"/>
  <c r="AT62" i="10" s="1"/>
  <c r="AT71" i="10" s="1"/>
  <c r="AL48" i="10"/>
  <c r="AL62" i="10" s="1"/>
  <c r="AL71" i="10" s="1"/>
  <c r="AD48" i="10"/>
  <c r="AD62" i="10" s="1"/>
  <c r="AD71" i="10" s="1"/>
  <c r="V48" i="10"/>
  <c r="V62" i="10" s="1"/>
  <c r="V71" i="10" s="1"/>
  <c r="N48" i="10"/>
  <c r="N62" i="10" s="1"/>
  <c r="N71" i="10" s="1"/>
  <c r="F48" i="10"/>
  <c r="F62" i="10" s="1"/>
  <c r="F71" i="10" s="1"/>
  <c r="AI48" i="10"/>
  <c r="AI62" i="10" s="1"/>
  <c r="AI71" i="10" s="1"/>
  <c r="BY48" i="10"/>
  <c r="BY62" i="10" s="1"/>
  <c r="BY71" i="10" s="1"/>
  <c r="BQ48" i="10"/>
  <c r="BQ62" i="10" s="1"/>
  <c r="BQ71" i="10" s="1"/>
  <c r="BI48" i="10"/>
  <c r="BI62" i="10" s="1"/>
  <c r="BA48" i="10"/>
  <c r="BA62" i="10" s="1"/>
  <c r="BA71" i="10" s="1"/>
  <c r="AS48" i="10"/>
  <c r="AS62" i="10" s="1"/>
  <c r="AS71" i="10" s="1"/>
  <c r="AK48" i="10"/>
  <c r="AK62" i="10" s="1"/>
  <c r="AK71" i="10" s="1"/>
  <c r="AC48" i="10"/>
  <c r="AC62" i="10" s="1"/>
  <c r="AC71" i="10" s="1"/>
  <c r="U48" i="10"/>
  <c r="U62" i="10" s="1"/>
  <c r="U71" i="10" s="1"/>
  <c r="M48" i="10"/>
  <c r="M62" i="10" s="1"/>
  <c r="M71" i="10" s="1"/>
  <c r="E48" i="10"/>
  <c r="E62" i="10" s="1"/>
  <c r="E71" i="10" s="1"/>
  <c r="BO48" i="10"/>
  <c r="BO62" i="10" s="1"/>
  <c r="BO71" i="10" s="1"/>
  <c r="AY48" i="10"/>
  <c r="AY62" i="10" s="1"/>
  <c r="AY71" i="10" s="1"/>
  <c r="AQ48" i="10"/>
  <c r="AQ62" i="10" s="1"/>
  <c r="AQ71" i="10" s="1"/>
  <c r="S48" i="10"/>
  <c r="S62" i="10" s="1"/>
  <c r="S71" i="10" s="1"/>
  <c r="C48" i="10"/>
  <c r="BX48" i="10"/>
  <c r="BX62" i="10" s="1"/>
  <c r="BX71" i="10" s="1"/>
  <c r="BP48" i="10"/>
  <c r="BP62" i="10" s="1"/>
  <c r="BP71" i="10" s="1"/>
  <c r="BH48" i="10"/>
  <c r="BH62" i="10" s="1"/>
  <c r="BH71" i="10" s="1"/>
  <c r="AZ48" i="10"/>
  <c r="AZ62" i="10" s="1"/>
  <c r="AZ71" i="10" s="1"/>
  <c r="AR48" i="10"/>
  <c r="AR62" i="10" s="1"/>
  <c r="AR71" i="10" s="1"/>
  <c r="AJ48" i="10"/>
  <c r="AJ62" i="10" s="1"/>
  <c r="AJ71" i="10" s="1"/>
  <c r="AB48" i="10"/>
  <c r="AB62" i="10" s="1"/>
  <c r="AB71" i="10" s="1"/>
  <c r="T48" i="10"/>
  <c r="T62" i="10" s="1"/>
  <c r="T71" i="10" s="1"/>
  <c r="L48" i="10"/>
  <c r="L62" i="10" s="1"/>
  <c r="L71" i="10" s="1"/>
  <c r="D48" i="10"/>
  <c r="D62" i="10" s="1"/>
  <c r="D71" i="10" s="1"/>
  <c r="BW48" i="10"/>
  <c r="BW62" i="10" s="1"/>
  <c r="BW71" i="10" s="1"/>
  <c r="BG48" i="10"/>
  <c r="BG62" i="10" s="1"/>
  <c r="BG71" i="10" s="1"/>
  <c r="AA48" i="10"/>
  <c r="AA62" i="10" s="1"/>
  <c r="AA71" i="10" s="1"/>
  <c r="K48" i="10"/>
  <c r="K62" i="10" s="1"/>
  <c r="K71" i="10" s="1"/>
  <c r="BN48" i="10"/>
  <c r="BN62" i="10" s="1"/>
  <c r="BN71" i="10" s="1"/>
  <c r="AX48" i="10"/>
  <c r="AX62" i="10" s="1"/>
  <c r="AX71" i="10" s="1"/>
  <c r="AH48" i="10"/>
  <c r="AH62" i="10" s="1"/>
  <c r="AH71" i="10" s="1"/>
  <c r="R48" i="10"/>
  <c r="R62" i="10" s="1"/>
  <c r="R71" i="10" s="1"/>
  <c r="B511" i="1" s="1"/>
  <c r="CC48" i="10"/>
  <c r="CC62" i="10" s="1"/>
  <c r="CC71" i="10" s="1"/>
  <c r="BM48" i="10"/>
  <c r="BM62" i="10" s="1"/>
  <c r="BM71" i="10" s="1"/>
  <c r="AW48" i="10"/>
  <c r="AW62" i="10" s="1"/>
  <c r="AW71" i="10" s="1"/>
  <c r="AG48" i="10"/>
  <c r="AG62" i="10" s="1"/>
  <c r="AG71" i="10" s="1"/>
  <c r="Q48" i="10"/>
  <c r="Q62" i="10" s="1"/>
  <c r="Q71" i="10" s="1"/>
  <c r="AM48" i="10"/>
  <c r="AM62" i="10" s="1"/>
  <c r="AM71" i="10" s="1"/>
  <c r="G48" i="10"/>
  <c r="G62" i="10" s="1"/>
  <c r="G71" i="10" s="1"/>
  <c r="CB48" i="10"/>
  <c r="CB62" i="10" s="1"/>
  <c r="CB71" i="10" s="1"/>
  <c r="B573" i="1" s="1"/>
  <c r="BL48" i="10"/>
  <c r="BL62" i="10" s="1"/>
  <c r="BL71" i="10" s="1"/>
  <c r="AV48" i="10"/>
  <c r="AV62" i="10" s="1"/>
  <c r="AV71" i="10" s="1"/>
  <c r="AF48" i="10"/>
  <c r="AF62" i="10" s="1"/>
  <c r="P48" i="10"/>
  <c r="P62" i="10" s="1"/>
  <c r="P71" i="10" s="1"/>
  <c r="CA48" i="10"/>
  <c r="CA62" i="10" s="1"/>
  <c r="CA71" i="10" s="1"/>
  <c r="BK48" i="10"/>
  <c r="BK62" i="10" s="1"/>
  <c r="BK71" i="10" s="1"/>
  <c r="AU48" i="10"/>
  <c r="AU62" i="10" s="1"/>
  <c r="AE48" i="10"/>
  <c r="AE62" i="10" s="1"/>
  <c r="AE71" i="10" s="1"/>
  <c r="O48" i="10"/>
  <c r="O62" i="10" s="1"/>
  <c r="O71" i="10" s="1"/>
  <c r="X48" i="10"/>
  <c r="X62" i="10" s="1"/>
  <c r="X71" i="10" s="1"/>
  <c r="BS48" i="10"/>
  <c r="BS62" i="10" s="1"/>
  <c r="W48" i="10"/>
  <c r="W62" i="10" s="1"/>
  <c r="W71" i="10" s="1"/>
  <c r="BV48" i="10"/>
  <c r="BV62" i="10" s="1"/>
  <c r="BV71" i="10" s="1"/>
  <c r="BF48" i="10"/>
  <c r="BF62" i="10" s="1"/>
  <c r="BF71" i="10" s="1"/>
  <c r="AP48" i="10"/>
  <c r="AP62" i="10" s="1"/>
  <c r="AP71" i="10" s="1"/>
  <c r="Z48" i="10"/>
  <c r="Z62" i="10" s="1"/>
  <c r="Z71" i="10" s="1"/>
  <c r="J48" i="10"/>
  <c r="J62" i="10" s="1"/>
  <c r="J71" i="10" s="1"/>
  <c r="BU48" i="10"/>
  <c r="BU62" i="10" s="1"/>
  <c r="BU71" i="10" s="1"/>
  <c r="BE48" i="10"/>
  <c r="BE62" i="10" s="1"/>
  <c r="BE71" i="10" s="1"/>
  <c r="AO48" i="10"/>
  <c r="AO62" i="10" s="1"/>
  <c r="AO71" i="10" s="1"/>
  <c r="Y48" i="10"/>
  <c r="Y62" i="10" s="1"/>
  <c r="Y71" i="10" s="1"/>
  <c r="I48" i="10"/>
  <c r="I62" i="10" s="1"/>
  <c r="I71" i="10" s="1"/>
  <c r="BT48" i="10"/>
  <c r="BT62" i="10" s="1"/>
  <c r="BD48" i="10"/>
  <c r="BD62" i="10" s="1"/>
  <c r="BD71" i="10" s="1"/>
  <c r="AN48" i="10"/>
  <c r="AN62" i="10" s="1"/>
  <c r="AN71" i="10" s="1"/>
  <c r="H48" i="10"/>
  <c r="H62" i="10" s="1"/>
  <c r="H71" i="10" s="1"/>
  <c r="BC48" i="10"/>
  <c r="BC62" i="10" s="1"/>
  <c r="BC71" i="10" s="1"/>
  <c r="E204" i="10"/>
  <c r="C476" i="10" s="1"/>
  <c r="A493" i="1"/>
  <c r="C115" i="8"/>
  <c r="C444" i="1"/>
  <c r="D367" i="1"/>
  <c r="C119" i="8" s="1"/>
  <c r="D221" i="1"/>
  <c r="D5" i="7" s="1"/>
  <c r="D12" i="6"/>
  <c r="I286" i="9"/>
  <c r="G159" i="9"/>
  <c r="D127" i="9"/>
  <c r="I63" i="9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I362" i="9"/>
  <c r="C429" i="1"/>
  <c r="I365" i="9"/>
  <c r="I368" i="9"/>
  <c r="C434" i="1"/>
  <c r="I370" i="9"/>
  <c r="I186" i="9"/>
  <c r="D218" i="9"/>
  <c r="E218" i="9"/>
  <c r="E186" i="9"/>
  <c r="D186" i="9"/>
  <c r="F154" i="9"/>
  <c r="I122" i="9"/>
  <c r="F122" i="9"/>
  <c r="E122" i="9"/>
  <c r="I90" i="9"/>
  <c r="H90" i="9"/>
  <c r="F90" i="9"/>
  <c r="C90" i="9"/>
  <c r="F58" i="9"/>
  <c r="I26" i="9"/>
  <c r="H26" i="9"/>
  <c r="G186" i="9"/>
  <c r="C154" i="9"/>
  <c r="D122" i="9"/>
  <c r="G90" i="9"/>
  <c r="E90" i="9"/>
  <c r="C26" i="9"/>
  <c r="I382" i="9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C470" i="1" s="1"/>
  <c r="E198" i="1"/>
  <c r="E199" i="1"/>
  <c r="E200" i="1"/>
  <c r="E201" i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F19" i="4" s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B53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2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D436" i="1"/>
  <c r="F12" i="6"/>
  <c r="C469" i="1"/>
  <c r="G122" i="9"/>
  <c r="H58" i="9"/>
  <c r="D366" i="9"/>
  <c r="D368" i="9"/>
  <c r="C276" i="9"/>
  <c r="C458" i="1"/>
  <c r="I29" i="9"/>
  <c r="C95" i="9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204" i="9"/>
  <c r="G12" i="9"/>
  <c r="C427" i="1"/>
  <c r="E373" i="9"/>
  <c r="C615" i="1"/>
  <c r="I612" i="1"/>
  <c r="E372" i="9"/>
  <c r="E44" i="9"/>
  <c r="I300" i="9"/>
  <c r="J612" i="1"/>
  <c r="C575" i="1"/>
  <c r="I381" i="9"/>
  <c r="G612" i="1"/>
  <c r="E140" i="9"/>
  <c r="E172" i="9"/>
  <c r="C236" i="9"/>
  <c r="D463" i="1" l="1"/>
  <c r="D117" i="9"/>
  <c r="E108" i="9"/>
  <c r="F108" i="9"/>
  <c r="C530" i="1"/>
  <c r="G530" i="1" s="1"/>
  <c r="C697" i="1"/>
  <c r="C44" i="9"/>
  <c r="H140" i="9"/>
  <c r="C140" i="9"/>
  <c r="D44" i="9"/>
  <c r="I12" i="9"/>
  <c r="E28" i="4"/>
  <c r="G19" i="4"/>
  <c r="C417" i="1"/>
  <c r="B440" i="1"/>
  <c r="C141" i="8"/>
  <c r="C33" i="8"/>
  <c r="C10" i="4"/>
  <c r="C76" i="9"/>
  <c r="F76" i="9"/>
  <c r="F332" i="9"/>
  <c r="D300" i="9"/>
  <c r="H332" i="9"/>
  <c r="C414" i="1"/>
  <c r="B10" i="4"/>
  <c r="F10" i="4"/>
  <c r="G10" i="4"/>
  <c r="F612" i="1"/>
  <c r="C430" i="1"/>
  <c r="I366" i="9"/>
  <c r="C28" i="4"/>
  <c r="C421" i="1"/>
  <c r="F26" i="9"/>
  <c r="BI71" i="10"/>
  <c r="CE52" i="10"/>
  <c r="I372" i="9"/>
  <c r="F236" i="9"/>
  <c r="D13" i="7"/>
  <c r="E154" i="9"/>
  <c r="D154" i="9"/>
  <c r="B444" i="1"/>
  <c r="C525" i="1"/>
  <c r="G525" i="1" s="1"/>
  <c r="C14" i="5"/>
  <c r="D140" i="9"/>
  <c r="I172" i="9"/>
  <c r="G236" i="9"/>
  <c r="E300" i="9"/>
  <c r="F172" i="9"/>
  <c r="C332" i="9"/>
  <c r="E26" i="9"/>
  <c r="H122" i="9"/>
  <c r="I154" i="9"/>
  <c r="F13" i="6"/>
  <c r="C473" i="1"/>
  <c r="I377" i="9"/>
  <c r="C464" i="1"/>
  <c r="G154" i="9"/>
  <c r="D76" i="9"/>
  <c r="D268" i="9"/>
  <c r="D236" i="9"/>
  <c r="G108" i="9"/>
  <c r="F9" i="6"/>
  <c r="E58" i="9"/>
  <c r="I58" i="9"/>
  <c r="C122" i="9"/>
  <c r="H186" i="9"/>
  <c r="H612" i="1"/>
  <c r="I380" i="9"/>
  <c r="D612" i="1"/>
  <c r="C218" i="9"/>
  <c r="H12" i="9"/>
  <c r="G28" i="4"/>
  <c r="F28" i="4"/>
  <c r="I371" i="9"/>
  <c r="C440" i="1"/>
  <c r="I268" i="9"/>
  <c r="C85" i="8"/>
  <c r="D330" i="1"/>
  <c r="C86" i="8" s="1"/>
  <c r="C186" i="9"/>
  <c r="I332" i="9"/>
  <c r="H300" i="9"/>
  <c r="D172" i="9"/>
  <c r="D368" i="1"/>
  <c r="C120" i="8" s="1"/>
  <c r="E19" i="4"/>
  <c r="G58" i="9"/>
  <c r="BT71" i="10"/>
  <c r="BS71" i="10"/>
  <c r="C639" i="10" s="1"/>
  <c r="AU71" i="10"/>
  <c r="C712" i="10" s="1"/>
  <c r="AF71" i="10"/>
  <c r="CE67" i="10"/>
  <c r="C433" i="10" s="1"/>
  <c r="F511" i="1"/>
  <c r="C624" i="10"/>
  <c r="C549" i="10"/>
  <c r="C711" i="10"/>
  <c r="C539" i="10"/>
  <c r="G539" i="10" s="1"/>
  <c r="C640" i="10"/>
  <c r="C565" i="10"/>
  <c r="C707" i="10"/>
  <c r="C535" i="10"/>
  <c r="G535" i="10" s="1"/>
  <c r="C672" i="10"/>
  <c r="C500" i="10"/>
  <c r="G500" i="10" s="1"/>
  <c r="C699" i="10"/>
  <c r="C527" i="10"/>
  <c r="G527" i="10" s="1"/>
  <c r="C677" i="10"/>
  <c r="C505" i="10"/>
  <c r="G505" i="10" s="1"/>
  <c r="C644" i="10"/>
  <c r="C569" i="10"/>
  <c r="C678" i="10"/>
  <c r="C506" i="10"/>
  <c r="G506" i="10" s="1"/>
  <c r="C645" i="10"/>
  <c r="C570" i="10"/>
  <c r="C632" i="10"/>
  <c r="C547" i="10"/>
  <c r="C562" i="10"/>
  <c r="C623" i="10"/>
  <c r="C674" i="10"/>
  <c r="C502" i="10"/>
  <c r="G502" i="10" s="1"/>
  <c r="C551" i="10"/>
  <c r="C629" i="10"/>
  <c r="C635" i="10"/>
  <c r="C556" i="10"/>
  <c r="C704" i="10"/>
  <c r="C532" i="10"/>
  <c r="G532" i="10" s="1"/>
  <c r="C543" i="10"/>
  <c r="C616" i="10"/>
  <c r="C685" i="10"/>
  <c r="C513" i="10"/>
  <c r="G513" i="10" s="1"/>
  <c r="C686" i="10"/>
  <c r="C514" i="10"/>
  <c r="C528" i="10"/>
  <c r="G528" i="10" s="1"/>
  <c r="C700" i="10"/>
  <c r="C555" i="10"/>
  <c r="C617" i="10"/>
  <c r="C670" i="10"/>
  <c r="C498" i="10"/>
  <c r="C690" i="10"/>
  <c r="C518" i="10"/>
  <c r="C642" i="10"/>
  <c r="C567" i="10"/>
  <c r="C572" i="10"/>
  <c r="C647" i="10"/>
  <c r="C510" i="10"/>
  <c r="C682" i="10"/>
  <c r="C559" i="10"/>
  <c r="C619" i="10"/>
  <c r="C693" i="10"/>
  <c r="C521" i="10"/>
  <c r="CE48" i="10"/>
  <c r="C62" i="10"/>
  <c r="C522" i="10"/>
  <c r="C694" i="10"/>
  <c r="C671" i="10"/>
  <c r="C499" i="10"/>
  <c r="G499" i="10" s="1"/>
  <c r="C563" i="10"/>
  <c r="C626" i="10"/>
  <c r="C524" i="10"/>
  <c r="C696" i="10"/>
  <c r="C669" i="10"/>
  <c r="C497" i="10"/>
  <c r="G497" i="10" s="1"/>
  <c r="C706" i="10"/>
  <c r="C534" i="10"/>
  <c r="G534" i="10" s="1"/>
  <c r="C688" i="10"/>
  <c r="C516" i="10"/>
  <c r="G516" i="10" s="1"/>
  <c r="C681" i="10"/>
  <c r="C509" i="10"/>
  <c r="C698" i="10"/>
  <c r="C526" i="10"/>
  <c r="G526" i="10" s="1"/>
  <c r="C676" i="10"/>
  <c r="C504" i="10"/>
  <c r="G504" i="10" s="1"/>
  <c r="C701" i="10"/>
  <c r="C529" i="10"/>
  <c r="C684" i="10"/>
  <c r="C512" i="10"/>
  <c r="G512" i="10" s="1"/>
  <c r="C702" i="10"/>
  <c r="C530" i="10"/>
  <c r="C679" i="10"/>
  <c r="C507" i="10"/>
  <c r="G507" i="10" s="1"/>
  <c r="C571" i="10"/>
  <c r="C646" i="10"/>
  <c r="C561" i="10"/>
  <c r="C621" i="10"/>
  <c r="C633" i="10"/>
  <c r="C548" i="10"/>
  <c r="C614" i="10"/>
  <c r="C550" i="10"/>
  <c r="G550" i="10" s="1"/>
  <c r="C697" i="10"/>
  <c r="C525" i="10"/>
  <c r="G525" i="10" s="1"/>
  <c r="C631" i="10"/>
  <c r="C542" i="10"/>
  <c r="C692" i="10"/>
  <c r="C520" i="10"/>
  <c r="G520" i="10" s="1"/>
  <c r="C709" i="10"/>
  <c r="C537" i="10"/>
  <c r="G537" i="10" s="1"/>
  <c r="C708" i="10"/>
  <c r="C536" i="10"/>
  <c r="G536" i="10" s="1"/>
  <c r="C710" i="10"/>
  <c r="C538" i="10"/>
  <c r="G538" i="10" s="1"/>
  <c r="C687" i="10"/>
  <c r="C515" i="10"/>
  <c r="G515" i="10" s="1"/>
  <c r="C691" i="10"/>
  <c r="C519" i="10"/>
  <c r="G519" i="10" s="1"/>
  <c r="C573" i="10"/>
  <c r="C622" i="10"/>
  <c r="C673" i="10"/>
  <c r="C501" i="10"/>
  <c r="G501" i="10" s="1"/>
  <c r="C641" i="10"/>
  <c r="C566" i="10"/>
  <c r="C689" i="10"/>
  <c r="C517" i="10"/>
  <c r="G517" i="10" s="1"/>
  <c r="C713" i="10"/>
  <c r="C541" i="10"/>
  <c r="C638" i="10"/>
  <c r="C558" i="10"/>
  <c r="C552" i="10"/>
  <c r="C618" i="10"/>
  <c r="C628" i="10"/>
  <c r="C545" i="10"/>
  <c r="C625" i="10"/>
  <c r="C544" i="10"/>
  <c r="C630" i="10"/>
  <c r="C546" i="10"/>
  <c r="C695" i="10"/>
  <c r="C523" i="10"/>
  <c r="G523" i="10" s="1"/>
  <c r="C683" i="10"/>
  <c r="C511" i="10"/>
  <c r="C533" i="10"/>
  <c r="G533" i="10" s="1"/>
  <c r="C705" i="10"/>
  <c r="C675" i="10"/>
  <c r="C503" i="10"/>
  <c r="G503" i="10" s="1"/>
  <c r="C680" i="10"/>
  <c r="C508" i="10"/>
  <c r="G508" i="10" s="1"/>
  <c r="C637" i="10"/>
  <c r="C557" i="10"/>
  <c r="C574" i="10"/>
  <c r="C620" i="10"/>
  <c r="C643" i="10"/>
  <c r="C568" i="10"/>
  <c r="C636" i="10"/>
  <c r="C553" i="10"/>
  <c r="C627" i="10"/>
  <c r="C560" i="10"/>
  <c r="C634" i="10"/>
  <c r="C554" i="10"/>
  <c r="C703" i="10"/>
  <c r="C531" i="10"/>
  <c r="G531" i="10" s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38" i="1"/>
  <c r="B566" i="1"/>
  <c r="B524" i="1"/>
  <c r="B558" i="1"/>
  <c r="B542" i="1"/>
  <c r="B506" i="1"/>
  <c r="B531" i="1"/>
  <c r="B570" i="1"/>
  <c r="B535" i="1"/>
  <c r="B514" i="1"/>
  <c r="B562" i="1"/>
  <c r="B546" i="1"/>
  <c r="B518" i="1"/>
  <c r="B532" i="1"/>
  <c r="B516" i="1"/>
  <c r="B561" i="1"/>
  <c r="B550" i="1"/>
  <c r="B555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D12" i="9"/>
  <c r="E49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F12" i="9"/>
  <c r="E332" i="9"/>
  <c r="E12" i="9"/>
  <c r="C418" i="1"/>
  <c r="D438" i="1"/>
  <c r="C108" i="9"/>
  <c r="F14" i="6"/>
  <c r="C471" i="1"/>
  <c r="F10" i="6"/>
  <c r="D339" i="1"/>
  <c r="D26" i="9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C549" i="1" l="1"/>
  <c r="C624" i="1"/>
  <c r="G245" i="9"/>
  <c r="E213" i="9"/>
  <c r="C540" i="1"/>
  <c r="G540" i="1" s="1"/>
  <c r="C712" i="1"/>
  <c r="C677" i="1"/>
  <c r="E53" i="9"/>
  <c r="C505" i="1"/>
  <c r="G505" i="1" s="1"/>
  <c r="C683" i="1"/>
  <c r="D85" i="9"/>
  <c r="C511" i="1"/>
  <c r="I277" i="9"/>
  <c r="C638" i="1"/>
  <c r="H149" i="9"/>
  <c r="C529" i="1"/>
  <c r="G529" i="1" s="1"/>
  <c r="C701" i="1"/>
  <c r="H268" i="9"/>
  <c r="G53" i="9"/>
  <c r="C690" i="1"/>
  <c r="I44" i="9"/>
  <c r="E76" i="9"/>
  <c r="G268" i="9"/>
  <c r="F300" i="9"/>
  <c r="F204" i="9"/>
  <c r="G140" i="9"/>
  <c r="D81" i="9"/>
  <c r="F209" i="9"/>
  <c r="C518" i="1"/>
  <c r="G518" i="1" s="1"/>
  <c r="G76" i="9"/>
  <c r="I140" i="9"/>
  <c r="C574" i="1"/>
  <c r="H108" i="9"/>
  <c r="C622" i="1"/>
  <c r="C550" i="1"/>
  <c r="I149" i="9"/>
  <c r="C702" i="1"/>
  <c r="I177" i="9"/>
  <c r="H273" i="9"/>
  <c r="D149" i="9"/>
  <c r="E268" i="9"/>
  <c r="C546" i="1"/>
  <c r="G546" i="1" s="1"/>
  <c r="C268" i="9"/>
  <c r="C364" i="9"/>
  <c r="H236" i="9"/>
  <c r="C558" i="1"/>
  <c r="C503" i="1"/>
  <c r="G503" i="1" s="1"/>
  <c r="C675" i="1"/>
  <c r="C53" i="9"/>
  <c r="D373" i="1"/>
  <c r="C49" i="9"/>
  <c r="C273" i="9"/>
  <c r="C177" i="9"/>
  <c r="D113" i="9"/>
  <c r="H305" i="9"/>
  <c r="G81" i="9"/>
  <c r="E81" i="9"/>
  <c r="D145" i="9"/>
  <c r="C571" i="1"/>
  <c r="C17" i="9"/>
  <c r="E273" i="9"/>
  <c r="C564" i="10"/>
  <c r="C540" i="10"/>
  <c r="G540" i="10" s="1"/>
  <c r="E209" i="9"/>
  <c r="I81" i="9"/>
  <c r="C640" i="1"/>
  <c r="C12" i="9"/>
  <c r="C698" i="1"/>
  <c r="G85" i="9"/>
  <c r="C514" i="1"/>
  <c r="G514" i="1" s="1"/>
  <c r="C686" i="1"/>
  <c r="F341" i="9"/>
  <c r="H145" i="9"/>
  <c r="H113" i="9"/>
  <c r="D49" i="9"/>
  <c r="C614" i="1"/>
  <c r="G117" i="9"/>
  <c r="C693" i="1"/>
  <c r="C685" i="1"/>
  <c r="F85" i="9"/>
  <c r="C513" i="1"/>
  <c r="G513" i="1" s="1"/>
  <c r="G49" i="9"/>
  <c r="B540" i="1"/>
  <c r="H540" i="1" s="1"/>
  <c r="H177" i="9"/>
  <c r="G145" i="9"/>
  <c r="E241" i="9"/>
  <c r="I113" i="9"/>
  <c r="D209" i="9"/>
  <c r="C617" i="1"/>
  <c r="C526" i="1"/>
  <c r="G526" i="1" s="1"/>
  <c r="C521" i="1"/>
  <c r="G521" i="1" s="1"/>
  <c r="C569" i="1"/>
  <c r="I341" i="9"/>
  <c r="C682" i="1"/>
  <c r="C646" i="1"/>
  <c r="C630" i="1"/>
  <c r="F245" i="9"/>
  <c r="G530" i="10"/>
  <c r="H530" i="10"/>
  <c r="G498" i="10"/>
  <c r="H498" i="10" s="1"/>
  <c r="G544" i="10"/>
  <c r="H544" i="10"/>
  <c r="G522" i="10"/>
  <c r="H522" i="10"/>
  <c r="G510" i="10"/>
  <c r="H510" i="10"/>
  <c r="G509" i="10"/>
  <c r="H509" i="10"/>
  <c r="CE62" i="10"/>
  <c r="C71" i="10"/>
  <c r="H511" i="10"/>
  <c r="G511" i="10"/>
  <c r="G545" i="10"/>
  <c r="H545" i="10" s="1"/>
  <c r="H524" i="10"/>
  <c r="G524" i="10"/>
  <c r="G521" i="10"/>
  <c r="H521" i="10"/>
  <c r="G529" i="10"/>
  <c r="H529" i="10"/>
  <c r="H518" i="10"/>
  <c r="G518" i="10"/>
  <c r="H514" i="10"/>
  <c r="G514" i="10"/>
  <c r="G546" i="10"/>
  <c r="H546" i="10"/>
  <c r="C648" i="10"/>
  <c r="M716" i="10" s="1"/>
  <c r="D615" i="10"/>
  <c r="H501" i="1"/>
  <c r="F501" i="1"/>
  <c r="F517" i="1"/>
  <c r="H517" i="1"/>
  <c r="F499" i="1"/>
  <c r="H499" i="1"/>
  <c r="H505" i="1"/>
  <c r="F505" i="1"/>
  <c r="H497" i="1"/>
  <c r="F497" i="1"/>
  <c r="F515" i="1"/>
  <c r="H515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C620" i="1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F516" i="1"/>
  <c r="H516" i="1"/>
  <c r="D17" i="9"/>
  <c r="F305" i="9"/>
  <c r="C181" i="9"/>
  <c r="C703" i="1"/>
  <c r="C531" i="1"/>
  <c r="G531" i="1" s="1"/>
  <c r="C699" i="1"/>
  <c r="C527" i="1"/>
  <c r="G527" i="1" s="1"/>
  <c r="F149" i="9"/>
  <c r="F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C555" i="1"/>
  <c r="C523" i="1"/>
  <c r="G523" i="1" s="1"/>
  <c r="C695" i="1"/>
  <c r="I117" i="9"/>
  <c r="I53" i="9" l="1"/>
  <c r="C681" i="1"/>
  <c r="C509" i="1"/>
  <c r="G509" i="1" s="1"/>
  <c r="C561" i="1"/>
  <c r="E309" i="9"/>
  <c r="C621" i="1"/>
  <c r="C556" i="1"/>
  <c r="C635" i="1"/>
  <c r="G277" i="9"/>
  <c r="C502" i="1"/>
  <c r="G502" i="1" s="1"/>
  <c r="C674" i="1"/>
  <c r="I21" i="9"/>
  <c r="C341" i="9"/>
  <c r="C566" i="1"/>
  <c r="C641" i="1"/>
  <c r="G550" i="1"/>
  <c r="H550" i="1" s="1"/>
  <c r="D277" i="9"/>
  <c r="C553" i="1"/>
  <c r="C636" i="1"/>
  <c r="C679" i="1"/>
  <c r="C573" i="1"/>
  <c r="C545" i="1"/>
  <c r="G545" i="1" s="1"/>
  <c r="C245" i="9"/>
  <c r="C628" i="1"/>
  <c r="D245" i="9"/>
  <c r="C710" i="1"/>
  <c r="C213" i="9"/>
  <c r="C538" i="1"/>
  <c r="G538" i="1" s="1"/>
  <c r="H245" i="9"/>
  <c r="C644" i="1"/>
  <c r="C633" i="1"/>
  <c r="C647" i="1"/>
  <c r="C510" i="1"/>
  <c r="G510" i="1" s="1"/>
  <c r="I309" i="9"/>
  <c r="H81" i="9"/>
  <c r="E85" i="9"/>
  <c r="C684" i="1"/>
  <c r="C512" i="1"/>
  <c r="G512" i="1" s="1"/>
  <c r="F309" i="9"/>
  <c r="C562" i="1"/>
  <c r="C623" i="1"/>
  <c r="C565" i="1"/>
  <c r="C618" i="1"/>
  <c r="C277" i="9"/>
  <c r="C552" i="1"/>
  <c r="G511" i="1"/>
  <c r="H511" i="1"/>
  <c r="D373" i="9"/>
  <c r="C533" i="1"/>
  <c r="G533" i="1" s="1"/>
  <c r="C705" i="1"/>
  <c r="E181" i="9"/>
  <c r="C117" i="9"/>
  <c r="C517" i="1"/>
  <c r="G517" i="1" s="1"/>
  <c r="C689" i="1"/>
  <c r="E149" i="9"/>
  <c r="F181" i="9"/>
  <c r="C706" i="1"/>
  <c r="C534" i="1"/>
  <c r="G534" i="1" s="1"/>
  <c r="H341" i="9"/>
  <c r="C572" i="1"/>
  <c r="C85" i="9"/>
  <c r="C542" i="1"/>
  <c r="G213" i="9"/>
  <c r="C631" i="1"/>
  <c r="C696" i="1"/>
  <c r="C149" i="9"/>
  <c r="C524" i="1"/>
  <c r="C704" i="1"/>
  <c r="D181" i="9"/>
  <c r="C532" i="1"/>
  <c r="G532" i="1" s="1"/>
  <c r="C676" i="1"/>
  <c r="D53" i="9"/>
  <c r="C504" i="1"/>
  <c r="G504" i="1" s="1"/>
  <c r="C548" i="1"/>
  <c r="G177" i="9"/>
  <c r="F277" i="9"/>
  <c r="C507" i="1"/>
  <c r="G507" i="1" s="1"/>
  <c r="C373" i="9"/>
  <c r="E117" i="9"/>
  <c r="C519" i="1"/>
  <c r="G519" i="1" s="1"/>
  <c r="C691" i="1"/>
  <c r="D369" i="9"/>
  <c r="C145" i="9"/>
  <c r="F21" i="9"/>
  <c r="C499" i="1"/>
  <c r="G499" i="1" s="1"/>
  <c r="C671" i="1"/>
  <c r="H309" i="9"/>
  <c r="C564" i="1"/>
  <c r="C639" i="1"/>
  <c r="E177" i="9"/>
  <c r="I337" i="9"/>
  <c r="E17" i="9"/>
  <c r="H17" i="9"/>
  <c r="F145" i="9"/>
  <c r="E337" i="9"/>
  <c r="G113" i="9"/>
  <c r="E145" i="9"/>
  <c r="I17" i="9"/>
  <c r="I364" i="9"/>
  <c r="C428" i="1"/>
  <c r="I305" i="9"/>
  <c r="H498" i="1"/>
  <c r="H544" i="1"/>
  <c r="F241" i="9"/>
  <c r="I49" i="9"/>
  <c r="C81" i="9"/>
  <c r="D273" i="9"/>
  <c r="C337" i="9"/>
  <c r="F273" i="9"/>
  <c r="C496" i="1"/>
  <c r="G496" i="1" s="1"/>
  <c r="C668" i="1"/>
  <c r="C21" i="9"/>
  <c r="D305" i="9"/>
  <c r="H49" i="9"/>
  <c r="H337" i="9"/>
  <c r="C113" i="9"/>
  <c r="E113" i="9"/>
  <c r="D241" i="9"/>
  <c r="C241" i="9"/>
  <c r="E305" i="9"/>
  <c r="G273" i="9"/>
  <c r="F337" i="9"/>
  <c r="C209" i="9"/>
  <c r="D615" i="1"/>
  <c r="F177" i="9"/>
  <c r="D712" i="10"/>
  <c r="D704" i="10"/>
  <c r="D696" i="10"/>
  <c r="D688" i="10"/>
  <c r="D680" i="10"/>
  <c r="D672" i="10"/>
  <c r="D706" i="10"/>
  <c r="D698" i="10"/>
  <c r="D690" i="10"/>
  <c r="D682" i="10"/>
  <c r="D674" i="10"/>
  <c r="D708" i="10"/>
  <c r="D700" i="10"/>
  <c r="D692" i="10"/>
  <c r="D684" i="10"/>
  <c r="D676" i="10"/>
  <c r="D668" i="10"/>
  <c r="D705" i="10"/>
  <c r="D683" i="10"/>
  <c r="D669" i="10"/>
  <c r="D637" i="10"/>
  <c r="D623" i="10"/>
  <c r="D619" i="10"/>
  <c r="D699" i="10"/>
  <c r="D685" i="10"/>
  <c r="D678" i="10"/>
  <c r="D671" i="10"/>
  <c r="D646" i="10"/>
  <c r="D643" i="10"/>
  <c r="D635" i="10"/>
  <c r="D628" i="10"/>
  <c r="D622" i="10"/>
  <c r="D618" i="10"/>
  <c r="D716" i="10"/>
  <c r="D701" i="10"/>
  <c r="D694" i="10"/>
  <c r="D687" i="10"/>
  <c r="D673" i="10"/>
  <c r="D641" i="10"/>
  <c r="D633" i="10"/>
  <c r="D629" i="10"/>
  <c r="D626" i="10"/>
  <c r="D621" i="10"/>
  <c r="D617" i="10"/>
  <c r="D686" i="10"/>
  <c r="D675" i="10"/>
  <c r="D645" i="10"/>
  <c r="D640" i="10"/>
  <c r="D710" i="10"/>
  <c r="D697" i="10"/>
  <c r="D695" i="10"/>
  <c r="D647" i="10"/>
  <c r="D632" i="10"/>
  <c r="D630" i="10"/>
  <c r="D693" i="10"/>
  <c r="D642" i="10"/>
  <c r="D625" i="10"/>
  <c r="D620" i="10"/>
  <c r="D702" i="10"/>
  <c r="D691" i="10"/>
  <c r="D689" i="10"/>
  <c r="D644" i="10"/>
  <c r="D639" i="10"/>
  <c r="D634" i="10"/>
  <c r="D713" i="10"/>
  <c r="D636" i="10"/>
  <c r="D627" i="10"/>
  <c r="D624" i="10"/>
  <c r="D711" i="10"/>
  <c r="D709" i="10"/>
  <c r="D681" i="10"/>
  <c r="D670" i="10"/>
  <c r="D631" i="10"/>
  <c r="D707" i="10"/>
  <c r="D679" i="10"/>
  <c r="D638" i="10"/>
  <c r="D677" i="10"/>
  <c r="D616" i="10"/>
  <c r="D703" i="10"/>
  <c r="C428" i="10"/>
  <c r="C441" i="10" s="1"/>
  <c r="CE71" i="10"/>
  <c r="C716" i="10" s="1"/>
  <c r="C496" i="10"/>
  <c r="G496" i="10" s="1"/>
  <c r="C668" i="10"/>
  <c r="C715" i="10" s="1"/>
  <c r="B496" i="1"/>
  <c r="H496" i="1" s="1"/>
  <c r="F522" i="1"/>
  <c r="H522" i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12" i="1" l="1"/>
  <c r="H509" i="1"/>
  <c r="H510" i="1"/>
  <c r="C537" i="1"/>
  <c r="G537" i="1" s="1"/>
  <c r="I181" i="9"/>
  <c r="C709" i="1"/>
  <c r="C713" i="1"/>
  <c r="F213" i="9"/>
  <c r="C541" i="1"/>
  <c r="G181" i="9"/>
  <c r="C707" i="1"/>
  <c r="C535" i="1"/>
  <c r="G535" i="1" s="1"/>
  <c r="E277" i="9"/>
  <c r="C634" i="1"/>
  <c r="C554" i="1"/>
  <c r="I369" i="9"/>
  <c r="C433" i="1"/>
  <c r="C441" i="1" s="1"/>
  <c r="G524" i="1"/>
  <c r="H524" i="1"/>
  <c r="C687" i="1"/>
  <c r="C515" i="1"/>
  <c r="G515" i="1" s="1"/>
  <c r="H85" i="9"/>
  <c r="C557" i="1"/>
  <c r="H277" i="9"/>
  <c r="C637" i="1"/>
  <c r="C716" i="1"/>
  <c r="I373" i="9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17" i="1"/>
  <c r="D697" i="1"/>
  <c r="D709" i="1"/>
  <c r="D636" i="1"/>
  <c r="D707" i="1"/>
  <c r="D637" i="1"/>
  <c r="D694" i="1"/>
  <c r="D647" i="1"/>
  <c r="D616" i="1"/>
  <c r="D635" i="1"/>
  <c r="D629" i="1"/>
  <c r="D620" i="1"/>
  <c r="D669" i="1"/>
  <c r="D691" i="1"/>
  <c r="D673" i="1"/>
  <c r="D670" i="1"/>
  <c r="D627" i="1"/>
  <c r="D621" i="1"/>
  <c r="D712" i="1"/>
  <c r="D678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32" i="1"/>
  <c r="D642" i="1"/>
  <c r="D674" i="1"/>
  <c r="D716" i="1"/>
  <c r="D685" i="1"/>
  <c r="D690" i="1"/>
  <c r="D702" i="1"/>
  <c r="D713" i="1"/>
  <c r="D698" i="1"/>
  <c r="D671" i="1"/>
  <c r="D634" i="1"/>
  <c r="D638" i="1"/>
  <c r="D703" i="1"/>
  <c r="D677" i="1"/>
  <c r="D640" i="1"/>
  <c r="D689" i="1"/>
  <c r="D701" i="1"/>
  <c r="D696" i="1"/>
  <c r="D715" i="10"/>
  <c r="E623" i="10"/>
  <c r="E612" i="10"/>
  <c r="F496" i="1"/>
  <c r="F545" i="1"/>
  <c r="H545" i="1" s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E623" i="1"/>
  <c r="C648" i="1"/>
  <c r="M716" i="1" s="1"/>
  <c r="E612" i="1"/>
  <c r="D715" i="1"/>
  <c r="E709" i="10"/>
  <c r="E701" i="10"/>
  <c r="E693" i="10"/>
  <c r="E685" i="10"/>
  <c r="E677" i="10"/>
  <c r="E669" i="10"/>
  <c r="E711" i="10"/>
  <c r="E703" i="10"/>
  <c r="E695" i="10"/>
  <c r="E687" i="10"/>
  <c r="E679" i="10"/>
  <c r="E671" i="10"/>
  <c r="E713" i="10"/>
  <c r="E705" i="10"/>
  <c r="E697" i="10"/>
  <c r="E689" i="10"/>
  <c r="E681" i="10"/>
  <c r="E673" i="10"/>
  <c r="E712" i="10"/>
  <c r="E698" i="10"/>
  <c r="E691" i="10"/>
  <c r="E684" i="10"/>
  <c r="E670" i="10"/>
  <c r="E640" i="10"/>
  <c r="E632" i="10"/>
  <c r="E625" i="10"/>
  <c r="E707" i="10"/>
  <c r="E700" i="10"/>
  <c r="E686" i="10"/>
  <c r="E638" i="10"/>
  <c r="E702" i="10"/>
  <c r="E680" i="10"/>
  <c r="E647" i="10"/>
  <c r="E644" i="10"/>
  <c r="E636" i="10"/>
  <c r="E624" i="10"/>
  <c r="E710" i="10"/>
  <c r="E699" i="10"/>
  <c r="E630" i="10"/>
  <c r="E628" i="10"/>
  <c r="E708" i="10"/>
  <c r="E682" i="10"/>
  <c r="E642" i="10"/>
  <c r="E637" i="10"/>
  <c r="E706" i="10"/>
  <c r="E678" i="10"/>
  <c r="E639" i="10"/>
  <c r="E634" i="10"/>
  <c r="E716" i="10"/>
  <c r="E704" i="10"/>
  <c r="E676" i="10"/>
  <c r="E674" i="10"/>
  <c r="E627" i="10"/>
  <c r="E672" i="10"/>
  <c r="E646" i="10"/>
  <c r="E641" i="10"/>
  <c r="E631" i="10"/>
  <c r="E629" i="10"/>
  <c r="E696" i="10"/>
  <c r="E694" i="10"/>
  <c r="E683" i="10"/>
  <c r="E668" i="10"/>
  <c r="E633" i="10"/>
  <c r="E692" i="10"/>
  <c r="E643" i="10"/>
  <c r="E626" i="10"/>
  <c r="E645" i="10"/>
  <c r="E690" i="10"/>
  <c r="E675" i="10"/>
  <c r="E688" i="10"/>
  <c r="E635" i="10"/>
  <c r="E710" i="1" l="1"/>
  <c r="E678" i="1"/>
  <c r="E642" i="1"/>
  <c r="E716" i="1"/>
  <c r="E635" i="1"/>
  <c r="E707" i="1"/>
  <c r="E684" i="1"/>
  <c r="E631" i="1"/>
  <c r="E630" i="1"/>
  <c r="E704" i="1"/>
  <c r="E638" i="1"/>
  <c r="E689" i="1"/>
  <c r="E625" i="1"/>
  <c r="E639" i="1"/>
  <c r="E703" i="1"/>
  <c r="E709" i="1"/>
  <c r="E677" i="1"/>
  <c r="E680" i="1"/>
  <c r="E676" i="1"/>
  <c r="E698" i="1"/>
  <c r="E688" i="1"/>
  <c r="E705" i="1"/>
  <c r="E626" i="1"/>
  <c r="E701" i="1"/>
  <c r="E685" i="1"/>
  <c r="E708" i="1"/>
  <c r="E628" i="1"/>
  <c r="E696" i="1"/>
  <c r="E627" i="1"/>
  <c r="E640" i="1"/>
  <c r="E646" i="1"/>
  <c r="E697" i="1"/>
  <c r="E700" i="1"/>
  <c r="E674" i="1"/>
  <c r="E634" i="1"/>
  <c r="E690" i="1"/>
  <c r="E670" i="1"/>
  <c r="E636" i="1"/>
  <c r="E629" i="1"/>
  <c r="E679" i="1"/>
  <c r="E693" i="1"/>
  <c r="E702" i="1"/>
  <c r="E669" i="1"/>
  <c r="E683" i="1"/>
  <c r="E647" i="1"/>
  <c r="E641" i="1"/>
  <c r="E645" i="1"/>
  <c r="E643" i="1"/>
  <c r="E637" i="1"/>
  <c r="E682" i="1"/>
  <c r="E694" i="1"/>
  <c r="E673" i="1"/>
  <c r="E686" i="1"/>
  <c r="E681" i="1"/>
  <c r="E711" i="1"/>
  <c r="E624" i="1"/>
  <c r="F624" i="1" s="1"/>
  <c r="E712" i="1"/>
  <c r="E706" i="1"/>
  <c r="E699" i="1"/>
  <c r="E672" i="1"/>
  <c r="E644" i="1"/>
  <c r="E692" i="1"/>
  <c r="E695" i="1"/>
  <c r="E633" i="1"/>
  <c r="E632" i="1"/>
  <c r="E687" i="1"/>
  <c r="E675" i="1"/>
  <c r="E671" i="1"/>
  <c r="E713" i="1"/>
  <c r="E668" i="1"/>
  <c r="E691" i="1"/>
  <c r="E715" i="10"/>
  <c r="F624" i="10"/>
  <c r="F697" i="1" l="1"/>
  <c r="F702" i="1"/>
  <c r="F705" i="1"/>
  <c r="F680" i="1"/>
  <c r="F698" i="1"/>
  <c r="F643" i="1"/>
  <c r="F647" i="1"/>
  <c r="F668" i="1"/>
  <c r="F669" i="1"/>
  <c r="F685" i="1"/>
  <c r="F703" i="1"/>
  <c r="F628" i="1"/>
  <c r="F673" i="1"/>
  <c r="F699" i="1"/>
  <c r="F681" i="1"/>
  <c r="F716" i="1"/>
  <c r="F635" i="1"/>
  <c r="F684" i="1"/>
  <c r="F696" i="1"/>
  <c r="F640" i="1"/>
  <c r="F646" i="1"/>
  <c r="F700" i="1"/>
  <c r="F644" i="1"/>
  <c r="F712" i="1"/>
  <c r="F630" i="1"/>
  <c r="F692" i="1"/>
  <c r="F677" i="1"/>
  <c r="F631" i="1"/>
  <c r="F701" i="1"/>
  <c r="F690" i="1"/>
  <c r="F688" i="1"/>
  <c r="F634" i="1"/>
  <c r="F713" i="1"/>
  <c r="F686" i="1"/>
  <c r="F675" i="1"/>
  <c r="F708" i="1"/>
  <c r="F679" i="1"/>
  <c r="F682" i="1"/>
  <c r="F706" i="1"/>
  <c r="F674" i="1"/>
  <c r="F633" i="1"/>
  <c r="F672" i="1"/>
  <c r="F637" i="1"/>
  <c r="F710" i="1"/>
  <c r="F641" i="1"/>
  <c r="F678" i="1"/>
  <c r="F707" i="1"/>
  <c r="F694" i="1"/>
  <c r="F704" i="1"/>
  <c r="F645" i="1"/>
  <c r="F632" i="1"/>
  <c r="F683" i="1"/>
  <c r="F629" i="1"/>
  <c r="F642" i="1"/>
  <c r="F626" i="1"/>
  <c r="F636" i="1"/>
  <c r="F625" i="1"/>
  <c r="G625" i="1" s="1"/>
  <c r="F691" i="1"/>
  <c r="F627" i="1"/>
  <c r="F709" i="1"/>
  <c r="F671" i="1"/>
  <c r="F687" i="1"/>
  <c r="F638" i="1"/>
  <c r="F689" i="1"/>
  <c r="F670" i="1"/>
  <c r="F711" i="1"/>
  <c r="F676" i="1"/>
  <c r="F639" i="1"/>
  <c r="F695" i="1"/>
  <c r="F693" i="1"/>
  <c r="E715" i="1"/>
  <c r="F706" i="10"/>
  <c r="F698" i="10"/>
  <c r="F690" i="10"/>
  <c r="F682" i="10"/>
  <c r="F674" i="10"/>
  <c r="F708" i="10"/>
  <c r="F700" i="10"/>
  <c r="F692" i="10"/>
  <c r="F684" i="10"/>
  <c r="F676" i="10"/>
  <c r="F668" i="10"/>
  <c r="F710" i="10"/>
  <c r="F702" i="10"/>
  <c r="F694" i="10"/>
  <c r="F686" i="10"/>
  <c r="F678" i="10"/>
  <c r="F670" i="10"/>
  <c r="F647" i="10"/>
  <c r="F646" i="10"/>
  <c r="F645" i="10"/>
  <c r="F713" i="10"/>
  <c r="F699" i="10"/>
  <c r="F677" i="10"/>
  <c r="F643" i="10"/>
  <c r="F635" i="10"/>
  <c r="F628" i="10"/>
  <c r="F716" i="10"/>
  <c r="F693" i="10"/>
  <c r="F679" i="10"/>
  <c r="F672" i="10"/>
  <c r="F641" i="10"/>
  <c r="F633" i="10"/>
  <c r="F629" i="10"/>
  <c r="F626" i="10"/>
  <c r="F709" i="10"/>
  <c r="F695" i="10"/>
  <c r="F688" i="10"/>
  <c r="F681" i="10"/>
  <c r="F639" i="10"/>
  <c r="F630" i="10"/>
  <c r="F712" i="10"/>
  <c r="F697" i="10"/>
  <c r="F671" i="10"/>
  <c r="F642" i="10"/>
  <c r="F637" i="10"/>
  <c r="F632" i="10"/>
  <c r="F680" i="10"/>
  <c r="F669" i="10"/>
  <c r="F634" i="10"/>
  <c r="F625" i="10"/>
  <c r="F704" i="10"/>
  <c r="F691" i="10"/>
  <c r="F689" i="10"/>
  <c r="F644" i="10"/>
  <c r="F627" i="10"/>
  <c r="F687" i="10"/>
  <c r="F636" i="10"/>
  <c r="F631" i="10"/>
  <c r="F711" i="10"/>
  <c r="F696" i="10"/>
  <c r="F685" i="10"/>
  <c r="F683" i="10"/>
  <c r="F707" i="10"/>
  <c r="F638" i="10"/>
  <c r="F705" i="10"/>
  <c r="F703" i="10"/>
  <c r="F675" i="10"/>
  <c r="F640" i="10"/>
  <c r="F673" i="10"/>
  <c r="F701" i="10"/>
  <c r="G647" i="1" l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2" i="1"/>
  <c r="G630" i="1"/>
  <c r="G673" i="1"/>
  <c r="G677" i="1"/>
  <c r="G712" i="1"/>
  <c r="G691" i="1"/>
  <c r="G683" i="1"/>
  <c r="G679" i="1"/>
  <c r="G701" i="1"/>
  <c r="G680" i="1"/>
  <c r="G698" i="1"/>
  <c r="G703" i="1"/>
  <c r="G627" i="1"/>
  <c r="G693" i="1"/>
  <c r="G692" i="1"/>
  <c r="G670" i="1"/>
  <c r="G631" i="1"/>
  <c r="F715" i="1"/>
  <c r="F715" i="10"/>
  <c r="G625" i="10"/>
  <c r="H628" i="1" l="1"/>
  <c r="G715" i="1"/>
  <c r="G711" i="10"/>
  <c r="G703" i="10"/>
  <c r="G695" i="10"/>
  <c r="G687" i="10"/>
  <c r="G679" i="10"/>
  <c r="G671" i="10"/>
  <c r="G713" i="10"/>
  <c r="G705" i="10"/>
  <c r="G697" i="10"/>
  <c r="G689" i="10"/>
  <c r="G681" i="10"/>
  <c r="G673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706" i="10"/>
  <c r="G692" i="10"/>
  <c r="G685" i="10"/>
  <c r="G678" i="10"/>
  <c r="G646" i="10"/>
  <c r="G708" i="10"/>
  <c r="G701" i="10"/>
  <c r="G694" i="10"/>
  <c r="G680" i="10"/>
  <c r="G710" i="10"/>
  <c r="G696" i="10"/>
  <c r="G674" i="10"/>
  <c r="G631" i="10"/>
  <c r="G627" i="10"/>
  <c r="G684" i="10"/>
  <c r="G682" i="10"/>
  <c r="G669" i="10"/>
  <c r="G647" i="10"/>
  <c r="G704" i="10"/>
  <c r="G693" i="10"/>
  <c r="G702" i="10"/>
  <c r="G676" i="10"/>
  <c r="G700" i="10"/>
  <c r="G672" i="10"/>
  <c r="G629" i="10"/>
  <c r="G709" i="10"/>
  <c r="G698" i="10"/>
  <c r="G670" i="10"/>
  <c r="G668" i="10"/>
  <c r="G626" i="10"/>
  <c r="G690" i="10"/>
  <c r="G688" i="10"/>
  <c r="G677" i="10"/>
  <c r="G645" i="10"/>
  <c r="G630" i="10"/>
  <c r="G712" i="10"/>
  <c r="G628" i="10"/>
  <c r="G686" i="10"/>
  <c r="H672" i="1" l="1"/>
  <c r="H639" i="1"/>
  <c r="H697" i="1"/>
  <c r="H688" i="1"/>
  <c r="H694" i="1"/>
  <c r="H702" i="1"/>
  <c r="H687" i="1"/>
  <c r="H711" i="1"/>
  <c r="H681" i="1"/>
  <c r="H712" i="1"/>
  <c r="H701" i="1"/>
  <c r="H693" i="1"/>
  <c r="H707" i="1"/>
  <c r="H629" i="1"/>
  <c r="H695" i="1"/>
  <c r="H704" i="1"/>
  <c r="H644" i="1"/>
  <c r="H635" i="1"/>
  <c r="H709" i="1"/>
  <c r="H673" i="1"/>
  <c r="H645" i="1"/>
  <c r="H643" i="1"/>
  <c r="H678" i="1"/>
  <c r="H700" i="1"/>
  <c r="H677" i="1"/>
  <c r="H699" i="1"/>
  <c r="H670" i="1"/>
  <c r="H698" i="1"/>
  <c r="H647" i="1"/>
  <c r="H682" i="1"/>
  <c r="H689" i="1"/>
  <c r="H706" i="1"/>
  <c r="H684" i="1"/>
  <c r="H690" i="1"/>
  <c r="H632" i="1"/>
  <c r="H631" i="1"/>
  <c r="H713" i="1"/>
  <c r="H642" i="1"/>
  <c r="H683" i="1"/>
  <c r="H705" i="1"/>
  <c r="H686" i="1"/>
  <c r="H680" i="1"/>
  <c r="H637" i="1"/>
  <c r="H676" i="1"/>
  <c r="H716" i="1"/>
  <c r="H668" i="1"/>
  <c r="H640" i="1"/>
  <c r="H669" i="1"/>
  <c r="H646" i="1"/>
  <c r="H630" i="1"/>
  <c r="H636" i="1"/>
  <c r="H692" i="1"/>
  <c r="H685" i="1"/>
  <c r="H634" i="1"/>
  <c r="H703" i="1"/>
  <c r="H633" i="1"/>
  <c r="H675" i="1"/>
  <c r="H710" i="1"/>
  <c r="H641" i="1"/>
  <c r="H671" i="1"/>
  <c r="H708" i="1"/>
  <c r="H638" i="1"/>
  <c r="H679" i="1"/>
  <c r="H674" i="1"/>
  <c r="H691" i="1"/>
  <c r="H696" i="1"/>
  <c r="G715" i="10"/>
  <c r="H628" i="10"/>
  <c r="H715" i="1" l="1"/>
  <c r="I629" i="1"/>
  <c r="H708" i="10"/>
  <c r="H700" i="10"/>
  <c r="H692" i="10"/>
  <c r="H684" i="10"/>
  <c r="H676" i="10"/>
  <c r="H668" i="10"/>
  <c r="H710" i="10"/>
  <c r="H702" i="10"/>
  <c r="H694" i="10"/>
  <c r="H686" i="10"/>
  <c r="H678" i="10"/>
  <c r="H670" i="10"/>
  <c r="H647" i="10"/>
  <c r="H646" i="10"/>
  <c r="H645" i="10"/>
  <c r="H712" i="10"/>
  <c r="H704" i="10"/>
  <c r="H696" i="10"/>
  <c r="H688" i="10"/>
  <c r="H680" i="10"/>
  <c r="H672" i="10"/>
  <c r="H707" i="10"/>
  <c r="H693" i="10"/>
  <c r="H671" i="10"/>
  <c r="H638" i="10"/>
  <c r="H629" i="10"/>
  <c r="H709" i="10"/>
  <c r="H687" i="10"/>
  <c r="H673" i="10"/>
  <c r="H644" i="10"/>
  <c r="H636" i="10"/>
  <c r="H630" i="10"/>
  <c r="H703" i="10"/>
  <c r="H689" i="10"/>
  <c r="H682" i="10"/>
  <c r="H675" i="10"/>
  <c r="H642" i="10"/>
  <c r="H634" i="10"/>
  <c r="H695" i="10"/>
  <c r="H706" i="10"/>
  <c r="H691" i="10"/>
  <c r="H639" i="10"/>
  <c r="H716" i="10"/>
  <c r="H674" i="10"/>
  <c r="H631" i="10"/>
  <c r="H713" i="10"/>
  <c r="H711" i="10"/>
  <c r="H698" i="10"/>
  <c r="H685" i="10"/>
  <c r="H683" i="10"/>
  <c r="H641" i="10"/>
  <c r="H681" i="10"/>
  <c r="H633" i="10"/>
  <c r="H705" i="10"/>
  <c r="H690" i="10"/>
  <c r="H679" i="10"/>
  <c r="H677" i="10"/>
  <c r="H643" i="10"/>
  <c r="H701" i="10"/>
  <c r="H640" i="10"/>
  <c r="H635" i="10"/>
  <c r="H699" i="10"/>
  <c r="H669" i="10"/>
  <c r="H697" i="10"/>
  <c r="H637" i="10"/>
  <c r="H632" i="10"/>
  <c r="I635" i="1" l="1"/>
  <c r="I668" i="1"/>
  <c r="I696" i="1"/>
  <c r="I703" i="1"/>
  <c r="I644" i="1"/>
  <c r="I682" i="1"/>
  <c r="I680" i="1"/>
  <c r="I687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9" i="1"/>
  <c r="I688" i="1"/>
  <c r="I698" i="1"/>
  <c r="I694" i="1"/>
  <c r="I631" i="1"/>
  <c r="I678" i="1"/>
  <c r="I673" i="1"/>
  <c r="I686" i="1"/>
  <c r="I643" i="1"/>
  <c r="I638" i="1"/>
  <c r="I690" i="1"/>
  <c r="I679" i="1"/>
  <c r="I646" i="1"/>
  <c r="I675" i="1"/>
  <c r="I695" i="1"/>
  <c r="I713" i="1"/>
  <c r="I701" i="1"/>
  <c r="I706" i="1"/>
  <c r="I708" i="1"/>
  <c r="I632" i="1"/>
  <c r="I691" i="1"/>
  <c r="I639" i="1"/>
  <c r="I702" i="1"/>
  <c r="I633" i="1"/>
  <c r="I685" i="1"/>
  <c r="I710" i="1"/>
  <c r="I712" i="1"/>
  <c r="I707" i="1"/>
  <c r="I700" i="1"/>
  <c r="I671" i="1"/>
  <c r="H715" i="10"/>
  <c r="I629" i="10"/>
  <c r="I715" i="1" l="1"/>
  <c r="J630" i="1"/>
  <c r="I713" i="10"/>
  <c r="I705" i="10"/>
  <c r="I697" i="10"/>
  <c r="I689" i="10"/>
  <c r="I681" i="10"/>
  <c r="I673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709" i="10"/>
  <c r="I701" i="10"/>
  <c r="I693" i="10"/>
  <c r="I685" i="10"/>
  <c r="I677" i="10"/>
  <c r="I669" i="10"/>
  <c r="I700" i="10"/>
  <c r="I686" i="10"/>
  <c r="I679" i="10"/>
  <c r="I672" i="10"/>
  <c r="I702" i="10"/>
  <c r="I695" i="10"/>
  <c r="I688" i="10"/>
  <c r="I674" i="10"/>
  <c r="I647" i="10"/>
  <c r="I711" i="10"/>
  <c r="I704" i="10"/>
  <c r="I690" i="10"/>
  <c r="I668" i="10"/>
  <c r="I645" i="10"/>
  <c r="I708" i="10"/>
  <c r="I706" i="10"/>
  <c r="I680" i="10"/>
  <c r="I678" i="10"/>
  <c r="I676" i="10"/>
  <c r="I698" i="10"/>
  <c r="I687" i="10"/>
  <c r="I696" i="10"/>
  <c r="I670" i="10"/>
  <c r="I646" i="10"/>
  <c r="I694" i="10"/>
  <c r="I703" i="10"/>
  <c r="I692" i="10"/>
  <c r="I712" i="10"/>
  <c r="I630" i="10"/>
  <c r="I684" i="10"/>
  <c r="I682" i="10"/>
  <c r="I710" i="10"/>
  <c r="I671" i="10"/>
  <c r="J693" i="1" l="1"/>
  <c r="J685" i="1"/>
  <c r="J669" i="1"/>
  <c r="J646" i="1"/>
  <c r="J698" i="1"/>
  <c r="J682" i="1"/>
  <c r="J644" i="1"/>
  <c r="J704" i="1"/>
  <c r="J716" i="1"/>
  <c r="J697" i="1"/>
  <c r="J642" i="1"/>
  <c r="J688" i="1"/>
  <c r="J640" i="1"/>
  <c r="J671" i="1"/>
  <c r="J680" i="1"/>
  <c r="J689" i="1"/>
  <c r="J707" i="1"/>
  <c r="J675" i="1"/>
  <c r="J694" i="1"/>
  <c r="J670" i="1"/>
  <c r="J699" i="1"/>
  <c r="J700" i="1"/>
  <c r="J639" i="1"/>
  <c r="J643" i="1"/>
  <c r="J681" i="1"/>
  <c r="J686" i="1"/>
  <c r="J679" i="1"/>
  <c r="J711" i="1"/>
  <c r="J702" i="1"/>
  <c r="J712" i="1"/>
  <c r="J635" i="1"/>
  <c r="J647" i="1"/>
  <c r="J634" i="1"/>
  <c r="J638" i="1"/>
  <c r="J632" i="1"/>
  <c r="J668" i="1"/>
  <c r="J706" i="1"/>
  <c r="J674" i="1"/>
  <c r="J636" i="1"/>
  <c r="J709" i="1"/>
  <c r="J633" i="1"/>
  <c r="J710" i="1"/>
  <c r="J645" i="1"/>
  <c r="J637" i="1"/>
  <c r="J703" i="1"/>
  <c r="J705" i="1"/>
  <c r="J690" i="1"/>
  <c r="J684" i="1"/>
  <c r="J701" i="1"/>
  <c r="J676" i="1"/>
  <c r="J641" i="1"/>
  <c r="J692" i="1"/>
  <c r="J695" i="1"/>
  <c r="J677" i="1"/>
  <c r="J708" i="1"/>
  <c r="J696" i="1"/>
  <c r="J683" i="1"/>
  <c r="J713" i="1"/>
  <c r="J673" i="1"/>
  <c r="J678" i="1"/>
  <c r="J691" i="1"/>
  <c r="J672" i="1"/>
  <c r="J631" i="1"/>
  <c r="J687" i="1"/>
  <c r="I715" i="10"/>
  <c r="J630" i="10"/>
  <c r="L647" i="1" l="1"/>
  <c r="L710" i="1" s="1"/>
  <c r="K644" i="1"/>
  <c r="J715" i="1"/>
  <c r="J710" i="10"/>
  <c r="J702" i="10"/>
  <c r="J694" i="10"/>
  <c r="J686" i="10"/>
  <c r="J678" i="10"/>
  <c r="J670" i="10"/>
  <c r="J647" i="10"/>
  <c r="J646" i="10"/>
  <c r="J645" i="10"/>
  <c r="J712" i="10"/>
  <c r="J704" i="10"/>
  <c r="J696" i="10"/>
  <c r="J688" i="10"/>
  <c r="J680" i="10"/>
  <c r="J672" i="10"/>
  <c r="J706" i="10"/>
  <c r="J698" i="10"/>
  <c r="J690" i="10"/>
  <c r="J682" i="10"/>
  <c r="J674" i="10"/>
  <c r="J716" i="10"/>
  <c r="J708" i="10"/>
  <c r="J701" i="10"/>
  <c r="J687" i="10"/>
  <c r="J641" i="10"/>
  <c r="J633" i="10"/>
  <c r="J703" i="10"/>
  <c r="J681" i="10"/>
  <c r="J639" i="10"/>
  <c r="J631" i="10"/>
  <c r="J697" i="10"/>
  <c r="J683" i="10"/>
  <c r="J676" i="10"/>
  <c r="J669" i="10"/>
  <c r="J637" i="10"/>
  <c r="J693" i="10"/>
  <c r="J691" i="10"/>
  <c r="J634" i="10"/>
  <c r="J689" i="10"/>
  <c r="J644" i="10"/>
  <c r="J713" i="10"/>
  <c r="J711" i="10"/>
  <c r="J700" i="10"/>
  <c r="J685" i="10"/>
  <c r="J636" i="10"/>
  <c r="J709" i="10"/>
  <c r="J668" i="10"/>
  <c r="J707" i="10"/>
  <c r="J705" i="10"/>
  <c r="J692" i="10"/>
  <c r="J679" i="10"/>
  <c r="J677" i="10"/>
  <c r="J643" i="10"/>
  <c r="J638" i="10"/>
  <c r="J675" i="10"/>
  <c r="J640" i="10"/>
  <c r="J635" i="10"/>
  <c r="J699" i="10"/>
  <c r="J684" i="10"/>
  <c r="J673" i="10"/>
  <c r="J671" i="10"/>
  <c r="J632" i="10"/>
  <c r="J695" i="10"/>
  <c r="J642" i="10"/>
  <c r="L704" i="1" l="1"/>
  <c r="L671" i="1"/>
  <c r="L685" i="1"/>
  <c r="L711" i="1"/>
  <c r="L670" i="1"/>
  <c r="L682" i="1"/>
  <c r="L687" i="1"/>
  <c r="L672" i="1"/>
  <c r="L702" i="1"/>
  <c r="L669" i="1"/>
  <c r="L684" i="1"/>
  <c r="L690" i="1"/>
  <c r="L696" i="1"/>
  <c r="L676" i="1"/>
  <c r="L679" i="1"/>
  <c r="L693" i="1"/>
  <c r="L668" i="1"/>
  <c r="L698" i="1"/>
  <c r="L706" i="1"/>
  <c r="L709" i="1"/>
  <c r="L705" i="1"/>
  <c r="L678" i="1"/>
  <c r="L675" i="1"/>
  <c r="L703" i="1"/>
  <c r="L707" i="1"/>
  <c r="L712" i="1"/>
  <c r="L708" i="1"/>
  <c r="L681" i="1"/>
  <c r="L701" i="1"/>
  <c r="L692" i="1"/>
  <c r="L674" i="1"/>
  <c r="L673" i="1"/>
  <c r="L695" i="1"/>
  <c r="L713" i="1"/>
  <c r="L680" i="1"/>
  <c r="L700" i="1"/>
  <c r="L694" i="1"/>
  <c r="L699" i="1"/>
  <c r="L677" i="1"/>
  <c r="L697" i="1"/>
  <c r="L686" i="1"/>
  <c r="L689" i="1"/>
  <c r="L688" i="1"/>
  <c r="L716" i="1"/>
  <c r="L683" i="1"/>
  <c r="L691" i="1"/>
  <c r="K716" i="1"/>
  <c r="K693" i="1"/>
  <c r="M693" i="1" s="1"/>
  <c r="K668" i="1"/>
  <c r="M668" i="1" s="1"/>
  <c r="K680" i="1"/>
  <c r="K705" i="1"/>
  <c r="K690" i="1"/>
  <c r="M690" i="1" s="1"/>
  <c r="K710" i="1"/>
  <c r="M710" i="1" s="1"/>
  <c r="K707" i="1"/>
  <c r="K697" i="1"/>
  <c r="K674" i="1"/>
  <c r="K683" i="1"/>
  <c r="K678" i="1"/>
  <c r="M678" i="1" s="1"/>
  <c r="K695" i="1"/>
  <c r="K687" i="1"/>
  <c r="K685" i="1"/>
  <c r="K676" i="1"/>
  <c r="M676" i="1" s="1"/>
  <c r="K701" i="1"/>
  <c r="K689" i="1"/>
  <c r="K706" i="1"/>
  <c r="K696" i="1"/>
  <c r="K673" i="1"/>
  <c r="K677" i="1"/>
  <c r="K709" i="1"/>
  <c r="K698" i="1"/>
  <c r="K671" i="1"/>
  <c r="K670" i="1"/>
  <c r="K672" i="1"/>
  <c r="K679" i="1"/>
  <c r="K711" i="1"/>
  <c r="K703" i="1"/>
  <c r="K700" i="1"/>
  <c r="K713" i="1"/>
  <c r="K699" i="1"/>
  <c r="K708" i="1"/>
  <c r="K694" i="1"/>
  <c r="M694" i="1" s="1"/>
  <c r="K681" i="1"/>
  <c r="K686" i="1"/>
  <c r="K712" i="1"/>
  <c r="K692" i="1"/>
  <c r="K702" i="1"/>
  <c r="K688" i="1"/>
  <c r="M688" i="1" s="1"/>
  <c r="K704" i="1"/>
  <c r="K675" i="1"/>
  <c r="K682" i="1"/>
  <c r="M682" i="1" s="1"/>
  <c r="K684" i="1"/>
  <c r="M684" i="1" s="1"/>
  <c r="K691" i="1"/>
  <c r="K669" i="1"/>
  <c r="K644" i="10"/>
  <c r="L647" i="10"/>
  <c r="K716" i="10"/>
  <c r="K707" i="10"/>
  <c r="K699" i="10"/>
  <c r="K691" i="10"/>
  <c r="K683" i="10"/>
  <c r="K675" i="10"/>
  <c r="K709" i="10"/>
  <c r="K701" i="10"/>
  <c r="K693" i="10"/>
  <c r="K685" i="10"/>
  <c r="K677" i="10"/>
  <c r="K669" i="10"/>
  <c r="K711" i="10"/>
  <c r="K703" i="10"/>
  <c r="K695" i="10"/>
  <c r="K687" i="10"/>
  <c r="K679" i="10"/>
  <c r="K671" i="10"/>
  <c r="K694" i="10"/>
  <c r="K680" i="10"/>
  <c r="K673" i="10"/>
  <c r="K710" i="10"/>
  <c r="K696" i="10"/>
  <c r="K689" i="10"/>
  <c r="K682" i="10"/>
  <c r="K668" i="10"/>
  <c r="K712" i="10"/>
  <c r="K705" i="10"/>
  <c r="K698" i="10"/>
  <c r="K684" i="10"/>
  <c r="K704" i="10"/>
  <c r="K678" i="10"/>
  <c r="K676" i="10"/>
  <c r="K713" i="10"/>
  <c r="K702" i="10"/>
  <c r="K700" i="10"/>
  <c r="K674" i="10"/>
  <c r="K672" i="10"/>
  <c r="K670" i="10"/>
  <c r="K692" i="10"/>
  <c r="K681" i="10"/>
  <c r="K690" i="10"/>
  <c r="K688" i="10"/>
  <c r="K697" i="10"/>
  <c r="K686" i="10"/>
  <c r="K708" i="10"/>
  <c r="K706" i="10"/>
  <c r="J715" i="10"/>
  <c r="M698" i="1" l="1"/>
  <c r="M713" i="1"/>
  <c r="M703" i="1"/>
  <c r="M683" i="1"/>
  <c r="M702" i="1"/>
  <c r="I151" i="9" s="1"/>
  <c r="M696" i="1"/>
  <c r="C151" i="9" s="1"/>
  <c r="M704" i="1"/>
  <c r="M670" i="1"/>
  <c r="E23" i="9" s="1"/>
  <c r="M671" i="1"/>
  <c r="M686" i="1"/>
  <c r="G87" i="9" s="1"/>
  <c r="M701" i="1"/>
  <c r="M695" i="1"/>
  <c r="M705" i="1"/>
  <c r="E183" i="9" s="1"/>
  <c r="M711" i="1"/>
  <c r="M673" i="1"/>
  <c r="M697" i="1"/>
  <c r="D151" i="9" s="1"/>
  <c r="M687" i="1"/>
  <c r="M681" i="1"/>
  <c r="I55" i="9" s="1"/>
  <c r="M691" i="1"/>
  <c r="M689" i="1"/>
  <c r="M700" i="1"/>
  <c r="G151" i="9" s="1"/>
  <c r="M672" i="1"/>
  <c r="G23" i="9" s="1"/>
  <c r="M709" i="1"/>
  <c r="I183" i="9" s="1"/>
  <c r="M679" i="1"/>
  <c r="G55" i="9" s="1"/>
  <c r="M669" i="1"/>
  <c r="M675" i="1"/>
  <c r="M706" i="1"/>
  <c r="F183" i="9" s="1"/>
  <c r="M685" i="1"/>
  <c r="F87" i="9" s="1"/>
  <c r="M692" i="1"/>
  <c r="F119" i="9" s="1"/>
  <c r="M712" i="1"/>
  <c r="E215" i="9" s="1"/>
  <c r="M699" i="1"/>
  <c r="F151" i="9" s="1"/>
  <c r="M677" i="1"/>
  <c r="M674" i="1"/>
  <c r="M708" i="1"/>
  <c r="L715" i="1"/>
  <c r="M707" i="1"/>
  <c r="M680" i="1"/>
  <c r="C87" i="9"/>
  <c r="D87" i="9"/>
  <c r="C183" i="9"/>
  <c r="D183" i="9"/>
  <c r="E87" i="9"/>
  <c r="I87" i="9"/>
  <c r="F55" i="9"/>
  <c r="E151" i="9"/>
  <c r="K715" i="1"/>
  <c r="F23" i="9"/>
  <c r="C215" i="9"/>
  <c r="F215" i="9"/>
  <c r="G119" i="9"/>
  <c r="D55" i="9"/>
  <c r="D119" i="9"/>
  <c r="H119" i="9"/>
  <c r="C23" i="9"/>
  <c r="K715" i="10"/>
  <c r="L712" i="10"/>
  <c r="M712" i="10" s="1"/>
  <c r="L704" i="10"/>
  <c r="M704" i="10" s="1"/>
  <c r="L696" i="10"/>
  <c r="M696" i="10" s="1"/>
  <c r="L688" i="10"/>
  <c r="M688" i="10" s="1"/>
  <c r="L680" i="10"/>
  <c r="M680" i="10" s="1"/>
  <c r="L672" i="10"/>
  <c r="M672" i="10" s="1"/>
  <c r="L706" i="10"/>
  <c r="M706" i="10" s="1"/>
  <c r="L698" i="10"/>
  <c r="M698" i="10" s="1"/>
  <c r="L690" i="10"/>
  <c r="M690" i="10" s="1"/>
  <c r="L682" i="10"/>
  <c r="M682" i="10" s="1"/>
  <c r="L674" i="10"/>
  <c r="M674" i="10" s="1"/>
  <c r="L708" i="10"/>
  <c r="M708" i="10" s="1"/>
  <c r="L700" i="10"/>
  <c r="M700" i="10" s="1"/>
  <c r="L692" i="10"/>
  <c r="M692" i="10" s="1"/>
  <c r="L684" i="10"/>
  <c r="M684" i="10" s="1"/>
  <c r="L676" i="10"/>
  <c r="M676" i="10" s="1"/>
  <c r="L668" i="10"/>
  <c r="L709" i="10"/>
  <c r="M709" i="10" s="1"/>
  <c r="L702" i="10"/>
  <c r="M702" i="10" s="1"/>
  <c r="L695" i="10"/>
  <c r="M695" i="10" s="1"/>
  <c r="L681" i="10"/>
  <c r="M681" i="10" s="1"/>
  <c r="L711" i="10"/>
  <c r="M711" i="10" s="1"/>
  <c r="L697" i="10"/>
  <c r="M697" i="10" s="1"/>
  <c r="L675" i="10"/>
  <c r="M675" i="10" s="1"/>
  <c r="L713" i="10"/>
  <c r="M713" i="10" s="1"/>
  <c r="L691" i="10"/>
  <c r="M691" i="10" s="1"/>
  <c r="L677" i="10"/>
  <c r="M677" i="10" s="1"/>
  <c r="L670" i="10"/>
  <c r="M670" i="10" s="1"/>
  <c r="L689" i="10"/>
  <c r="M689" i="10" s="1"/>
  <c r="L716" i="10"/>
  <c r="L687" i="10"/>
  <c r="M687" i="10" s="1"/>
  <c r="L685" i="10"/>
  <c r="M685" i="10" s="1"/>
  <c r="L683" i="10"/>
  <c r="M683" i="10" s="1"/>
  <c r="L707" i="10"/>
  <c r="M707" i="10" s="1"/>
  <c r="L705" i="10"/>
  <c r="M705" i="10" s="1"/>
  <c r="L694" i="10"/>
  <c r="M694" i="10" s="1"/>
  <c r="L679" i="10"/>
  <c r="M679" i="10" s="1"/>
  <c r="L703" i="10"/>
  <c r="M703" i="10" s="1"/>
  <c r="L701" i="10"/>
  <c r="M701" i="10" s="1"/>
  <c r="L699" i="10"/>
  <c r="M699" i="10" s="1"/>
  <c r="L686" i="10"/>
  <c r="M686" i="10" s="1"/>
  <c r="L673" i="10"/>
  <c r="M673" i="10" s="1"/>
  <c r="L671" i="10"/>
  <c r="M671" i="10" s="1"/>
  <c r="L710" i="10"/>
  <c r="M710" i="10" s="1"/>
  <c r="L669" i="10"/>
  <c r="M669" i="10" s="1"/>
  <c r="L693" i="10"/>
  <c r="M693" i="10" s="1"/>
  <c r="L678" i="10"/>
  <c r="M678" i="10" s="1"/>
  <c r="C119" i="9" l="1"/>
  <c r="I119" i="9"/>
  <c r="H151" i="9"/>
  <c r="C55" i="9"/>
  <c r="H183" i="9"/>
  <c r="D23" i="9"/>
  <c r="I23" i="9"/>
  <c r="H55" i="9"/>
  <c r="H87" i="9"/>
  <c r="E119" i="9"/>
  <c r="D215" i="9"/>
  <c r="H23" i="9"/>
  <c r="M715" i="1"/>
  <c r="G183" i="9"/>
  <c r="E55" i="9"/>
  <c r="L715" i="10"/>
  <c r="M668" i="10"/>
  <c r="M715" i="10" s="1"/>
</calcChain>
</file>

<file path=xl/sharedStrings.xml><?xml version="1.0" encoding="utf-8"?>
<sst xmlns="http://schemas.openxmlformats.org/spreadsheetml/2006/main" count="4401" uniqueCount="1015">
  <si>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</si>
  <si>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</si>
  <si>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</si>
  <si>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</si>
  <si>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</si>
  <si>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</si>
  <si>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</si>
  <si>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</si>
  <si>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</si>
  <si>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</si>
  <si>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</si>
  <si>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</si>
  <si>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</si>
  <si>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</si>
  <si>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</si>
  <si>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</si>
  <si>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</si>
  <si>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</si>
  <si>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</si>
  <si>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</si>
  <si>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</si>
  <si>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</si>
  <si>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</si>
  <si>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</si>
  <si>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</si>
  <si>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</si>
  <si>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</si>
  <si>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</si>
  <si>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</si>
  <si>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</si>
  <si>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</si>
  <si>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</si>
  <si>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</si>
  <si>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</si>
  <si>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</si>
  <si>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</si>
  <si>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</si>
  <si>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</si>
  <si>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</si>
  <si>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</si>
  <si>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</si>
  <si>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</si>
  <si>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</si>
  <si>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</si>
  <si>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</si>
  <si>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</si>
  <si>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</si>
  <si>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</si>
  <si>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</si>
  <si>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</si>
  <si>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</si>
  <si>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</si>
  <si>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</si>
  <si>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</si>
  <si>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</si>
  <si>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</si>
  <si>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</si>
  <si>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</si>
  <si>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</si>
  <si>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</si>
  <si>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</si>
  <si>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</si>
  <si>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</si>
  <si>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</si>
  <si>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</si>
  <si>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</si>
  <si>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</si>
  <si>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</si>
  <si>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</si>
  <si>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</si>
  <si>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</si>
  <si>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</si>
  <si>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</si>
  <si>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</si>
  <si>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</si>
  <si>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</si>
  <si>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</si>
  <si>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</si>
  <si>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</si>
  <si>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</si>
  <si>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</si>
  <si>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</si>
  <si>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</si>
  <si>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</si>
  <si>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</si>
  <si>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</si>
  <si>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</si>
  <si>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</si>
  <si>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</si>
  <si>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</si>
  <si>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</si>
  <si>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</si>
  <si>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</si>
  <si>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</si>
  <si>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</si>
  <si>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</si>
  <si>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</si>
  <si>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</si>
  <si>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</si>
  <si>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</si>
  <si>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</si>
  <si>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</si>
  <si>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</si>
  <si>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</si>
  <si>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</si>
  <si>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</si>
  <si>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</si>
  <si>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</si>
  <si>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</si>
  <si>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</si>
  <si>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</si>
  <si>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</si>
  <si>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</si>
  <si>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</si>
  <si>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</si>
  <si>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</si>
  <si>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</si>
  <si>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</si>
  <si>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</si>
  <si>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</si>
  <si>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</si>
  <si>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</si>
  <si>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</si>
  <si>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</si>
  <si>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</si>
  <si>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</si>
  <si>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</si>
  <si>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</si>
  <si>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</si>
  <si>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</si>
  <si>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</si>
  <si>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</si>
  <si>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</si>
  <si>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</si>
  <si>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</si>
  <si>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</si>
  <si>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</si>
  <si>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</si>
  <si>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</si>
  <si>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</si>
  <si>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</si>
  <si>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</si>
  <si>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</si>
  <si>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</si>
  <si>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</si>
  <si>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</si>
  <si>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</si>
  <si>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</si>
  <si>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</si>
  <si>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</si>
  <si>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</si>
  <si>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</si>
  <si>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</si>
  <si>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</si>
  <si>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</si>
  <si>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</si>
  <si>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</si>
  <si>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</si>
  <si>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</si>
  <si>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</si>
  <si>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</si>
  <si>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</si>
  <si>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</si>
  <si>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</si>
  <si>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</si>
  <si>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</si>
  <si>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</si>
  <si>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</si>
  <si>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</si>
  <si>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</si>
  <si>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</si>
  <si>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</si>
  <si>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</si>
  <si>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</si>
  <si>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</si>
  <si>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</si>
  <si>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</si>
  <si>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</si>
  <si>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</si>
  <si>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</si>
  <si>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</si>
  <si>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</si>
  <si>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</si>
  <si>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</si>
  <si>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</si>
  <si>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</si>
  <si>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</si>
  <si>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</si>
  <si>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</si>
  <si>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</si>
  <si>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</si>
  <si>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</si>
  <si>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</si>
  <si>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</si>
  <si>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</si>
  <si>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</si>
  <si>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</si>
  <si>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</si>
  <si>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</si>
  <si>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</si>
  <si>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</si>
  <si>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</si>
  <si>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</si>
  <si>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</si>
  <si>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</si>
  <si>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</si>
  <si>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</si>
  <si>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</si>
  <si>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</si>
  <si>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</si>
  <si>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</si>
  <si>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</si>
  <si>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</si>
  <si>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</si>
  <si>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</si>
  <si>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</si>
  <si>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</si>
  <si>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</si>
  <si>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</si>
  <si>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</si>
  <si>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</si>
  <si>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</si>
  <si>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</si>
  <si>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</si>
  <si>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</si>
  <si>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</si>
  <si>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</si>
  <si>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</si>
  <si>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</si>
  <si>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</si>
  <si>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</si>
  <si>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</si>
  <si>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</si>
  <si>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</si>
  <si>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</si>
  <si>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</si>
  <si>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</si>
  <si>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</si>
  <si>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</si>
  <si>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</si>
  <si>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</si>
  <si>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</si>
  <si>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</si>
  <si>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</si>
  <si>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</si>
  <si>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</si>
  <si>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</si>
  <si>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</si>
  <si>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</si>
  <si>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</si>
  <si>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</si>
  <si>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</si>
  <si>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</si>
  <si>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</si>
  <si>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</si>
  <si>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</si>
  <si>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</si>
  <si>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</si>
  <si>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</si>
  <si>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</si>
  <si>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</si>
  <si>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</si>
  <si>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</si>
  <si>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</si>
  <si>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</si>
  <si>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</si>
  <si>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</si>
  <si>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</si>
  <si>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</si>
  <si>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</si>
  <si>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</si>
  <si>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</si>
  <si>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</si>
  <si>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</si>
  <si>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</si>
  <si>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</si>
  <si>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</si>
  <si>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</si>
  <si>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</si>
  <si>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</si>
  <si>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</si>
  <si>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</si>
  <si>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</si>
  <si>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</si>
  <si>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</si>
  <si>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</si>
  <si>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</si>
  <si>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</si>
  <si>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</si>
  <si>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</si>
  <si>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</si>
  <si>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</si>
  <si>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</si>
  <si>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</si>
  <si>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</si>
  <si>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</si>
  <si>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</si>
  <si>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</si>
  <si>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</si>
  <si>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</si>
  <si>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</si>
  <si>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</si>
  <si>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</si>
  <si>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</si>
  <si>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</si>
  <si>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</si>
  <si>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</si>
  <si>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</si>
  <si>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</si>
  <si>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</si>
  <si>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</si>
  <si>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</si>
  <si>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</si>
  <si>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</si>
  <si>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</si>
  <si>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</si>
  <si>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</si>
  <si>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</si>
  <si>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</si>
  <si>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</si>
  <si>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</si>
  <si>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</si>
  <si>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</si>
  <si>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</si>
  <si>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</si>
  <si>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</si>
  <si>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</si>
  <si>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</si>
  <si>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</si>
  <si>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</si>
  <si>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</si>
  <si>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</si>
  <si>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</si>
  <si>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</si>
  <si>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</si>
  <si>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</si>
  <si>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</si>
  <si>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</si>
  <si>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</si>
  <si>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</si>
  <si>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</si>
  <si>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</si>
  <si>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</si>
  <si>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</si>
  <si>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</si>
  <si>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</si>
  <si>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</si>
  <si>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</si>
  <si>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</si>
  <si>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</si>
  <si>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</si>
  <si>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</si>
  <si>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</si>
  <si>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</si>
  <si>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</si>
  <si>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</si>
  <si>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</si>
  <si>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</si>
  <si>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</si>
  <si>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</si>
  <si>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</si>
  <si>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</si>
  <si>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</si>
  <si>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</si>
  <si>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</si>
  <si>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</si>
  <si>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</si>
  <si>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</si>
  <si>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</si>
  <si>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</si>
  <si>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</si>
  <si>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</si>
  <si>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</si>
  <si>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</si>
  <si>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</si>
  <si>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</si>
  <si>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</si>
  <si>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</si>
  <si>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</si>
  <si>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</si>
  <si>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</si>
  <si>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</si>
  <si>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</si>
  <si>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</si>
  <si>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</si>
  <si>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</si>
  <si>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</si>
  <si>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</si>
  <si>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</si>
  <si>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</si>
  <si>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</si>
  <si>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</si>
  <si>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</si>
  <si>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</si>
  <si>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</si>
  <si>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</si>
  <si>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</si>
  <si>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</si>
  <si>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</si>
  <si>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</si>
  <si>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</si>
  <si>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</si>
  <si>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</si>
  <si>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</si>
  <si>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</si>
  <si>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</si>
  <si>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</si>
  <si>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</si>
  <si>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</si>
  <si>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</si>
  <si>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</si>
  <si>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</si>
  <si>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</si>
  <si>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</si>
  <si>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</si>
  <si>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</si>
  <si>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</si>
  <si>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</si>
  <si>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</si>
  <si>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</si>
  <si>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</si>
  <si>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</si>
  <si>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</si>
  <si>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</si>
  <si>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</si>
  <si>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</si>
  <si>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</si>
  <si>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</si>
  <si>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</si>
  <si>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</si>
  <si>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</si>
  <si>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</si>
  <si>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</si>
  <si>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</si>
  <si>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</si>
  <si>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</si>
  <si>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</si>
  <si>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</si>
  <si>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</si>
  <si>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</si>
  <si>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</si>
  <si>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</si>
  <si>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</si>
  <si>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</si>
  <si>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</si>
  <si>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</si>
  <si>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</si>
  <si>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</si>
  <si>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</si>
  <si>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</si>
  <si>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</si>
  <si>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</si>
  <si>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</si>
  <si>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</si>
  <si>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</si>
  <si>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</si>
  <si>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</si>
  <si>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</si>
  <si>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</si>
  <si>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</si>
  <si>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</si>
  <si>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</si>
  <si>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</si>
  <si>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</si>
  <si>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</si>
  <si>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</si>
  <si>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</si>
  <si>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</si>
  <si>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</si>
  <si>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</si>
  <si>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</si>
  <si>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</si>
  <si>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</si>
  <si>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</si>
  <si>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</si>
  <si>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</si>
  <si>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</si>
  <si>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</si>
  <si>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</si>
  <si>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</si>
  <si>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</si>
  <si>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</si>
  <si>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</si>
  <si>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</si>
  <si>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</si>
  <si>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</si>
  <si>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</si>
  <si>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</si>
  <si>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</si>
  <si>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</si>
  <si>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</si>
  <si>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</si>
  <si>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</si>
  <si>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</si>
  <si>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</si>
  <si>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</si>
  <si>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</si>
  <si>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</si>
  <si>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</si>
  <si>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</si>
  <si>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</si>
  <si>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</si>
  <si>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</si>
  <si>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</si>
  <si>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</si>
  <si>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</si>
  <si>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</si>
  <si>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</si>
  <si>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</si>
  <si>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</si>
  <si>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</si>
  <si>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</si>
  <si>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</si>
  <si>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</si>
  <si>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</si>
  <si>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</si>
  <si>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</si>
  <si>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</si>
  <si>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</si>
  <si>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</si>
  <si>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</si>
  <si>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</si>
  <si>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</si>
  <si>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</si>
  <si>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</si>
  <si>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</si>
  <si>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</si>
  <si>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</si>
  <si>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</si>
  <si>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</si>
  <si>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</si>
  <si>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</si>
  <si>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</si>
  <si>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</si>
  <si>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</si>
  <si>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</si>
  <si>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</si>
  <si>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</si>
  <si>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</si>
  <si>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</si>
  <si>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</si>
  <si>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</si>
  <si>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</si>
  <si>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</si>
  <si>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</si>
  <si>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</si>
  <si>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</si>
  <si>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</si>
  <si>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</si>
  <si>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</si>
  <si>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</si>
  <si>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</si>
  <si>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</si>
  <si>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</si>
  <si>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</si>
  <si>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</si>
  <si>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</si>
  <si>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</si>
  <si>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</si>
  <si>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</si>
  <si>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</si>
  <si>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</si>
  <si>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</si>
  <si>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</si>
  <si>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</si>
  <si>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</si>
  <si>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</si>
  <si>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</si>
  <si>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</si>
  <si>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</si>
  <si>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</si>
  <si>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</si>
  <si>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</si>
  <si>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</si>
  <si>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</si>
  <si>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</si>
  <si>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</si>
  <si>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</si>
  <si>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</si>
  <si>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</si>
  <si>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</si>
  <si>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</si>
  <si>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</si>
  <si>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</si>
  <si>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</si>
  <si>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</si>
  <si>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</si>
  <si>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</si>
  <si>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</si>
  <si>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</si>
  <si>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</si>
  <si>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</si>
  <si>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</si>
  <si>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</si>
  <si>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</si>
  <si>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</si>
  <si>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</si>
  <si>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</si>
  <si>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</si>
  <si>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</si>
  <si>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</si>
  <si>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</si>
  <si>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</si>
  <si>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</si>
  <si>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</si>
  <si>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</si>
  <si>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</si>
  <si>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</si>
  <si>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</si>
  <si>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</si>
  <si>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</si>
  <si>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</si>
  <si>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</si>
  <si>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</si>
  <si>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</si>
  <si>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</si>
  <si>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</si>
  <si>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</si>
  <si>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</si>
  <si>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</si>
  <si>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</si>
  <si>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</si>
  <si>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</si>
  <si>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</si>
  <si>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</si>
  <si>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</si>
  <si>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</si>
  <si>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</si>
  <si>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</si>
  <si>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</si>
  <si>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</si>
  <si>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</si>
  <si>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</si>
  <si>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</si>
  <si>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</si>
  <si>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</si>
  <si>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</si>
  <si>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</si>
  <si>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</si>
  <si>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</si>
  <si>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</si>
  <si>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</si>
  <si>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</si>
  <si>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</si>
  <si>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</si>
  <si>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</si>
  <si>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</si>
  <si>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</si>
  <si>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</si>
  <si>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</si>
  <si>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</si>
  <si>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</si>
  <si>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</si>
  <si>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</si>
  <si>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</si>
  <si>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</si>
  <si>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</si>
  <si>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</si>
  <si>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</si>
  <si>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</si>
  <si>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</si>
  <si>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</si>
  <si>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</si>
  <si>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</si>
  <si>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</si>
  <si>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</si>
  <si>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</si>
  <si>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</si>
  <si>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</si>
  <si>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</si>
  <si>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</si>
  <si>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</si>
  <si>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</si>
  <si>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</si>
  <si>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</si>
  <si>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</si>
  <si>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</si>
  <si>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</si>
  <si>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</si>
  <si>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</si>
  <si>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</si>
  <si>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</si>
  <si>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</si>
  <si>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</si>
  <si>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</si>
  <si>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</si>
  <si>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</si>
  <si>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</si>
  <si>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</si>
  <si>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</si>
  <si>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</si>
  <si>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</si>
  <si>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</si>
  <si>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</si>
  <si>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</si>
  <si>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</si>
  <si>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</si>
  <si>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</si>
  <si>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</si>
  <si>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</si>
  <si>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</si>
  <si>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</si>
  <si>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</si>
  <si>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</si>
  <si>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</si>
  <si>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</si>
  <si>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</si>
  <si>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</si>
  <si>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</si>
  <si>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</si>
  <si>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</si>
  <si>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</si>
  <si>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</si>
  <si>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</si>
  <si>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</si>
  <si>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</si>
  <si>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</si>
  <si>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</si>
  <si>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</si>
  <si>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</si>
  <si>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</si>
  <si>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</si>
  <si>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</si>
  <si>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</si>
  <si>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</si>
  <si>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</si>
  <si>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</si>
  <si>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</si>
  <si>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</si>
  <si>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</si>
  <si>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</si>
  <si>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</si>
  <si>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</si>
  <si>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</si>
  <si>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</si>
  <si>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</si>
  <si>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</si>
  <si>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</si>
  <si>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</si>
  <si>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</si>
  <si>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</si>
  <si>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</si>
  <si>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</si>
  <si>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</si>
  <si>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</si>
  <si>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</si>
  <si>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</si>
  <si>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</si>
  <si>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</si>
  <si>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</si>
  <si>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</si>
  <si>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</si>
  <si>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</si>
  <si>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</si>
  <si>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</si>
  <si>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</si>
  <si>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</si>
  <si>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</si>
  <si>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</si>
  <si>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</si>
  <si>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</si>
  <si>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</si>
  <si>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</si>
  <si>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</si>
  <si>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</si>
  <si>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</si>
  <si>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</si>
  <si>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</si>
  <si>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</si>
  <si>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</si>
  <si>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</si>
  <si>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</si>
  <si>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</si>
  <si>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</si>
  <si>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</si>
  <si>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</si>
  <si>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</si>
  <si>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</si>
  <si>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</si>
  <si>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</si>
  <si>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</si>
  <si>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</si>
  <si>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</si>
  <si>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</si>
  <si>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</si>
  <si>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</si>
  <si>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</si>
  <si>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</si>
  <si>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</si>
  <si>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</si>
  <si>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</si>
  <si>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</si>
  <si>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</si>
  <si>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</si>
  <si>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</si>
  <si>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</si>
  <si>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</si>
  <si>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</si>
  <si>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</si>
  <si>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</si>
  <si>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</si>
  <si>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</si>
  <si>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</si>
  <si>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</si>
  <si>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</si>
  <si>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</si>
  <si>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</si>
  <si>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</si>
  <si>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</si>
  <si>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</si>
  <si>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</si>
  <si>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</si>
  <si>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</si>
  <si>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</si>
  <si>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</si>
  <si>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</si>
  <si>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</si>
  <si>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</si>
  <si>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</si>
  <si>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</si>
  <si>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</si>
  <si>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</si>
  <si>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</si>
  <si>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</si>
  <si>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</si>
  <si>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</si>
  <si>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</si>
  <si>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</si>
  <si>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</si>
  <si>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</si>
  <si>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</si>
  <si>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</si>
  <si>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</si>
  <si>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</si>
  <si>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</si>
  <si>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</si>
  <si>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</si>
  <si>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</si>
  <si>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</si>
  <si>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</si>
  <si>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</si>
  <si>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</si>
  <si>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</si>
  <si>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</si>
  <si>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</si>
  <si>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</si>
  <si>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</si>
  <si>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</si>
  <si>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</si>
  <si>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</si>
  <si>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</si>
  <si>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</si>
  <si>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</si>
  <si>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</si>
  <si>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</si>
  <si>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</si>
  <si>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</si>
  <si>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</si>
  <si>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</si>
  <si>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</si>
  <si>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</si>
  <si>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</si>
  <si>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</si>
  <si>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</si>
  <si>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</si>
  <si>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</si>
  <si>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</si>
  <si>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</si>
  <si>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</si>
  <si>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</si>
  <si>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</si>
  <si>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</si>
  <si>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</si>
  <si>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</si>
  <si>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</si>
  <si>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</si>
  <si>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</si>
  <si>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</si>
  <si>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</si>
  <si>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</si>
  <si>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</si>
  <si>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</si>
  <si>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</si>
  <si>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</si>
  <si>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</si>
  <si>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</si>
  <si>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</si>
  <si>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</si>
  <si>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</si>
  <si>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</si>
  <si>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</si>
  <si>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</si>
  <si>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</si>
  <si>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</si>
  <si>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</si>
  <si>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</si>
  <si>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</si>
  <si>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</si>
  <si>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</si>
  <si>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</si>
  <si>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</si>
  <si>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</si>
  <si>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</si>
  <si>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</si>
  <si>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</si>
  <si>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</si>
  <si>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</si>
  <si>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</si>
  <si>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</si>
  <si>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</si>
  <si>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</si>
  <si>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</si>
  <si>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</si>
  <si>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</si>
  <si>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</si>
  <si>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</si>
  <si>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</si>
  <si>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</si>
  <si>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</si>
  <si>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</si>
  <si>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</si>
  <si>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</si>
  <si>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</si>
  <si>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</si>
  <si>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</si>
  <si>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</si>
  <si>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</si>
  <si>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</si>
  <si>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</si>
  <si>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</si>
  <si>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</si>
  <si>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</si>
  <si>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</si>
  <si>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</si>
  <si>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</si>
  <si>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</si>
  <si>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</si>
  <si>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</si>
  <si>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</si>
  <si>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</si>
  <si>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</si>
  <si>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</si>
  <si>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</si>
  <si>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</si>
  <si>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</si>
  <si>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</si>
  <si>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</si>
  <si>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</si>
  <si>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</si>
  <si>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</si>
  <si>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</si>
  <si>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</si>
  <si>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</si>
  <si>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</si>
  <si>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</si>
  <si>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</si>
  <si>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</si>
  <si>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</si>
  <si>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</si>
  <si>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</si>
  <si>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</si>
  <si>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</si>
  <si>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</si>
  <si>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</si>
  <si>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</si>
  <si>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</si>
  <si>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</si>
  <si>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</si>
  <si>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</si>
  <si>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</si>
  <si>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</si>
  <si>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</si>
  <si>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</si>
  <si>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</si>
  <si>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</si>
  <si>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</si>
  <si>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</si>
  <si>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</si>
  <si>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</si>
  <si>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</si>
  <si>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</si>
  <si>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</si>
  <si>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</si>
  <si>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</si>
  <si>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</si>
  <si>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</si>
  <si>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</si>
  <si>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</si>
  <si>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</si>
  <si>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</si>
  <si>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</si>
  <si>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</si>
  <si>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</si>
  <si>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</si>
  <si>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</si>
  <si>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</si>
  <si>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</si>
  <si>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</si>
  <si>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</si>
  <si>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</si>
  <si>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</si>
  <si>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</si>
  <si>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</si>
  <si>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042</t>
  </si>
  <si>
    <t>Shriners Hospitals for Children - Spokane</t>
  </si>
  <si>
    <t>911 W 5th Avenue Spokane Washington 99204</t>
  </si>
  <si>
    <t>'2900 Rocky Point Drive</t>
  </si>
  <si>
    <t>Tampa FL 33607</t>
  </si>
  <si>
    <t>Spokane</t>
  </si>
  <si>
    <t>John McCabe</t>
  </si>
  <si>
    <t>Sharon Russell</t>
  </si>
  <si>
    <t>Von Chimienti</t>
  </si>
  <si>
    <t>813-281-8610</t>
  </si>
  <si>
    <t>813-281-7155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</si>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</sst>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7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4" fillId="0" borderId="0" xfId="0" applyFont="1" applyFill="1" applyAlignment="1" applyProtection="1">
      <protection locked="0"/>
    </xf>
    <xf numFmtId="37" fontId="4" fillId="3" borderId="0" xfId="0" applyFont="1" applyFill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4379628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577326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558245</v>
      </c>
      <c r="Q48" s="195">
        <f>ROUND(((B48/CE61)*Q61),0)</f>
        <v>72107</v>
      </c>
      <c r="R48" s="195">
        <f>ROUND(((B48/CE61)*R61),0)</f>
        <v>604209</v>
      </c>
      <c r="S48" s="195">
        <f>ROUND(((B48/CE61)*S61),0)</f>
        <v>35632</v>
      </c>
      <c r="T48" s="195">
        <f>ROUND(((B48/CE61)*T61),0)</f>
        <v>0</v>
      </c>
      <c r="U48" s="195">
        <f>ROUND(((B48/CE61)*U61),0)</f>
        <v>34587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107111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85913</v>
      </c>
      <c r="AC48" s="195">
        <f>ROUND(((B48/CE61)*AC61),0)</f>
        <v>105467</v>
      </c>
      <c r="AD48" s="195">
        <f>ROUND(((B48/CE61)*AD61),0)</f>
        <v>0</v>
      </c>
      <c r="AE48" s="195">
        <f>ROUND(((B48/CE61)*AE61),0)</f>
        <v>125053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214739</v>
      </c>
      <c r="AK48" s="195">
        <f>ROUND(((B48/CE61)*AK61),0)</f>
        <v>211234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77746</v>
      </c>
      <c r="BA48" s="195">
        <f>ROUND(((B48/CE61)*BA61),0)</f>
        <v>0</v>
      </c>
      <c r="BB48" s="195">
        <f>ROUND(((B48/CE61)*BB61),0)</f>
        <v>182323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102754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825266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149394</v>
      </c>
      <c r="BR48" s="195">
        <f>ROUND(((B48/CE61)*BR61),0)</f>
        <v>42755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55898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211868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4379627</v>
      </c>
    </row>
    <row r="49" spans="1:84" ht="12.6" customHeight="1" x14ac:dyDescent="0.25">
      <c r="A49" s="175" t="s">
        <v>206</v>
      </c>
      <c r="B49" s="195">
        <f>B47+B48</f>
        <v>4379628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1019531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185510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46966</v>
      </c>
      <c r="Q52" s="195">
        <f>ROUND((B52/(CE76+CF76)*Q76),0)</f>
        <v>16199</v>
      </c>
      <c r="R52" s="195">
        <f>ROUND((B52/(CE76+CF76)*R76),0)</f>
        <v>6078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5296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37006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3447</v>
      </c>
      <c r="AC52" s="195">
        <f>ROUND((B52/(CE76+CF76)*AC76),0)</f>
        <v>1183</v>
      </c>
      <c r="AD52" s="195">
        <f>ROUND((B52/(CE76+CF76)*AD76),0)</f>
        <v>0</v>
      </c>
      <c r="AE52" s="195">
        <f>ROUND((B52/(CE76+CF76)*AE76),0)</f>
        <v>59983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101986</v>
      </c>
      <c r="AK52" s="195">
        <f>ROUND((B52/(CE76+CF76)*AK76),0)</f>
        <v>94002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50608</v>
      </c>
      <c r="AZ52" s="195">
        <f>ROUND((B52/(CE76+CF76)*AZ76),0)</f>
        <v>16532</v>
      </c>
      <c r="BA52" s="195">
        <f>ROUND((B52/(CE76+CF76)*BA76),0)</f>
        <v>18543</v>
      </c>
      <c r="BB52" s="195">
        <f>ROUND((B52/(CE76+CF76)*BB76),0)</f>
        <v>21909</v>
      </c>
      <c r="BC52" s="195">
        <f>ROUND((B52/(CE76+CF76)*BC76),0)</f>
        <v>0</v>
      </c>
      <c r="BD52" s="195">
        <f>ROUND((B52/(CE76+CF76)*BD76),0)</f>
        <v>2815</v>
      </c>
      <c r="BE52" s="195">
        <f>ROUND((B52/(CE76+CF76)*BE76),0)</f>
        <v>96414</v>
      </c>
      <c r="BF52" s="195">
        <f>ROUND((B52/(CE76+CF76)*BF76),0)</f>
        <v>8295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153904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4756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12190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14763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61144</v>
      </c>
      <c r="CD52" s="195"/>
      <c r="CE52" s="195">
        <f>SUM(C52:CD52)</f>
        <v>1019529</v>
      </c>
    </row>
    <row r="53" spans="1:84" ht="12.6" customHeight="1" x14ac:dyDescent="0.25">
      <c r="A53" s="175" t="s">
        <v>206</v>
      </c>
      <c r="B53" s="195">
        <f>B51+B52</f>
        <v>1019531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619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3493</v>
      </c>
      <c r="AZ59" s="185">
        <v>11034</v>
      </c>
      <c r="BA59" s="244"/>
      <c r="BB59" s="244"/>
      <c r="BC59" s="244"/>
      <c r="BD59" s="244"/>
      <c r="BE59" s="185">
        <v>88741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18.37</v>
      </c>
      <c r="F60" s="219"/>
      <c r="G60" s="187"/>
      <c r="H60" s="187"/>
      <c r="I60" s="187"/>
      <c r="J60" s="219"/>
      <c r="K60" s="187"/>
      <c r="L60" s="187"/>
      <c r="M60" s="187"/>
      <c r="N60" s="187"/>
      <c r="O60" s="187"/>
      <c r="P60" s="217">
        <v>8.06</v>
      </c>
      <c r="Q60" s="217">
        <v>2.3199999999999998</v>
      </c>
      <c r="R60" s="217">
        <v>4.95</v>
      </c>
      <c r="S60" s="217"/>
      <c r="T60" s="217"/>
      <c r="U60" s="217">
        <v>1.22</v>
      </c>
      <c r="V60" s="217"/>
      <c r="W60" s="217"/>
      <c r="X60" s="217"/>
      <c r="Y60" s="217">
        <v>4.84</v>
      </c>
      <c r="Z60" s="217"/>
      <c r="AA60" s="217"/>
      <c r="AB60" s="217">
        <v>1.75</v>
      </c>
      <c r="AC60" s="217">
        <v>3.89</v>
      </c>
      <c r="AD60" s="217"/>
      <c r="AE60" s="217">
        <v>4.45</v>
      </c>
      <c r="AF60" s="217"/>
      <c r="AG60" s="217"/>
      <c r="AH60" s="217"/>
      <c r="AI60" s="217"/>
      <c r="AJ60" s="217">
        <v>10.66</v>
      </c>
      <c r="AK60" s="217">
        <v>7.49</v>
      </c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45" t="s">
        <v>221</v>
      </c>
      <c r="CE60" s="247">
        <f t="shared" ref="CE60:CE70" si="0">SUM(C60:CD60)</f>
        <v>68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1787481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1728404</v>
      </c>
      <c r="Q61" s="185">
        <v>223254</v>
      </c>
      <c r="R61" s="185">
        <v>1870714</v>
      </c>
      <c r="S61" s="185">
        <v>110323</v>
      </c>
      <c r="T61" s="185"/>
      <c r="U61" s="185">
        <v>107087</v>
      </c>
      <c r="V61" s="185"/>
      <c r="W61" s="185"/>
      <c r="X61" s="185">
        <v>0</v>
      </c>
      <c r="Y61" s="185">
        <v>331629</v>
      </c>
      <c r="Z61" s="185"/>
      <c r="AA61" s="185"/>
      <c r="AB61" s="185">
        <v>265999</v>
      </c>
      <c r="AC61" s="185">
        <v>326541</v>
      </c>
      <c r="AD61" s="185"/>
      <c r="AE61" s="185">
        <v>387182</v>
      </c>
      <c r="AF61" s="185"/>
      <c r="AG61" s="185"/>
      <c r="AH61" s="185"/>
      <c r="AI61" s="185"/>
      <c r="AJ61" s="185">
        <v>664862</v>
      </c>
      <c r="AK61" s="185">
        <v>654009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240712</v>
      </c>
      <c r="BA61" s="185">
        <v>0</v>
      </c>
      <c r="BB61" s="185">
        <v>564496</v>
      </c>
      <c r="BC61" s="185"/>
      <c r="BD61" s="185"/>
      <c r="BE61" s="185"/>
      <c r="BF61" s="185">
        <v>318139</v>
      </c>
      <c r="BG61" s="185"/>
      <c r="BH61" s="185"/>
      <c r="BI61" s="185"/>
      <c r="BJ61" s="185"/>
      <c r="BK61" s="185"/>
      <c r="BL61" s="185"/>
      <c r="BM61" s="185"/>
      <c r="BN61" s="185">
        <v>2555137</v>
      </c>
      <c r="BO61" s="185"/>
      <c r="BP61" s="185"/>
      <c r="BQ61" s="185">
        <v>462543</v>
      </c>
      <c r="BR61" s="185">
        <v>132374</v>
      </c>
      <c r="BS61" s="185"/>
      <c r="BT61" s="185"/>
      <c r="BU61" s="185">
        <v>0</v>
      </c>
      <c r="BV61" s="185">
        <v>173067</v>
      </c>
      <c r="BW61" s="185"/>
      <c r="BX61" s="185"/>
      <c r="BY61" s="185">
        <v>655972</v>
      </c>
      <c r="BZ61" s="185"/>
      <c r="CA61" s="185"/>
      <c r="CB61" s="185"/>
      <c r="CC61" s="185">
        <v>0</v>
      </c>
      <c r="CD61" s="245" t="s">
        <v>221</v>
      </c>
      <c r="CE61" s="195">
        <f t="shared" si="0"/>
        <v>13559925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577326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558245</v>
      </c>
      <c r="Q62" s="195">
        <f t="shared" si="1"/>
        <v>72107</v>
      </c>
      <c r="R62" s="195">
        <f t="shared" si="1"/>
        <v>604209</v>
      </c>
      <c r="S62" s="195">
        <f t="shared" si="1"/>
        <v>35632</v>
      </c>
      <c r="T62" s="195">
        <f t="shared" si="1"/>
        <v>0</v>
      </c>
      <c r="U62" s="195">
        <f t="shared" si="1"/>
        <v>34587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107111</v>
      </c>
      <c r="Z62" s="195">
        <f t="shared" si="1"/>
        <v>0</v>
      </c>
      <c r="AA62" s="195">
        <f t="shared" si="1"/>
        <v>0</v>
      </c>
      <c r="AB62" s="195">
        <f t="shared" si="1"/>
        <v>85913</v>
      </c>
      <c r="AC62" s="195">
        <f t="shared" si="1"/>
        <v>105467</v>
      </c>
      <c r="AD62" s="195">
        <f t="shared" si="1"/>
        <v>0</v>
      </c>
      <c r="AE62" s="195">
        <f t="shared" si="1"/>
        <v>125053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214739</v>
      </c>
      <c r="AK62" s="195">
        <f t="shared" si="1"/>
        <v>211234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77746</v>
      </c>
      <c r="BA62" s="195">
        <f>ROUND(BA47+BA48,0)</f>
        <v>0</v>
      </c>
      <c r="BB62" s="195">
        <f t="shared" si="1"/>
        <v>182323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102754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825266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149394</v>
      </c>
      <c r="BR62" s="195">
        <f t="shared" si="2"/>
        <v>42755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55898</v>
      </c>
      <c r="BW62" s="195">
        <f t="shared" si="2"/>
        <v>0</v>
      </c>
      <c r="BX62" s="195">
        <f t="shared" si="2"/>
        <v>0</v>
      </c>
      <c r="BY62" s="195">
        <f t="shared" si="2"/>
        <v>211868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4379627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0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5" t="s">
        <v>221</v>
      </c>
      <c r="CE64" s="195">
        <f t="shared" si="0"/>
        <v>1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0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5" t="s">
        <v>221</v>
      </c>
      <c r="CE66" s="195">
        <f t="shared" si="0"/>
        <v>0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185510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46966</v>
      </c>
      <c r="Q67" s="195">
        <f t="shared" si="3"/>
        <v>16199</v>
      </c>
      <c r="R67" s="195">
        <f t="shared" si="3"/>
        <v>6078</v>
      </c>
      <c r="S67" s="195">
        <f t="shared" si="3"/>
        <v>0</v>
      </c>
      <c r="T67" s="195">
        <f t="shared" si="3"/>
        <v>0</v>
      </c>
      <c r="U67" s="195">
        <f t="shared" si="3"/>
        <v>5296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37006</v>
      </c>
      <c r="Z67" s="195">
        <f t="shared" si="3"/>
        <v>0</v>
      </c>
      <c r="AA67" s="195">
        <f t="shared" si="3"/>
        <v>0</v>
      </c>
      <c r="AB67" s="195">
        <f t="shared" si="3"/>
        <v>3447</v>
      </c>
      <c r="AC67" s="195">
        <f t="shared" si="3"/>
        <v>1183</v>
      </c>
      <c r="AD67" s="195">
        <f t="shared" si="3"/>
        <v>0</v>
      </c>
      <c r="AE67" s="195">
        <f t="shared" si="3"/>
        <v>59983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101986</v>
      </c>
      <c r="AK67" s="195">
        <f t="shared" si="3"/>
        <v>94002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50608</v>
      </c>
      <c r="AZ67" s="195">
        <f>ROUND(AZ51+AZ52,0)</f>
        <v>16532</v>
      </c>
      <c r="BA67" s="195">
        <f>ROUND(BA51+BA52,0)</f>
        <v>18543</v>
      </c>
      <c r="BB67" s="195">
        <f t="shared" si="3"/>
        <v>21909</v>
      </c>
      <c r="BC67" s="195">
        <f t="shared" si="3"/>
        <v>0</v>
      </c>
      <c r="BD67" s="195">
        <f t="shared" si="3"/>
        <v>2815</v>
      </c>
      <c r="BE67" s="195">
        <f t="shared" si="3"/>
        <v>96414</v>
      </c>
      <c r="BF67" s="195">
        <f t="shared" si="3"/>
        <v>8295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153904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4756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12190</v>
      </c>
      <c r="BW67" s="195">
        <f t="shared" si="4"/>
        <v>0</v>
      </c>
      <c r="BX67" s="195">
        <f t="shared" si="4"/>
        <v>0</v>
      </c>
      <c r="BY67" s="195">
        <f t="shared" si="4"/>
        <v>14763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61144</v>
      </c>
      <c r="CD67" s="245" t="s">
        <v>221</v>
      </c>
      <c r="CE67" s="195">
        <f t="shared" si="0"/>
        <v>1019529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0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0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0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276">
        <v>1869733</v>
      </c>
      <c r="CE70" s="195">
        <f t="shared" si="0"/>
        <v>1869733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2550318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2333615</v>
      </c>
      <c r="Q71" s="195">
        <f t="shared" si="5"/>
        <v>311560</v>
      </c>
      <c r="R71" s="195">
        <f t="shared" si="5"/>
        <v>2481001</v>
      </c>
      <c r="S71" s="195">
        <f t="shared" si="5"/>
        <v>145955</v>
      </c>
      <c r="T71" s="195">
        <f t="shared" si="5"/>
        <v>0</v>
      </c>
      <c r="U71" s="195">
        <f t="shared" si="5"/>
        <v>146970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475746</v>
      </c>
      <c r="Z71" s="195">
        <f t="shared" si="5"/>
        <v>0</v>
      </c>
      <c r="AA71" s="195">
        <f t="shared" si="5"/>
        <v>0</v>
      </c>
      <c r="AB71" s="195">
        <f t="shared" si="5"/>
        <v>355359</v>
      </c>
      <c r="AC71" s="195">
        <f t="shared" si="5"/>
        <v>433191</v>
      </c>
      <c r="AD71" s="195">
        <f t="shared" si="5"/>
        <v>0</v>
      </c>
      <c r="AE71" s="195">
        <f t="shared" si="5"/>
        <v>572218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981587</v>
      </c>
      <c r="AK71" s="195">
        <f t="shared" si="6"/>
        <v>959245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50608</v>
      </c>
      <c r="AZ71" s="195">
        <f t="shared" si="6"/>
        <v>334990</v>
      </c>
      <c r="BA71" s="195">
        <f t="shared" si="6"/>
        <v>18543</v>
      </c>
      <c r="BB71" s="195">
        <f t="shared" si="6"/>
        <v>768728</v>
      </c>
      <c r="BC71" s="195">
        <f t="shared" si="6"/>
        <v>0</v>
      </c>
      <c r="BD71" s="195">
        <f t="shared" si="6"/>
        <v>2815</v>
      </c>
      <c r="BE71" s="195">
        <f t="shared" si="6"/>
        <v>96414</v>
      </c>
      <c r="BF71" s="195">
        <f t="shared" si="6"/>
        <v>429188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3534307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611937</v>
      </c>
      <c r="BR71" s="195">
        <f t="shared" si="7"/>
        <v>179885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241155</v>
      </c>
      <c r="BW71" s="195">
        <f t="shared" si="7"/>
        <v>0</v>
      </c>
      <c r="BX71" s="195">
        <f t="shared" si="7"/>
        <v>0</v>
      </c>
      <c r="BY71" s="195">
        <f t="shared" si="7"/>
        <v>882603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61144</v>
      </c>
      <c r="CD71" s="241">
        <f>CD69-CD70</f>
        <v>-1869733</v>
      </c>
      <c r="CE71" s="195">
        <f>SUM(CE61:CE69)-CE70</f>
        <v>17089349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1565126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3157023</v>
      </c>
      <c r="Q73" s="185">
        <v>246683</v>
      </c>
      <c r="R73" s="185">
        <v>1015719</v>
      </c>
      <c r="S73" s="185">
        <f>342663+2631172</f>
        <v>2973835</v>
      </c>
      <c r="T73" s="185"/>
      <c r="U73" s="185">
        <v>92681</v>
      </c>
      <c r="V73" s="185"/>
      <c r="W73" s="185"/>
      <c r="X73" s="185"/>
      <c r="Y73" s="185">
        <v>142489</v>
      </c>
      <c r="Z73" s="185"/>
      <c r="AA73" s="185"/>
      <c r="AB73" s="185">
        <v>755676</v>
      </c>
      <c r="AC73" s="185">
        <v>324764</v>
      </c>
      <c r="AD73" s="185"/>
      <c r="AE73" s="185">
        <v>123287</v>
      </c>
      <c r="AF73" s="185"/>
      <c r="AG73" s="185"/>
      <c r="AH73" s="185"/>
      <c r="AI73" s="185"/>
      <c r="AJ73" s="185">
        <v>12289</v>
      </c>
      <c r="AK73" s="185">
        <v>817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10410389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6841959</v>
      </c>
      <c r="Q74" s="185">
        <v>772476</v>
      </c>
      <c r="R74" s="185">
        <v>2630784</v>
      </c>
      <c r="S74" s="185">
        <f>155108+720745</f>
        <v>875853</v>
      </c>
      <c r="T74" s="185"/>
      <c r="U74" s="185">
        <v>76270</v>
      </c>
      <c r="V74" s="185"/>
      <c r="W74" s="185"/>
      <c r="X74" s="185"/>
      <c r="Y74" s="185">
        <v>3457182</v>
      </c>
      <c r="Z74" s="185"/>
      <c r="AA74" s="185"/>
      <c r="AB74" s="185">
        <v>860165</v>
      </c>
      <c r="AC74" s="185">
        <v>138805</v>
      </c>
      <c r="AD74" s="185"/>
      <c r="AE74" s="185">
        <v>1111497</v>
      </c>
      <c r="AF74" s="185"/>
      <c r="AG74" s="185"/>
      <c r="AH74" s="185"/>
      <c r="AI74" s="185"/>
      <c r="AJ74" s="185">
        <v>3828588</v>
      </c>
      <c r="AK74" s="185">
        <v>227999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20821578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1565126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9998982</v>
      </c>
      <c r="Q75" s="195">
        <f t="shared" si="9"/>
        <v>1019159</v>
      </c>
      <c r="R75" s="195">
        <f t="shared" si="9"/>
        <v>3646503</v>
      </c>
      <c r="S75" s="195">
        <f t="shared" si="9"/>
        <v>3849688</v>
      </c>
      <c r="T75" s="195">
        <f t="shared" si="9"/>
        <v>0</v>
      </c>
      <c r="U75" s="195">
        <f t="shared" si="9"/>
        <v>168951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3599671</v>
      </c>
      <c r="Z75" s="195">
        <f t="shared" si="9"/>
        <v>0</v>
      </c>
      <c r="AA75" s="195">
        <f t="shared" si="9"/>
        <v>0</v>
      </c>
      <c r="AB75" s="195">
        <f t="shared" si="9"/>
        <v>1615841</v>
      </c>
      <c r="AC75" s="195">
        <f t="shared" si="9"/>
        <v>463569</v>
      </c>
      <c r="AD75" s="195">
        <f t="shared" si="9"/>
        <v>0</v>
      </c>
      <c r="AE75" s="195">
        <f t="shared" si="9"/>
        <v>1234784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3840877</v>
      </c>
      <c r="AK75" s="195">
        <f t="shared" si="9"/>
        <v>228816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31231967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16147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4088</v>
      </c>
      <c r="Q76" s="185">
        <v>1410</v>
      </c>
      <c r="R76" s="185">
        <v>529</v>
      </c>
      <c r="S76" s="185"/>
      <c r="T76" s="185"/>
      <c r="U76" s="185">
        <v>461</v>
      </c>
      <c r="V76" s="185"/>
      <c r="W76" s="185"/>
      <c r="X76" s="185"/>
      <c r="Y76" s="185">
        <v>3221</v>
      </c>
      <c r="Z76" s="185"/>
      <c r="AA76" s="185"/>
      <c r="AB76" s="185">
        <v>300</v>
      </c>
      <c r="AC76" s="185">
        <v>103</v>
      </c>
      <c r="AD76" s="185"/>
      <c r="AE76" s="185">
        <v>5221</v>
      </c>
      <c r="AF76" s="185"/>
      <c r="AG76" s="185"/>
      <c r="AH76" s="185"/>
      <c r="AI76" s="185"/>
      <c r="AJ76" s="185">
        <v>8877</v>
      </c>
      <c r="AK76" s="185">
        <v>8182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4405</v>
      </c>
      <c r="AZ76" s="185">
        <v>1439</v>
      </c>
      <c r="BA76" s="185">
        <v>1614</v>
      </c>
      <c r="BB76" s="185">
        <v>1907</v>
      </c>
      <c r="BC76" s="185"/>
      <c r="BD76" s="185">
        <v>245</v>
      </c>
      <c r="BE76" s="185">
        <v>8392</v>
      </c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v>13396</v>
      </c>
      <c r="BO76" s="185"/>
      <c r="BP76" s="185"/>
      <c r="BQ76" s="185"/>
      <c r="BR76" s="185">
        <v>414</v>
      </c>
      <c r="BS76" s="185"/>
      <c r="BT76" s="185"/>
      <c r="BU76" s="185"/>
      <c r="BV76" s="185">
        <v>1061</v>
      </c>
      <c r="BW76" s="185"/>
      <c r="BX76" s="185"/>
      <c r="BY76" s="185">
        <v>1285</v>
      </c>
      <c r="BZ76" s="185"/>
      <c r="CA76" s="185"/>
      <c r="CB76" s="185"/>
      <c r="CC76" s="185">
        <f>5250+72</f>
        <v>5322</v>
      </c>
      <c r="CD76" s="245" t="s">
        <v>221</v>
      </c>
      <c r="CE76" s="195">
        <f t="shared" si="8"/>
        <v>88741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3493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3493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16147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4088</v>
      </c>
      <c r="Q78" s="184">
        <v>1410</v>
      </c>
      <c r="R78" s="184">
        <v>529</v>
      </c>
      <c r="S78" s="184"/>
      <c r="T78" s="184"/>
      <c r="U78" s="184">
        <v>461</v>
      </c>
      <c r="V78" s="184"/>
      <c r="W78" s="184"/>
      <c r="X78" s="184"/>
      <c r="Y78" s="184">
        <v>3221</v>
      </c>
      <c r="Z78" s="184"/>
      <c r="AA78" s="184"/>
      <c r="AB78" s="184">
        <v>300</v>
      </c>
      <c r="AC78" s="184">
        <v>103</v>
      </c>
      <c r="AD78" s="184"/>
      <c r="AE78" s="184">
        <v>5221</v>
      </c>
      <c r="AF78" s="184"/>
      <c r="AG78" s="184"/>
      <c r="AH78" s="184"/>
      <c r="AI78" s="184"/>
      <c r="AJ78" s="184">
        <v>8877</v>
      </c>
      <c r="AK78" s="184">
        <v>8182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1614</v>
      </c>
      <c r="BB78" s="184">
        <v>1907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1061</v>
      </c>
      <c r="BW78" s="184"/>
      <c r="BX78" s="184"/>
      <c r="BY78" s="184">
        <v>1285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54406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22593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18553</v>
      </c>
      <c r="Q79" s="184"/>
      <c r="R79" s="184"/>
      <c r="S79" s="184"/>
      <c r="T79" s="184"/>
      <c r="U79" s="184"/>
      <c r="V79" s="184"/>
      <c r="W79" s="184"/>
      <c r="X79" s="184"/>
      <c r="Y79" s="184">
        <v>2035</v>
      </c>
      <c r="Z79" s="184"/>
      <c r="AA79" s="184"/>
      <c r="AB79" s="184"/>
      <c r="AC79" s="184"/>
      <c r="AD79" s="184"/>
      <c r="AE79" s="184">
        <v>372</v>
      </c>
      <c r="AF79" s="184"/>
      <c r="AG79" s="184"/>
      <c r="AH79" s="184"/>
      <c r="AI79" s="184"/>
      <c r="AJ79" s="184">
        <v>4640</v>
      </c>
      <c r="AK79" s="184">
        <v>1044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49237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18.37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8.06</v>
      </c>
      <c r="Q80" s="187">
        <v>2.3199999999999998</v>
      </c>
      <c r="R80" s="187">
        <v>4.33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10.66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43.739999999999995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1013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1014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204</v>
      </c>
      <c r="D111" s="174">
        <v>619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30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0</v>
      </c>
      <c r="C138" s="189">
        <f>41+56</f>
        <v>97</v>
      </c>
      <c r="D138" s="174">
        <f>204-97</f>
        <v>107</v>
      </c>
      <c r="E138" s="175">
        <f>SUM(B138:D138)</f>
        <v>204</v>
      </c>
    </row>
    <row r="139" spans="1:6" ht="12.6" customHeight="1" x14ac:dyDescent="0.25">
      <c r="A139" s="173" t="s">
        <v>215</v>
      </c>
      <c r="B139" s="174">
        <v>0</v>
      </c>
      <c r="C139" s="189">
        <f>143+163</f>
        <v>306</v>
      </c>
      <c r="D139" s="174">
        <f>619-306</f>
        <v>313</v>
      </c>
      <c r="E139" s="175">
        <f>SUM(B139:D139)</f>
        <v>619</v>
      </c>
    </row>
    <row r="140" spans="1:6" ht="12.6" customHeight="1" x14ac:dyDescent="0.25">
      <c r="A140" s="173" t="s">
        <v>298</v>
      </c>
      <c r="B140" s="174">
        <v>4</v>
      </c>
      <c r="C140" s="174">
        <f>1679-41+6386-56</f>
        <v>7968</v>
      </c>
      <c r="D140" s="174">
        <f>16510-204-7968-4</f>
        <v>8334</v>
      </c>
      <c r="E140" s="175">
        <f>SUM(B140:D140)</f>
        <v>16306</v>
      </c>
    </row>
    <row r="141" spans="1:6" ht="12.6" customHeight="1" x14ac:dyDescent="0.25">
      <c r="A141" s="173" t="s">
        <v>245</v>
      </c>
      <c r="B141" s="174">
        <v>0</v>
      </c>
      <c r="C141" s="189">
        <f>374871+479417+2564169+2860670</f>
        <v>6279127</v>
      </c>
      <c r="D141" s="174">
        <f>12106116-C141</f>
        <v>5826989</v>
      </c>
      <c r="E141" s="175">
        <f>SUM(B141:D141)</f>
        <v>12106116</v>
      </c>
      <c r="F141" s="199"/>
    </row>
    <row r="142" spans="1:6" ht="12.6" customHeight="1" x14ac:dyDescent="0.25">
      <c r="A142" s="173" t="s">
        <v>246</v>
      </c>
      <c r="B142" s="174">
        <v>3738</v>
      </c>
      <c r="C142" s="189">
        <f>951532+2442222+4918817+10470988-C141</f>
        <v>12504432</v>
      </c>
      <c r="D142" s="174">
        <f>38317817-12106116-12504432-3738</f>
        <v>13703531</v>
      </c>
      <c r="E142" s="175">
        <f>SUM(B142:D142)</f>
        <v>26211701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1622530+85021+1337578+951532+2442222+6180+743+209997+383212+40385</f>
        <v>7079400</v>
      </c>
      <c r="C157" s="174">
        <v>5538918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f>845442</f>
        <v>845442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2485309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38396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359679+449577</f>
        <v>809256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12885+23278+3324+31916-38384+168206</f>
        <v>201225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4379628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15131+54734</f>
        <v>69865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69865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258544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258544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41020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81724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122744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5725868</v>
      </c>
      <c r="C195" s="189"/>
      <c r="D195" s="174"/>
      <c r="E195" s="175">
        <f t="shared" ref="E195:E203" si="10">SUM(B195:C195)-D195</f>
        <v>5725868</v>
      </c>
    </row>
    <row r="196" spans="1:8" ht="12.6" customHeight="1" x14ac:dyDescent="0.25">
      <c r="A196" s="173" t="s">
        <v>333</v>
      </c>
      <c r="B196" s="174">
        <v>413661</v>
      </c>
      <c r="C196" s="189"/>
      <c r="D196" s="174"/>
      <c r="E196" s="175">
        <f t="shared" si="10"/>
        <v>413661</v>
      </c>
    </row>
    <row r="197" spans="1:8" ht="12.6" customHeight="1" x14ac:dyDescent="0.25">
      <c r="A197" s="173" t="s">
        <v>334</v>
      </c>
      <c r="B197" s="174">
        <v>40638281</v>
      </c>
      <c r="C197" s="189"/>
      <c r="D197" s="174"/>
      <c r="E197" s="175">
        <f t="shared" si="10"/>
        <v>40638281</v>
      </c>
    </row>
    <row r="198" spans="1:8" ht="12.6" customHeight="1" x14ac:dyDescent="0.25">
      <c r="A198" s="173" t="s">
        <v>335</v>
      </c>
      <c r="B198" s="174">
        <v>3590856</v>
      </c>
      <c r="C198" s="189"/>
      <c r="D198" s="174"/>
      <c r="E198" s="175">
        <f t="shared" si="10"/>
        <v>3590856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17390246</v>
      </c>
      <c r="C200" s="189"/>
      <c r="D200" s="174"/>
      <c r="E200" s="175">
        <f t="shared" si="10"/>
        <v>17390246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67758912</v>
      </c>
      <c r="C204" s="191">
        <f>SUM(C195:C203)</f>
        <v>0</v>
      </c>
      <c r="D204" s="175">
        <f>SUM(D195:D203)</f>
        <v>0</v>
      </c>
      <c r="E204" s="175">
        <f>SUM(E195:E203)</f>
        <v>67758912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325615</v>
      </c>
      <c r="C209" s="189"/>
      <c r="D209" s="174"/>
      <c r="E209" s="175">
        <f t="shared" ref="E209:E216" si="11">SUM(B209:C209)-D209</f>
        <v>325615</v>
      </c>
      <c r="H209" s="255"/>
    </row>
    <row r="210" spans="1:8" ht="12.6" customHeight="1" x14ac:dyDescent="0.25">
      <c r="A210" s="173" t="s">
        <v>334</v>
      </c>
      <c r="B210" s="174">
        <v>28021454</v>
      </c>
      <c r="C210" s="189"/>
      <c r="D210" s="174"/>
      <c r="E210" s="175">
        <f t="shared" si="11"/>
        <v>28021454</v>
      </c>
      <c r="H210" s="255"/>
    </row>
    <row r="211" spans="1:8" ht="12.6" customHeight="1" x14ac:dyDescent="0.25">
      <c r="A211" s="173" t="s">
        <v>335</v>
      </c>
      <c r="B211" s="174">
        <v>3490505</v>
      </c>
      <c r="C211" s="189"/>
      <c r="D211" s="174"/>
      <c r="E211" s="175">
        <f t="shared" si="11"/>
        <v>3490505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f>12843039-770294</f>
        <v>12072745</v>
      </c>
      <c r="C213" s="189"/>
      <c r="D213" s="174"/>
      <c r="E213" s="175">
        <f t="shared" si="11"/>
        <v>12072745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43910319</v>
      </c>
      <c r="C217" s="191">
        <f>SUM(C208:C216)</f>
        <v>0</v>
      </c>
      <c r="D217" s="175">
        <f>SUM(D208:D216)</f>
        <v>0</v>
      </c>
      <c r="E217" s="175">
        <f>SUM(E208:E216)</f>
        <v>43910319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0</v>
      </c>
      <c r="D221" s="172">
        <f>C221</f>
        <v>0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252+407</f>
        <v>659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11589+62325+189550-15626+62411+78423+3787159+10038984</f>
        <v>14214815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4032-102338+13724+915085</f>
        <v>830503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10776+7828+36224+443416-5199+4482+57341+135+57167+5362664+254790+3683182+19+1-2094-3329382</f>
        <v>6581350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21627327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f>107+528+7</f>
        <v>642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1768538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1844831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3613369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f>775+132280</f>
        <v>133055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53381+961-265440+159+1880+3518683+285446</f>
        <v>3595070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3728125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28968821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137985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5728625+173479+10314</f>
        <v>5912418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4347263+134690</f>
        <v>4481953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751270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295268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2614988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2862934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206831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20319141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1795428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8695123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33879457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162808+14010727+1745253+6421520-385147</f>
        <v>21955161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11924296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14539284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26044+434+1205+69350</f>
        <v>97033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703638+53828+1168685</f>
        <v>1926151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172551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57667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2253402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-176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-176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12286058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14539284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14539284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12106116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26211704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38317820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0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285446+28016159+401290-C365+265926</f>
        <v>25355452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3613369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28968821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9348999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266878+2474844+8594+49684</f>
        <v>2800000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2800000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12148999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14159257+80640</f>
        <v>14239897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3404364+975264</f>
        <v>4379628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302175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2720774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422052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495253-15131-54734</f>
        <v>425388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1019531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15131+54734</f>
        <v>69865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258544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41020+81724</f>
        <v>122744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947716+50000</f>
        <v>997716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24958314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-12809315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-12809315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-12809315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Shriners Hospitals for Children - Spokane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204</v>
      </c>
      <c r="C414" s="194">
        <f>E138</f>
        <v>204</v>
      </c>
      <c r="D414" s="179"/>
    </row>
    <row r="415" spans="1:5" ht="12.6" customHeight="1" x14ac:dyDescent="0.25">
      <c r="A415" s="179" t="s">
        <v>464</v>
      </c>
      <c r="B415" s="179">
        <f>D111</f>
        <v>619</v>
      </c>
      <c r="C415" s="179">
        <f>E139</f>
        <v>619</v>
      </c>
      <c r="D415" s="194">
        <f>SUM(C59:H59)+N59</f>
        <v>619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14239897</v>
      </c>
      <c r="C427" s="179">
        <f t="shared" ref="C427:C434" si="13">CE61</f>
        <v>13559925</v>
      </c>
      <c r="D427" s="179"/>
    </row>
    <row r="428" spans="1:7" ht="12.6" customHeight="1" x14ac:dyDescent="0.25">
      <c r="A428" s="179" t="s">
        <v>3</v>
      </c>
      <c r="B428" s="179">
        <f t="shared" si="12"/>
        <v>4379628</v>
      </c>
      <c r="C428" s="179">
        <f t="shared" si="13"/>
        <v>4379627</v>
      </c>
      <c r="D428" s="179">
        <f>D173</f>
        <v>4379628</v>
      </c>
    </row>
    <row r="429" spans="1:7" ht="12.6" customHeight="1" x14ac:dyDescent="0.25">
      <c r="A429" s="179" t="s">
        <v>236</v>
      </c>
      <c r="B429" s="179">
        <f t="shared" si="12"/>
        <v>302175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2720774</v>
      </c>
      <c r="C430" s="179">
        <f t="shared" si="13"/>
        <v>1</v>
      </c>
      <c r="D430" s="179"/>
    </row>
    <row r="431" spans="1:7" ht="12.6" customHeight="1" x14ac:dyDescent="0.25">
      <c r="A431" s="179" t="s">
        <v>444</v>
      </c>
      <c r="B431" s="179">
        <f t="shared" si="12"/>
        <v>422052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425388</v>
      </c>
      <c r="C432" s="179">
        <f t="shared" si="13"/>
        <v>0</v>
      </c>
      <c r="D432" s="179"/>
    </row>
    <row r="433" spans="1:7" ht="12.6" customHeight="1" x14ac:dyDescent="0.25">
      <c r="A433" s="179" t="s">
        <v>6</v>
      </c>
      <c r="B433" s="179">
        <f t="shared" si="12"/>
        <v>1019531</v>
      </c>
      <c r="C433" s="179">
        <f t="shared" si="13"/>
        <v>1019529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69865</v>
      </c>
      <c r="C434" s="179">
        <f t="shared" si="13"/>
        <v>0</v>
      </c>
      <c r="D434" s="179">
        <f>D177</f>
        <v>69865</v>
      </c>
    </row>
    <row r="435" spans="1:7" ht="12.6" customHeight="1" x14ac:dyDescent="0.25">
      <c r="A435" s="179" t="s">
        <v>447</v>
      </c>
      <c r="B435" s="179">
        <f t="shared" si="12"/>
        <v>258544</v>
      </c>
      <c r="C435" s="179"/>
      <c r="D435" s="179">
        <f>D181</f>
        <v>258544</v>
      </c>
    </row>
    <row r="436" spans="1:7" ht="12.6" customHeight="1" x14ac:dyDescent="0.25">
      <c r="A436" s="179" t="s">
        <v>475</v>
      </c>
      <c r="B436" s="179">
        <f t="shared" si="12"/>
        <v>122744</v>
      </c>
      <c r="C436" s="179"/>
      <c r="D436" s="179">
        <f>D186</f>
        <v>122744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381288</v>
      </c>
      <c r="C438" s="194">
        <f>CD69</f>
        <v>0</v>
      </c>
      <c r="D438" s="194">
        <f>D181+D186+D190</f>
        <v>381288</v>
      </c>
    </row>
    <row r="439" spans="1:7" ht="12.6" customHeight="1" x14ac:dyDescent="0.25">
      <c r="A439" s="179" t="s">
        <v>451</v>
      </c>
      <c r="B439" s="194">
        <f>C389</f>
        <v>997716</v>
      </c>
      <c r="C439" s="194">
        <f>SUM(C69:CC69)</f>
        <v>0</v>
      </c>
      <c r="D439" s="179"/>
    </row>
    <row r="440" spans="1:7" ht="12.6" customHeight="1" x14ac:dyDescent="0.25">
      <c r="A440" s="179" t="s">
        <v>477</v>
      </c>
      <c r="B440" s="194">
        <f>B438+B439</f>
        <v>1379004</v>
      </c>
      <c r="C440" s="194">
        <f>CE69</f>
        <v>0</v>
      </c>
      <c r="D440" s="179"/>
    </row>
    <row r="441" spans="1:7" ht="12.6" customHeight="1" x14ac:dyDescent="0.25">
      <c r="A441" s="179" t="s">
        <v>478</v>
      </c>
      <c r="B441" s="179">
        <f>D390</f>
        <v>24958314</v>
      </c>
      <c r="C441" s="179">
        <f>SUM(C427:C437)+C440</f>
        <v>18959082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21627327</v>
      </c>
      <c r="C445" s="179">
        <f>C364</f>
        <v>25355452</v>
      </c>
      <c r="D445" s="179"/>
    </row>
    <row r="446" spans="1:7" ht="12.6" customHeight="1" x14ac:dyDescent="0.25">
      <c r="A446" s="179" t="s">
        <v>351</v>
      </c>
      <c r="B446" s="179">
        <f>D236</f>
        <v>3613369</v>
      </c>
      <c r="C446" s="179">
        <f>C365</f>
        <v>3613369</v>
      </c>
      <c r="D446" s="179"/>
    </row>
    <row r="447" spans="1:7" ht="12.6" customHeight="1" x14ac:dyDescent="0.25">
      <c r="A447" s="179" t="s">
        <v>356</v>
      </c>
      <c r="B447" s="179">
        <f>D240</f>
        <v>3728125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28968821</v>
      </c>
      <c r="C448" s="179">
        <f>D367</f>
        <v>28968821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642</v>
      </c>
    </row>
    <row r="454" spans="1:7" ht="12.6" customHeight="1" x14ac:dyDescent="0.25">
      <c r="A454" s="179" t="s">
        <v>168</v>
      </c>
      <c r="B454" s="179">
        <f>C233</f>
        <v>1768538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1844831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2800000</v>
      </c>
      <c r="C458" s="194">
        <f>CE70</f>
        <v>1869733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12106116</v>
      </c>
      <c r="C463" s="194">
        <f>CE73</f>
        <v>10410389</v>
      </c>
      <c r="D463" s="194">
        <f>E141+E147+E153</f>
        <v>12106116</v>
      </c>
    </row>
    <row r="464" spans="1:7" ht="12.6" customHeight="1" x14ac:dyDescent="0.25">
      <c r="A464" s="179" t="s">
        <v>246</v>
      </c>
      <c r="B464" s="194">
        <f>C360</f>
        <v>26211704</v>
      </c>
      <c r="C464" s="194">
        <f>CE74</f>
        <v>20821578</v>
      </c>
      <c r="D464" s="194">
        <f>E142+E148+E154</f>
        <v>26211701</v>
      </c>
    </row>
    <row r="465" spans="1:7" ht="12.6" customHeight="1" x14ac:dyDescent="0.25">
      <c r="A465" s="179" t="s">
        <v>247</v>
      </c>
      <c r="B465" s="194">
        <f>D361</f>
        <v>38317820</v>
      </c>
      <c r="C465" s="194">
        <f>CE75</f>
        <v>31231967</v>
      </c>
      <c r="D465" s="194">
        <f>D463+D464</f>
        <v>38317817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2862934</v>
      </c>
      <c r="C468" s="179">
        <f>E195</f>
        <v>5725868</v>
      </c>
      <c r="D468" s="179"/>
    </row>
    <row r="469" spans="1:7" ht="12.6" customHeight="1" x14ac:dyDescent="0.25">
      <c r="A469" s="179" t="s">
        <v>333</v>
      </c>
      <c r="B469" s="179">
        <f t="shared" si="14"/>
        <v>206831</v>
      </c>
      <c r="C469" s="179">
        <f>E196</f>
        <v>413661</v>
      </c>
      <c r="D469" s="179"/>
    </row>
    <row r="470" spans="1:7" ht="12.6" customHeight="1" x14ac:dyDescent="0.25">
      <c r="A470" s="179" t="s">
        <v>334</v>
      </c>
      <c r="B470" s="179">
        <f t="shared" si="14"/>
        <v>20319141</v>
      </c>
      <c r="C470" s="179">
        <f>E197</f>
        <v>40638281</v>
      </c>
      <c r="D470" s="179"/>
    </row>
    <row r="471" spans="1:7" ht="12.6" customHeight="1" x14ac:dyDescent="0.25">
      <c r="A471" s="179" t="s">
        <v>494</v>
      </c>
      <c r="B471" s="179">
        <f t="shared" si="14"/>
        <v>1795428</v>
      </c>
      <c r="C471" s="179">
        <f>E198</f>
        <v>3590856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8695123</v>
      </c>
      <c r="C473" s="179">
        <f>SUM(E200:E201)</f>
        <v>17390246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33879457</v>
      </c>
      <c r="C476" s="179">
        <f>E204</f>
        <v>67758912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21955161</v>
      </c>
      <c r="C478" s="179">
        <f>E217</f>
        <v>43910319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14539284</v>
      </c>
    </row>
    <row r="482" spans="1:12" ht="12.6" customHeight="1" x14ac:dyDescent="0.25">
      <c r="A482" s="180" t="s">
        <v>499</v>
      </c>
      <c r="C482" s="180">
        <f>D339</f>
        <v>14539284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042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2456544</v>
      </c>
      <c r="C498" s="236">
        <f>E71</f>
        <v>2550318</v>
      </c>
      <c r="D498" s="236">
        <f>'Prior Year'!E59</f>
        <v>694</v>
      </c>
      <c r="E498" s="180">
        <f>E59</f>
        <v>619</v>
      </c>
      <c r="F498" s="259">
        <f t="shared" si="15"/>
        <v>3539.6887608069164</v>
      </c>
      <c r="G498" s="259">
        <f t="shared" si="15"/>
        <v>4120.0613893376412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2698764</v>
      </c>
      <c r="C509" s="236">
        <f>P71</f>
        <v>2333615</v>
      </c>
      <c r="D509" s="236">
        <f>'Prior Year'!P59</f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258394</v>
      </c>
      <c r="C510" s="236">
        <f>Q71</f>
        <v>311560</v>
      </c>
      <c r="D510" s="236">
        <f>'Prior Year'!Q59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2391009</v>
      </c>
      <c r="C511" s="236">
        <f>R71</f>
        <v>2481001</v>
      </c>
      <c r="D511" s="236">
        <f>'Prior Year'!R59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145239</v>
      </c>
      <c r="C512" s="236">
        <f>S71</f>
        <v>145955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173839</v>
      </c>
      <c r="C514" s="236">
        <f>U71</f>
        <v>146970</v>
      </c>
      <c r="D514" s="236">
        <f>'Prior Year'!U59</f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447573</v>
      </c>
      <c r="C518" s="236">
        <f>Y71</f>
        <v>475746</v>
      </c>
      <c r="D518" s="236">
        <f>'Prior Year'!Y59</f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352622</v>
      </c>
      <c r="C521" s="236">
        <f>AB71</f>
        <v>355359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377011</v>
      </c>
      <c r="C522" s="236">
        <f>AC71</f>
        <v>433191</v>
      </c>
      <c r="D522" s="236">
        <f>'Prior Year'!AC59</f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548808</v>
      </c>
      <c r="C524" s="236">
        <f>AE71</f>
        <v>572218</v>
      </c>
      <c r="D524" s="236">
        <f>'Prior Year'!AE59</f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0</v>
      </c>
      <c r="C526" s="236">
        <f>AG71</f>
        <v>0</v>
      </c>
      <c r="D526" s="236">
        <f>'Prior Year'!AG59</f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903792</v>
      </c>
      <c r="C529" s="236">
        <f>AJ71</f>
        <v>981587</v>
      </c>
      <c r="D529" s="236">
        <f>'Prior Year'!AJ59</f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919548</v>
      </c>
      <c r="C530" s="236">
        <f>AK71</f>
        <v>959245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51761</v>
      </c>
      <c r="C544" s="236">
        <f>AY71</f>
        <v>50608</v>
      </c>
      <c r="D544" s="236">
        <f>'Prior Year'!AY59</f>
        <v>4740</v>
      </c>
      <c r="E544" s="180">
        <f>AY59</f>
        <v>3493</v>
      </c>
      <c r="F544" s="259">
        <f t="shared" ref="F544:G550" si="19">IF(B544=0,"",IF(D544=0,"",B544/D544))</f>
        <v>10.920042194092828</v>
      </c>
      <c r="G544" s="259">
        <f t="shared" si="19"/>
        <v>14.488405382192957</v>
      </c>
      <c r="H544" s="261">
        <f t="shared" si="16"/>
        <v>0.32677192310029968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558640</v>
      </c>
      <c r="C545" s="236">
        <f>AZ71</f>
        <v>334990</v>
      </c>
      <c r="D545" s="236">
        <f>'Prior Year'!AZ59</f>
        <v>19660</v>
      </c>
      <c r="E545" s="180">
        <f>AZ59</f>
        <v>11034</v>
      </c>
      <c r="F545" s="259">
        <f t="shared" si="19"/>
        <v>28.415055951169887</v>
      </c>
      <c r="G545" s="259">
        <f t="shared" si="19"/>
        <v>30.359796991118362</v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85448</v>
      </c>
      <c r="C546" s="236">
        <f>BA71</f>
        <v>18543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738312</v>
      </c>
      <c r="C547" s="236">
        <f>BB71</f>
        <v>768728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2879</v>
      </c>
      <c r="C549" s="236">
        <f>BD71</f>
        <v>2815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98610</v>
      </c>
      <c r="C550" s="236">
        <f>BE71</f>
        <v>96414</v>
      </c>
      <c r="D550" s="236">
        <f>'Prior Year'!BE59</f>
        <v>88741</v>
      </c>
      <c r="E550" s="180">
        <f>BE59</f>
        <v>88741</v>
      </c>
      <c r="F550" s="259">
        <f t="shared" si="19"/>
        <v>1.1112112777633789</v>
      </c>
      <c r="G550" s="259">
        <f t="shared" si="19"/>
        <v>1.086465106320641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387898</v>
      </c>
      <c r="C551" s="236">
        <f>BF71</f>
        <v>429188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3555327</v>
      </c>
      <c r="C559" s="236">
        <f>BN71</f>
        <v>3534307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535780</v>
      </c>
      <c r="C562" s="236">
        <f>BQ71</f>
        <v>611937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213562</v>
      </c>
      <c r="C563" s="236">
        <f>BR71</f>
        <v>179885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255776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12467</v>
      </c>
      <c r="C567" s="236">
        <f>BV71</f>
        <v>241155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656955</v>
      </c>
      <c r="C570" s="236">
        <f>BY71</f>
        <v>882603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724908</v>
      </c>
      <c r="C574" s="236">
        <f>CC71</f>
        <v>61144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-1869733</v>
      </c>
      <c r="C575" s="236">
        <f>CD71</f>
        <v>-1869733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80349</v>
      </c>
      <c r="E612" s="180">
        <f>SUM(C624:D647)+SUM(C668:D713)</f>
        <v>13295071.120125951</v>
      </c>
      <c r="F612" s="180">
        <f>CE64-(AX64+BD64+BE64+BG64+BJ64+BN64+BP64+BQ64+CB64+CC64+CD64)</f>
        <v>1</v>
      </c>
      <c r="G612" s="180">
        <f>CE77-(AX77+AY77+BD77+BE77+BG77+BJ77+BN77+BP77+BQ77+CB77+CC77+CD77)</f>
        <v>3493</v>
      </c>
      <c r="H612" s="197">
        <f>CE60-(AX60+AY60+AZ60+BD60+BE60+BG60+BJ60+BN60+BO60+BP60+BQ60+BR60+CB60+CC60+CD60)</f>
        <v>68</v>
      </c>
      <c r="I612" s="180">
        <f>CE78-(AX78+AY78+AZ78+BD78+BE78+BF78+BG78+BJ78+BN78+BO78+BP78+BQ78+BR78+CB78+CC78+CD78)</f>
        <v>54406</v>
      </c>
      <c r="J612" s="180">
        <f>CE79-(AX79+AY79+AZ79+BA79+BD79+BE79+BF79+BG79+BJ79+BN79+BO79+BP79+BQ79+BR79+CB79+CC79+CD79)</f>
        <v>49237</v>
      </c>
      <c r="K612" s="180">
        <f>CE75-(AW75+AX75+AY75+AZ75+BA75+BB75+BC75+BD75+BE75+BF75+BG75+BH75+BI75+BJ75+BK75+BL75+BM75+BN75+BO75+BP75+BQ75+BR75+BS75+BT75+BU75+BV75+BW75+BX75+CB75+CC75+CD75)</f>
        <v>31231967</v>
      </c>
      <c r="L612" s="197">
        <f>CE80-(AW80+AX80+AY80+AZ80+BA80+BB80+BC80+BD80+BE80+BF80+BG80+BH80+BI80+BJ80+BK80+BL80+BM80+BN80+BO80+BP80+BQ80+BR80+BS80+BT80+BU80+BV80+BW80+BX80+BY80+BZ80+CA80+CB80+CC80+CD80)</f>
        <v>43.739999999999995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96414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-1869733</v>
      </c>
      <c r="D615" s="262">
        <f>SUM(C614:C615)</f>
        <v>-1773319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3534307</v>
      </c>
      <c r="D619" s="180">
        <f>(D615/D612)*BN76</f>
        <v>-295652.48259468068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61144</v>
      </c>
      <c r="D620" s="180">
        <f>(D615/D612)*CC76</f>
        <v>-117457.63753126984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611937</v>
      </c>
      <c r="D623" s="180">
        <f>(D615/D612)*BQ76</f>
        <v>0</v>
      </c>
      <c r="E623" s="180">
        <f>SUM(C616:D623)</f>
        <v>3794277.8798740497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2815</v>
      </c>
      <c r="D624" s="180">
        <f>(D615/D612)*BD76</f>
        <v>-5407.2005252087765</v>
      </c>
      <c r="E624" s="180">
        <f>(E623/E612)*SUM(C624:D624)</f>
        <v>-739.78762686787184</v>
      </c>
      <c r="F624" s="180">
        <f>SUM(C624:E624)</f>
        <v>-3331.9881520766485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50608</v>
      </c>
      <c r="D625" s="180">
        <f>(D615/D612)*AY76</f>
        <v>-97219.258422631261</v>
      </c>
      <c r="E625" s="180">
        <f>(E623/E612)*SUM(C625:D625)</f>
        <v>-13302.378391820694</v>
      </c>
      <c r="F625" s="180">
        <f>(F624/F612)*AY64</f>
        <v>0</v>
      </c>
      <c r="G625" s="180">
        <f>SUM(C625:F625)</f>
        <v>-59913.636814451951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179885</v>
      </c>
      <c r="D626" s="180">
        <f>(D615/D612)*BR76</f>
        <v>-9137.0653772915648</v>
      </c>
      <c r="E626" s="180">
        <f>(E623/E612)*SUM(C626:D626)</f>
        <v>48729.721377149392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334990</v>
      </c>
      <c r="D628" s="180">
        <f>(D615/D612)*AZ76</f>
        <v>-31759.02675826706</v>
      </c>
      <c r="E628" s="180">
        <f>(E623/E612)*SUM(C628:D628)</f>
        <v>86539.031184429463</v>
      </c>
      <c r="F628" s="180">
        <f>(F624/F612)*AZ64</f>
        <v>0</v>
      </c>
      <c r="G628" s="180">
        <f>(G625/G612)*AZ77</f>
        <v>0</v>
      </c>
      <c r="H628" s="180">
        <f>SUM(C626:G628)</f>
        <v>609247.66042602016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429188</v>
      </c>
      <c r="D629" s="180">
        <f>(D615/D612)*BF76</f>
        <v>-15934.688894696885</v>
      </c>
      <c r="E629" s="180">
        <f>(E623/E612)*SUM(C629:D629)</f>
        <v>117938.28577102837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531191.59687633149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18543</v>
      </c>
      <c r="D630" s="180">
        <f>(D615/D612)*BA76</f>
        <v>-35621.312847701898</v>
      </c>
      <c r="E630" s="180">
        <f>(E623/E612)*SUM(C630:D630)</f>
        <v>-4873.9765344700336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15758.247938800851</v>
      </c>
      <c r="J630" s="180">
        <f>SUM(C630:I630)</f>
        <v>-6194.041443371083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768728</v>
      </c>
      <c r="D632" s="180">
        <f>(D615/D612)*BB76</f>
        <v>-42087.883271727093</v>
      </c>
      <c r="E632" s="180">
        <f>(E623/E612)*SUM(C632:D632)</f>
        <v>207375.68807417288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18618.945984692207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241155</v>
      </c>
      <c r="D642" s="180">
        <f>(D615/D612)*BV76</f>
        <v>-23416.488805087803</v>
      </c>
      <c r="E642" s="180">
        <f>(E623/E612)*SUM(C642:D642)</f>
        <v>62140.353305288438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10359.046507476891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1242872.6617948154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882603</v>
      </c>
      <c r="D645" s="180">
        <f>(D615/D612)*BY76</f>
        <v>-28360.214999564399</v>
      </c>
      <c r="E645" s="180">
        <f>(E623/E612)*SUM(C645:D645)</f>
        <v>243792.18989378752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12546.064808772673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1110581.0397029957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5342584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2550318</v>
      </c>
      <c r="D670" s="180">
        <f>(D615/D612)*E76</f>
        <v>-356367.61992059636</v>
      </c>
      <c r="E670" s="180">
        <f>(E623/E612)*SUM(C670:D670)</f>
        <v>626131.09185065294</v>
      </c>
      <c r="F670" s="180">
        <f>(F624/F612)*E64</f>
        <v>-3331.9881520766485</v>
      </c>
      <c r="G670" s="180">
        <f>(G625/G612)*E77</f>
        <v>-59913.636814451958</v>
      </c>
      <c r="H670" s="180">
        <f>(H628/H612)*E60</f>
        <v>164586.46355920576</v>
      </c>
      <c r="I670" s="180">
        <f>(I629/I612)*E78</f>
        <v>157650.82370992401</v>
      </c>
      <c r="J670" s="180">
        <f>(J630/J612)*E79</f>
        <v>-2842.2117174093237</v>
      </c>
      <c r="K670" s="180">
        <f>(K644/K612)*E75</f>
        <v>62284.015530122473</v>
      </c>
      <c r="L670" s="180">
        <f>(L647/L612)*E80</f>
        <v>466423.72426483844</v>
      </c>
      <c r="M670" s="180">
        <f t="shared" si="20"/>
        <v>1054621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2333615</v>
      </c>
      <c r="D681" s="180">
        <f>(D615/D612)*P76</f>
        <v>-90223.003049197869</v>
      </c>
      <c r="E681" s="180">
        <f>(E623/E612)*SUM(C681:D681)</f>
        <v>640241.2257149521</v>
      </c>
      <c r="F681" s="180">
        <f>(F624/F612)*P64</f>
        <v>0</v>
      </c>
      <c r="G681" s="180">
        <f>(G625/G612)*P77</f>
        <v>0</v>
      </c>
      <c r="H681" s="180">
        <f>(H628/H612)*P60</f>
        <v>72213.766809319452</v>
      </c>
      <c r="I681" s="180">
        <f>(I629/I612)*P78</f>
        <v>39913.083998648006</v>
      </c>
      <c r="J681" s="180">
        <f>(J630/J612)*P79</f>
        <v>-2333.9775148539452</v>
      </c>
      <c r="K681" s="180">
        <f>(K644/K612)*P75</f>
        <v>397908.37937227741</v>
      </c>
      <c r="L681" s="180">
        <f>(L647/L612)*P80</f>
        <v>204647.5349795644</v>
      </c>
      <c r="M681" s="180">
        <f t="shared" si="20"/>
        <v>1262367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311560</v>
      </c>
      <c r="D682" s="180">
        <f>(D615/D612)*Q76</f>
        <v>-31118.990777732142</v>
      </c>
      <c r="E682" s="180">
        <f>(E623/E612)*SUM(C682:D682)</f>
        <v>80035.007581931975</v>
      </c>
      <c r="F682" s="180">
        <f>(F624/F612)*Q64</f>
        <v>0</v>
      </c>
      <c r="G682" s="180">
        <f>(G625/G612)*Q77</f>
        <v>0</v>
      </c>
      <c r="H682" s="180">
        <f>(H628/H612)*Q60</f>
        <v>20786.096649828924</v>
      </c>
      <c r="I682" s="180">
        <f>(I629/I612)*Q78</f>
        <v>13766.499128692194</v>
      </c>
      <c r="J682" s="180">
        <f>(J630/J612)*Q79</f>
        <v>0</v>
      </c>
      <c r="K682" s="180">
        <f>(K644/K612)*Q75</f>
        <v>40557.319336375527</v>
      </c>
      <c r="L682" s="180">
        <f>(L647/L612)*Q80</f>
        <v>58905.99021744285</v>
      </c>
      <c r="M682" s="180">
        <f t="shared" si="20"/>
        <v>182932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2481001</v>
      </c>
      <c r="D683" s="180">
        <f>(D615/D612)*R76</f>
        <v>-11675.139093205889</v>
      </c>
      <c r="E683" s="180">
        <f>(E623/E612)*SUM(C683:D683)</f>
        <v>704720.44922395528</v>
      </c>
      <c r="F683" s="180">
        <f>(F624/F612)*R64</f>
        <v>0</v>
      </c>
      <c r="G683" s="180">
        <f>(G625/G612)*R77</f>
        <v>0</v>
      </c>
      <c r="H683" s="180">
        <f>(H628/H612)*R60</f>
        <v>44349.645869247062</v>
      </c>
      <c r="I683" s="180">
        <f>(I629/I612)*R78</f>
        <v>5164.8780418994111</v>
      </c>
      <c r="J683" s="180">
        <f>(J630/J612)*R79</f>
        <v>0</v>
      </c>
      <c r="K683" s="180">
        <f>(K644/K612)*R75</f>
        <v>145112.18233077604</v>
      </c>
      <c r="L683" s="180">
        <f>(L647/L612)*R80</f>
        <v>109940.92139721016</v>
      </c>
      <c r="M683" s="180">
        <f t="shared" si="20"/>
        <v>997613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145955</v>
      </c>
      <c r="D684" s="180">
        <f>(D615/D612)*S76</f>
        <v>0</v>
      </c>
      <c r="E684" s="180">
        <f>(E623/E612)*SUM(C684:D684)</f>
        <v>41654.070365873347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153197.90686380913</v>
      </c>
      <c r="L684" s="180">
        <f>(L647/L612)*S80</f>
        <v>0</v>
      </c>
      <c r="M684" s="180">
        <f t="shared" si="20"/>
        <v>194852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146970</v>
      </c>
      <c r="D686" s="180">
        <f>(D615/D612)*U76</f>
        <v>-10174.365069882637</v>
      </c>
      <c r="E686" s="180">
        <f>(E623/E612)*SUM(C686:D686)</f>
        <v>39040.080868236313</v>
      </c>
      <c r="F686" s="180">
        <f>(F624/F612)*U64</f>
        <v>0</v>
      </c>
      <c r="G686" s="180">
        <f>(G625/G612)*U77</f>
        <v>0</v>
      </c>
      <c r="H686" s="180">
        <f>(H628/H612)*U60</f>
        <v>10930.619789996244</v>
      </c>
      <c r="I686" s="180">
        <f>(I629/I612)*U78</f>
        <v>4500.9617718631926</v>
      </c>
      <c r="J686" s="180">
        <f>(J630/J612)*U79</f>
        <v>0</v>
      </c>
      <c r="K686" s="180">
        <f>(K644/K612)*U75</f>
        <v>6723.3863010580117</v>
      </c>
      <c r="L686" s="180">
        <f>(L647/L612)*U80</f>
        <v>0</v>
      </c>
      <c r="M686" s="180">
        <f t="shared" si="20"/>
        <v>51021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475746</v>
      </c>
      <c r="D690" s="180">
        <f>(D615/D612)*Y76</f>
        <v>-71088.134251826399</v>
      </c>
      <c r="E690" s="180">
        <f>(E623/E612)*SUM(C690:D690)</f>
        <v>115485.23321557025</v>
      </c>
      <c r="F690" s="180">
        <f>(F624/F612)*Y64</f>
        <v>0</v>
      </c>
      <c r="G690" s="180">
        <f>(G625/G612)*Y77</f>
        <v>0</v>
      </c>
      <c r="H690" s="180">
        <f>(H628/H612)*Y60</f>
        <v>43364.098183263792</v>
      </c>
      <c r="I690" s="180">
        <f>(I629/I612)*Y78</f>
        <v>31448.151555686207</v>
      </c>
      <c r="J690" s="180">
        <f>(J630/J612)*Y79</f>
        <v>-256.0041094554939</v>
      </c>
      <c r="K690" s="180">
        <f>(K644/K612)*Y75</f>
        <v>143248.50808646172</v>
      </c>
      <c r="L690" s="180">
        <f>(L647/L612)*Y80</f>
        <v>0</v>
      </c>
      <c r="M690" s="180">
        <f t="shared" si="20"/>
        <v>262202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355359</v>
      </c>
      <c r="D693" s="180">
        <f>(D615/D612)*AB76</f>
        <v>-6621.0618676025833</v>
      </c>
      <c r="E693" s="180">
        <f>(E623/E612)*SUM(C693:D693)</f>
        <v>99526.255450080294</v>
      </c>
      <c r="F693" s="180">
        <f>(F624/F612)*AB64</f>
        <v>0</v>
      </c>
      <c r="G693" s="180">
        <f>(G625/G612)*AB77</f>
        <v>0</v>
      </c>
      <c r="H693" s="180">
        <f>(H628/H612)*AB60</f>
        <v>15679.16773155199</v>
      </c>
      <c r="I693" s="180">
        <f>(I629/I612)*AB78</f>
        <v>2929.0423678068496</v>
      </c>
      <c r="J693" s="180">
        <f>(J630/J612)*AB79</f>
        <v>0</v>
      </c>
      <c r="K693" s="180">
        <f>(K644/K612)*AB75</f>
        <v>64302.213328644866</v>
      </c>
      <c r="L693" s="180">
        <f>(L647/L612)*AB80</f>
        <v>0</v>
      </c>
      <c r="M693" s="180">
        <f t="shared" si="20"/>
        <v>175816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433191</v>
      </c>
      <c r="D694" s="180">
        <f>(D615/D612)*AC76</f>
        <v>-2273.2312412102201</v>
      </c>
      <c r="E694" s="180">
        <f>(E623/E612)*SUM(C694:D694)</f>
        <v>122979.5420628534</v>
      </c>
      <c r="F694" s="180">
        <f>(F624/F612)*AC64</f>
        <v>0</v>
      </c>
      <c r="G694" s="180">
        <f>(G625/G612)*AC77</f>
        <v>0</v>
      </c>
      <c r="H694" s="180">
        <f>(H628/H612)*AC60</f>
        <v>34852.549986135571</v>
      </c>
      <c r="I694" s="180">
        <f>(I629/I612)*AC78</f>
        <v>1005.6378796136851</v>
      </c>
      <c r="J694" s="180">
        <f>(J630/J612)*AC79</f>
        <v>0</v>
      </c>
      <c r="K694" s="180">
        <f>(K644/K612)*AC75</f>
        <v>18447.676925233714</v>
      </c>
      <c r="L694" s="180">
        <f>(L647/L612)*AC80</f>
        <v>0</v>
      </c>
      <c r="M694" s="180">
        <f t="shared" si="20"/>
        <v>175012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572218</v>
      </c>
      <c r="D696" s="180">
        <f>(D615/D612)*AE76</f>
        <v>-115228.5467025103</v>
      </c>
      <c r="E696" s="180">
        <f>(E623/E612)*SUM(C696:D696)</f>
        <v>130420.13527536314</v>
      </c>
      <c r="F696" s="180">
        <f>(F624/F612)*AE64</f>
        <v>0</v>
      </c>
      <c r="G696" s="180">
        <f>(G625/G612)*AE77</f>
        <v>0</v>
      </c>
      <c r="H696" s="180">
        <f>(H628/H612)*AE60</f>
        <v>39869.883660232204</v>
      </c>
      <c r="I696" s="180">
        <f>(I629/I612)*AE78</f>
        <v>50975.100674398542</v>
      </c>
      <c r="J696" s="180">
        <f>(J630/J612)*AE79</f>
        <v>-46.797802809554661</v>
      </c>
      <c r="K696" s="180">
        <f>(K644/K612)*AE75</f>
        <v>49138.092289276865</v>
      </c>
      <c r="L696" s="180">
        <f>(L647/L612)*AE80</f>
        <v>0</v>
      </c>
      <c r="M696" s="180">
        <f t="shared" si="20"/>
        <v>155128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981587</v>
      </c>
      <c r="D701" s="180">
        <f>(D615/D612)*AJ76</f>
        <v>-195917.22066236046</v>
      </c>
      <c r="E701" s="180">
        <f>(E623/E612)*SUM(C701:D701)</f>
        <v>224222.15253242591</v>
      </c>
      <c r="F701" s="180">
        <f>(F624/F612)*AJ64</f>
        <v>0</v>
      </c>
      <c r="G701" s="180">
        <f>(G625/G612)*AJ77</f>
        <v>0</v>
      </c>
      <c r="H701" s="180">
        <f>(H628/H612)*AJ60</f>
        <v>95508.530296196695</v>
      </c>
      <c r="I701" s="180">
        <f>(I629/I612)*AJ78</f>
        <v>86670.363663404685</v>
      </c>
      <c r="J701" s="180">
        <f>(J630/J612)*AJ79</f>
        <v>-583.71452966756351</v>
      </c>
      <c r="K701" s="180">
        <f>(K644/K612)*AJ75</f>
        <v>152847.27409632847</v>
      </c>
      <c r="L701" s="180">
        <f>(L647/L612)*AJ80</f>
        <v>270662.86884394003</v>
      </c>
      <c r="M701" s="180">
        <f t="shared" si="20"/>
        <v>633410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959245</v>
      </c>
      <c r="D702" s="180">
        <f>(D615/D612)*AK76</f>
        <v>-180578.42733574778</v>
      </c>
      <c r="E702" s="180">
        <f>(E623/E612)*SUM(C702:D702)</f>
        <v>222223.50867945733</v>
      </c>
      <c r="F702" s="180">
        <f>(F624/F612)*AK64</f>
        <v>0</v>
      </c>
      <c r="G702" s="180">
        <f>(G625/G612)*AK77</f>
        <v>0</v>
      </c>
      <c r="H702" s="180">
        <f>(H628/H612)*AK60</f>
        <v>67106.837891042524</v>
      </c>
      <c r="I702" s="180">
        <f>(I629/I612)*AK78</f>
        <v>79884.748844652146</v>
      </c>
      <c r="J702" s="180">
        <f>(J630/J612)*AK79</f>
        <v>-131.33576917520179</v>
      </c>
      <c r="K702" s="180">
        <f>(K644/K612)*AK75</f>
        <v>9105.7073344513501</v>
      </c>
      <c r="L702" s="180">
        <f>(L647/L612)*AK80</f>
        <v>0</v>
      </c>
      <c r="M702" s="180">
        <f t="shared" si="20"/>
        <v>197611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17089349</v>
      </c>
      <c r="D715" s="180">
        <f>SUM(D616:D647)+SUM(D668:D713)</f>
        <v>-1773319.0000000002</v>
      </c>
      <c r="E715" s="180">
        <f>SUM(E624:E647)+SUM(E668:E713)</f>
        <v>3794277.8798740497</v>
      </c>
      <c r="F715" s="180">
        <f>SUM(F625:F648)+SUM(F668:F713)</f>
        <v>-3331.9881520766485</v>
      </c>
      <c r="G715" s="180">
        <f>SUM(G626:G647)+SUM(G668:G713)</f>
        <v>-59913.636814451958</v>
      </c>
      <c r="H715" s="180">
        <f>SUM(H629:H647)+SUM(H668:H713)</f>
        <v>609247.66042602016</v>
      </c>
      <c r="I715" s="180">
        <f>SUM(I630:I647)+SUM(I668:I713)</f>
        <v>531191.59687633161</v>
      </c>
      <c r="J715" s="180">
        <f>SUM(J631:J647)+SUM(J668:J713)</f>
        <v>-6194.0414433710821</v>
      </c>
      <c r="K715" s="180">
        <f>SUM(K668:K713)</f>
        <v>1242872.6617948154</v>
      </c>
      <c r="L715" s="180">
        <f>SUM(L668:L713)</f>
        <v>1110581.0397029959</v>
      </c>
      <c r="M715" s="180">
        <f>SUM(M668:M713)</f>
        <v>5342585</v>
      </c>
      <c r="N715" s="198" t="s">
        <v>742</v>
      </c>
    </row>
    <row r="716" spans="1:15" ht="12.6" customHeight="1" x14ac:dyDescent="0.25">
      <c r="C716" s="180">
        <f>CE71</f>
        <v>17089349</v>
      </c>
      <c r="D716" s="180">
        <f>D615</f>
        <v>-1773319</v>
      </c>
      <c r="E716" s="180">
        <f>E623</f>
        <v>3794277.8798740497</v>
      </c>
      <c r="F716" s="180">
        <f>F624</f>
        <v>-3331.9881520766485</v>
      </c>
      <c r="G716" s="180">
        <f>G625</f>
        <v>-59913.636814451951</v>
      </c>
      <c r="H716" s="180">
        <f>H628</f>
        <v>609247.66042602016</v>
      </c>
      <c r="I716" s="180">
        <f>I629</f>
        <v>531191.59687633149</v>
      </c>
      <c r="J716" s="180">
        <f>J630</f>
        <v>-6194.041443371083</v>
      </c>
      <c r="K716" s="180">
        <f>K644</f>
        <v>1242872.6617948154</v>
      </c>
      <c r="L716" s="180">
        <f>L647</f>
        <v>1110581.0397029957</v>
      </c>
      <c r="M716" s="180">
        <f>C648</f>
        <v>5342584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7" transitionEvaluation="1" transitionEntry="1" codeName="Sheet10">
    <pageSetUpPr autoPageBreaks="0" fitToPage="1"/>
  </sheetPr>
  <dimension ref="A1:CF719"/>
  <sheetViews>
    <sheetView showGridLines="0" topLeftCell="A27" zoomScale="75" workbookViewId="0">
      <selection activeCell="C47" sqref="C47:CF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4078462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499313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584097</v>
      </c>
      <c r="Q48" s="195">
        <f>ROUND(((B48/CE61)*Q61),0)</f>
        <v>53287</v>
      </c>
      <c r="R48" s="195">
        <f>ROUND(((B48/CE61)*R61),0)</f>
        <v>525472</v>
      </c>
      <c r="S48" s="195">
        <f>ROUND(((B48/CE61)*S61),0)</f>
        <v>32004</v>
      </c>
      <c r="T48" s="195">
        <f>ROUND(((B48/CE61)*T61),0)</f>
        <v>0</v>
      </c>
      <c r="U48" s="195">
        <f>ROUND(((B48/CE61)*U61),0)</f>
        <v>37112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90284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76925</v>
      </c>
      <c r="AC48" s="195">
        <f>ROUND(((B48/CE61)*AC61),0)</f>
        <v>82809</v>
      </c>
      <c r="AD48" s="195">
        <f>ROUND(((B48/CE61)*AD61),0)</f>
        <v>0</v>
      </c>
      <c r="AE48" s="195">
        <f>ROUND(((B48/CE61)*AE61),0)</f>
        <v>107413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176397</v>
      </c>
      <c r="AK48" s="195">
        <f>ROUND(((B48/CE61)*AK61),0)</f>
        <v>181440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119372</v>
      </c>
      <c r="BA48" s="195">
        <f>ROUND(((B48/CE61)*BA61),0)</f>
        <v>14650</v>
      </c>
      <c r="BB48" s="195">
        <f>ROUND(((B48/CE61)*BB61),0)</f>
        <v>157752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83605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748831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118061</v>
      </c>
      <c r="BR48" s="195">
        <f>ROUND(((B48/CE61)*BR61),0)</f>
        <v>45987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56361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141347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145940</v>
      </c>
      <c r="CD48" s="195"/>
      <c r="CE48" s="195">
        <f>SUM(C48:CD48)</f>
        <v>4078459</v>
      </c>
    </row>
    <row r="49" spans="1:84" ht="12.6" customHeight="1" x14ac:dyDescent="0.25">
      <c r="A49" s="175" t="s">
        <v>206</v>
      </c>
      <c r="B49" s="195">
        <f>B47+B48</f>
        <v>4078462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1042751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190581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48036</v>
      </c>
      <c r="Q52" s="195">
        <f>ROUND((B52/(CE76+CF76)*Q76),0)</f>
        <v>16568</v>
      </c>
      <c r="R52" s="195">
        <f>ROUND((B52/(CE76+CF76)*R76),0)</f>
        <v>6334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5417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37848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3525</v>
      </c>
      <c r="AC52" s="195">
        <f>ROUND((B52/(CE76+CF76)*AC76),0)</f>
        <v>1210</v>
      </c>
      <c r="AD52" s="195">
        <f>ROUND((B52/(CE76+CF76)*AD76),0)</f>
        <v>0</v>
      </c>
      <c r="AE52" s="195">
        <f>ROUND((B52/(CE76+CF76)*AE76),0)</f>
        <v>61349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103275</v>
      </c>
      <c r="AK52" s="195">
        <f>ROUND((B52/(CE76+CF76)*AK76),0)</f>
        <v>96143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51761</v>
      </c>
      <c r="AZ52" s="195">
        <f>ROUND((B52/(CE76+CF76)*AZ76),0)</f>
        <v>16909</v>
      </c>
      <c r="BA52" s="195">
        <f>ROUND((B52/(CE76+CF76)*BA76),0)</f>
        <v>18965</v>
      </c>
      <c r="BB52" s="195">
        <f>ROUND((B52/(CE76+CF76)*BB76),0)</f>
        <v>22408</v>
      </c>
      <c r="BC52" s="195">
        <f>ROUND((B52/(CE76+CF76)*BC76),0)</f>
        <v>0</v>
      </c>
      <c r="BD52" s="195">
        <f>ROUND((B52/(CE76+CF76)*BD76),0)</f>
        <v>2879</v>
      </c>
      <c r="BE52" s="195">
        <f>ROUND((B52/(CE76+CF76)*BE76),0)</f>
        <v>98610</v>
      </c>
      <c r="BF52" s="195">
        <f>ROUND((B52/(CE76+CF76)*BF76),0)</f>
        <v>8484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157010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4865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12467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15499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62607</v>
      </c>
      <c r="CD52" s="195"/>
      <c r="CE52" s="195">
        <f>SUM(C52:CD52)</f>
        <v>1042750</v>
      </c>
    </row>
    <row r="53" spans="1:84" ht="12.6" customHeight="1" x14ac:dyDescent="0.25">
      <c r="A53" s="175" t="s">
        <v>206</v>
      </c>
      <c r="B53" s="195">
        <f>B51+B52</f>
        <v>1042751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694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4740</v>
      </c>
      <c r="AZ59" s="185">
        <v>19660</v>
      </c>
      <c r="BA59" s="244"/>
      <c r="BB59" s="244"/>
      <c r="BC59" s="244"/>
      <c r="BD59" s="244"/>
      <c r="BE59" s="185">
        <v>88741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16.16</v>
      </c>
      <c r="F60" s="219"/>
      <c r="G60" s="187"/>
      <c r="H60" s="187"/>
      <c r="I60" s="187"/>
      <c r="J60" s="219"/>
      <c r="K60" s="187"/>
      <c r="L60" s="187"/>
      <c r="M60" s="187"/>
      <c r="N60" s="187"/>
      <c r="O60" s="187"/>
      <c r="P60" s="217">
        <v>8.17</v>
      </c>
      <c r="Q60" s="217">
        <v>1.95</v>
      </c>
      <c r="R60" s="217">
        <v>4.33</v>
      </c>
      <c r="S60" s="217"/>
      <c r="T60" s="217"/>
      <c r="U60" s="217">
        <v>1.27</v>
      </c>
      <c r="V60" s="217"/>
      <c r="W60" s="217"/>
      <c r="X60" s="217"/>
      <c r="Y60" s="217">
        <v>4.2</v>
      </c>
      <c r="Z60" s="217"/>
      <c r="AA60" s="217"/>
      <c r="AB60" s="217">
        <v>1.58</v>
      </c>
      <c r="AC60" s="217">
        <v>3.08</v>
      </c>
      <c r="AD60" s="217"/>
      <c r="AE60" s="217">
        <v>3.81</v>
      </c>
      <c r="AF60" s="217"/>
      <c r="AG60" s="217"/>
      <c r="AH60" s="217"/>
      <c r="AI60" s="217"/>
      <c r="AJ60" s="217">
        <v>9</v>
      </c>
      <c r="AK60" s="217">
        <v>6.48</v>
      </c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45" t="s">
        <v>221</v>
      </c>
      <c r="CE60" s="247">
        <f t="shared" ref="CE60:CE70" si="0">SUM(C60:CD60)</f>
        <v>60.03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1766649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2066631</v>
      </c>
      <c r="Q61" s="185">
        <v>188539</v>
      </c>
      <c r="R61" s="185">
        <v>1859203</v>
      </c>
      <c r="S61" s="185">
        <v>113235</v>
      </c>
      <c r="T61" s="185"/>
      <c r="U61" s="185">
        <v>131310</v>
      </c>
      <c r="V61" s="185"/>
      <c r="W61" s="185"/>
      <c r="X61" s="185"/>
      <c r="Y61" s="185">
        <v>319441</v>
      </c>
      <c r="Z61" s="185"/>
      <c r="AA61" s="185"/>
      <c r="AB61" s="185">
        <v>272172</v>
      </c>
      <c r="AC61" s="185">
        <v>292992</v>
      </c>
      <c r="AD61" s="185"/>
      <c r="AE61" s="185">
        <v>380046</v>
      </c>
      <c r="AF61" s="185"/>
      <c r="AG61" s="185"/>
      <c r="AH61" s="185"/>
      <c r="AI61" s="185"/>
      <c r="AJ61" s="185">
        <v>624120</v>
      </c>
      <c r="AK61" s="185">
        <v>641965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422359</v>
      </c>
      <c r="BA61" s="185">
        <v>51833</v>
      </c>
      <c r="BB61" s="185">
        <v>558152</v>
      </c>
      <c r="BC61" s="185"/>
      <c r="BD61" s="185"/>
      <c r="BE61" s="185"/>
      <c r="BF61" s="185">
        <v>295809</v>
      </c>
      <c r="BG61" s="185"/>
      <c r="BH61" s="185"/>
      <c r="BI61" s="185"/>
      <c r="BJ61" s="185"/>
      <c r="BK61" s="185"/>
      <c r="BL61" s="185"/>
      <c r="BM61" s="185"/>
      <c r="BN61" s="185">
        <v>2649486</v>
      </c>
      <c r="BO61" s="185"/>
      <c r="BP61" s="185"/>
      <c r="BQ61" s="185">
        <v>417719</v>
      </c>
      <c r="BR61" s="185">
        <v>162710</v>
      </c>
      <c r="BS61" s="185"/>
      <c r="BT61" s="185"/>
      <c r="BU61" s="185">
        <v>199415</v>
      </c>
      <c r="BV61" s="185"/>
      <c r="BW61" s="185"/>
      <c r="BX61" s="185"/>
      <c r="BY61" s="185">
        <v>500109</v>
      </c>
      <c r="BZ61" s="185"/>
      <c r="CA61" s="185"/>
      <c r="CB61" s="185"/>
      <c r="CC61" s="185">
        <f>58697+15717+415231+26716</f>
        <v>516361</v>
      </c>
      <c r="CD61" s="245" t="s">
        <v>221</v>
      </c>
      <c r="CE61" s="195">
        <f t="shared" si="0"/>
        <v>14430256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499313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584097</v>
      </c>
      <c r="Q62" s="195">
        <f t="shared" si="1"/>
        <v>53287</v>
      </c>
      <c r="R62" s="195">
        <f t="shared" si="1"/>
        <v>525472</v>
      </c>
      <c r="S62" s="195">
        <f t="shared" si="1"/>
        <v>32004</v>
      </c>
      <c r="T62" s="195">
        <f t="shared" si="1"/>
        <v>0</v>
      </c>
      <c r="U62" s="195">
        <f t="shared" si="1"/>
        <v>37112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90284</v>
      </c>
      <c r="Z62" s="195">
        <f t="shared" si="1"/>
        <v>0</v>
      </c>
      <c r="AA62" s="195">
        <f t="shared" si="1"/>
        <v>0</v>
      </c>
      <c r="AB62" s="195">
        <f t="shared" si="1"/>
        <v>76925</v>
      </c>
      <c r="AC62" s="195">
        <f t="shared" si="1"/>
        <v>82809</v>
      </c>
      <c r="AD62" s="195">
        <f t="shared" si="1"/>
        <v>0</v>
      </c>
      <c r="AE62" s="195">
        <f t="shared" si="1"/>
        <v>107413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176397</v>
      </c>
      <c r="AK62" s="195">
        <f t="shared" si="1"/>
        <v>181440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119372</v>
      </c>
      <c r="BA62" s="195">
        <f>ROUND(BA47+BA48,0)</f>
        <v>14650</v>
      </c>
      <c r="BB62" s="195">
        <f t="shared" si="1"/>
        <v>157752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83605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748831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118061</v>
      </c>
      <c r="BR62" s="195">
        <f t="shared" si="2"/>
        <v>45987</v>
      </c>
      <c r="BS62" s="195">
        <f t="shared" si="2"/>
        <v>0</v>
      </c>
      <c r="BT62" s="195">
        <f t="shared" si="2"/>
        <v>0</v>
      </c>
      <c r="BU62" s="195">
        <f t="shared" si="2"/>
        <v>56361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141347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145940</v>
      </c>
      <c r="CD62" s="245" t="s">
        <v>221</v>
      </c>
      <c r="CE62" s="195">
        <f t="shared" si="0"/>
        <v>4078459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0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5" t="s">
        <v>221</v>
      </c>
      <c r="CE64" s="195">
        <f t="shared" si="0"/>
        <v>1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0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5" t="s">
        <v>221</v>
      </c>
      <c r="CE66" s="195">
        <f t="shared" si="0"/>
        <v>0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190581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48036</v>
      </c>
      <c r="Q67" s="195">
        <f t="shared" si="3"/>
        <v>16568</v>
      </c>
      <c r="R67" s="195">
        <f t="shared" si="3"/>
        <v>6334</v>
      </c>
      <c r="S67" s="195">
        <f t="shared" si="3"/>
        <v>0</v>
      </c>
      <c r="T67" s="195">
        <f t="shared" si="3"/>
        <v>0</v>
      </c>
      <c r="U67" s="195">
        <f t="shared" si="3"/>
        <v>5417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37848</v>
      </c>
      <c r="Z67" s="195">
        <f t="shared" si="3"/>
        <v>0</v>
      </c>
      <c r="AA67" s="195">
        <f t="shared" si="3"/>
        <v>0</v>
      </c>
      <c r="AB67" s="195">
        <f t="shared" si="3"/>
        <v>3525</v>
      </c>
      <c r="AC67" s="195">
        <f t="shared" si="3"/>
        <v>1210</v>
      </c>
      <c r="AD67" s="195">
        <f t="shared" si="3"/>
        <v>0</v>
      </c>
      <c r="AE67" s="195">
        <f t="shared" si="3"/>
        <v>61349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103275</v>
      </c>
      <c r="AK67" s="195">
        <f t="shared" si="3"/>
        <v>96143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51761</v>
      </c>
      <c r="AZ67" s="195">
        <f>ROUND(AZ51+AZ52,0)</f>
        <v>16909</v>
      </c>
      <c r="BA67" s="195">
        <f>ROUND(BA51+BA52,0)</f>
        <v>18965</v>
      </c>
      <c r="BB67" s="195">
        <f t="shared" si="3"/>
        <v>22408</v>
      </c>
      <c r="BC67" s="195">
        <f t="shared" si="3"/>
        <v>0</v>
      </c>
      <c r="BD67" s="195">
        <f t="shared" si="3"/>
        <v>2879</v>
      </c>
      <c r="BE67" s="195">
        <f t="shared" si="3"/>
        <v>98610</v>
      </c>
      <c r="BF67" s="195">
        <f t="shared" si="3"/>
        <v>8484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157010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4865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12467</v>
      </c>
      <c r="BW67" s="195">
        <f t="shared" si="4"/>
        <v>0</v>
      </c>
      <c r="BX67" s="195">
        <f t="shared" si="4"/>
        <v>0</v>
      </c>
      <c r="BY67" s="195">
        <f t="shared" si="4"/>
        <v>15499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62607</v>
      </c>
      <c r="CD67" s="245" t="s">
        <v>221</v>
      </c>
      <c r="CE67" s="195">
        <f t="shared" si="0"/>
        <v>1042750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0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0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0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276">
        <v>1869733</v>
      </c>
      <c r="CE70" s="195">
        <f t="shared" si="0"/>
        <v>1869733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2456544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2698764</v>
      </c>
      <c r="Q71" s="195">
        <f t="shared" si="5"/>
        <v>258394</v>
      </c>
      <c r="R71" s="195">
        <f t="shared" si="5"/>
        <v>2391009</v>
      </c>
      <c r="S71" s="195">
        <f t="shared" si="5"/>
        <v>145239</v>
      </c>
      <c r="T71" s="195">
        <f t="shared" si="5"/>
        <v>0</v>
      </c>
      <c r="U71" s="195">
        <f t="shared" si="5"/>
        <v>173839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447573</v>
      </c>
      <c r="Z71" s="195">
        <f t="shared" si="5"/>
        <v>0</v>
      </c>
      <c r="AA71" s="195">
        <f t="shared" si="5"/>
        <v>0</v>
      </c>
      <c r="AB71" s="195">
        <f t="shared" si="5"/>
        <v>352622</v>
      </c>
      <c r="AC71" s="195">
        <f t="shared" si="5"/>
        <v>377011</v>
      </c>
      <c r="AD71" s="195">
        <f t="shared" si="5"/>
        <v>0</v>
      </c>
      <c r="AE71" s="195">
        <f t="shared" si="5"/>
        <v>548808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903792</v>
      </c>
      <c r="AK71" s="195">
        <f t="shared" si="6"/>
        <v>919548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51761</v>
      </c>
      <c r="AZ71" s="195">
        <f t="shared" si="6"/>
        <v>558640</v>
      </c>
      <c r="BA71" s="195">
        <f t="shared" si="6"/>
        <v>85448</v>
      </c>
      <c r="BB71" s="195">
        <f t="shared" si="6"/>
        <v>738312</v>
      </c>
      <c r="BC71" s="195">
        <f t="shared" si="6"/>
        <v>0</v>
      </c>
      <c r="BD71" s="195">
        <f t="shared" si="6"/>
        <v>2879</v>
      </c>
      <c r="BE71" s="195">
        <f t="shared" si="6"/>
        <v>98610</v>
      </c>
      <c r="BF71" s="195">
        <f t="shared" si="6"/>
        <v>387898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3555327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535780</v>
      </c>
      <c r="BR71" s="195">
        <f t="shared" si="7"/>
        <v>213562</v>
      </c>
      <c r="BS71" s="195">
        <f t="shared" si="7"/>
        <v>0</v>
      </c>
      <c r="BT71" s="195">
        <f t="shared" si="7"/>
        <v>0</v>
      </c>
      <c r="BU71" s="195">
        <f t="shared" si="7"/>
        <v>255776</v>
      </c>
      <c r="BV71" s="195">
        <f t="shared" si="7"/>
        <v>12467</v>
      </c>
      <c r="BW71" s="195">
        <f t="shared" si="7"/>
        <v>0</v>
      </c>
      <c r="BX71" s="195">
        <f t="shared" si="7"/>
        <v>0</v>
      </c>
      <c r="BY71" s="195">
        <f t="shared" si="7"/>
        <v>656955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724908</v>
      </c>
      <c r="CD71" s="241">
        <f>CD69-CD70</f>
        <v>-1869733</v>
      </c>
      <c r="CE71" s="195">
        <f>SUM(CE61:CE69)-CE70</f>
        <v>17681733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1603974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2632950</v>
      </c>
      <c r="Q73" s="185">
        <v>198877</v>
      </c>
      <c r="R73" s="185">
        <v>822682</v>
      </c>
      <c r="S73" s="185">
        <f>394257+2818211</f>
        <v>3212468</v>
      </c>
      <c r="T73" s="185"/>
      <c r="U73" s="185">
        <v>105016</v>
      </c>
      <c r="V73" s="185"/>
      <c r="W73" s="185"/>
      <c r="X73" s="185"/>
      <c r="Y73" s="185">
        <v>165508</v>
      </c>
      <c r="Z73" s="185"/>
      <c r="AA73" s="185"/>
      <c r="AB73" s="185">
        <v>897495</v>
      </c>
      <c r="AC73" s="185">
        <v>258606</v>
      </c>
      <c r="AD73" s="185"/>
      <c r="AE73" s="185">
        <v>98838</v>
      </c>
      <c r="AF73" s="185"/>
      <c r="AG73" s="185"/>
      <c r="AH73" s="185"/>
      <c r="AI73" s="185"/>
      <c r="AJ73" s="185">
        <v>10112</v>
      </c>
      <c r="AK73" s="185">
        <v>823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10007349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7803553</v>
      </c>
      <c r="Q74" s="185">
        <v>872060</v>
      </c>
      <c r="R74" s="185">
        <v>2992114</v>
      </c>
      <c r="S74" s="185">
        <f>169744+692781</f>
        <v>862525</v>
      </c>
      <c r="T74" s="185"/>
      <c r="U74" s="185">
        <v>80534</v>
      </c>
      <c r="V74" s="185"/>
      <c r="W74" s="185"/>
      <c r="X74" s="185"/>
      <c r="Y74" s="185">
        <v>3088444</v>
      </c>
      <c r="Z74" s="185"/>
      <c r="AA74" s="185"/>
      <c r="AB74" s="185">
        <v>1238540</v>
      </c>
      <c r="AC74" s="185">
        <v>163706</v>
      </c>
      <c r="AD74" s="185"/>
      <c r="AE74" s="185">
        <v>940630</v>
      </c>
      <c r="AF74" s="185"/>
      <c r="AG74" s="185"/>
      <c r="AH74" s="185"/>
      <c r="AI74" s="185"/>
      <c r="AJ74" s="185">
        <v>3370375</v>
      </c>
      <c r="AK74" s="185">
        <v>245387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21657868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1603974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10436503</v>
      </c>
      <c r="Q75" s="195">
        <f t="shared" si="9"/>
        <v>1070937</v>
      </c>
      <c r="R75" s="195">
        <f t="shared" si="9"/>
        <v>3814796</v>
      </c>
      <c r="S75" s="195">
        <f t="shared" si="9"/>
        <v>4074993</v>
      </c>
      <c r="T75" s="195">
        <f t="shared" si="9"/>
        <v>0</v>
      </c>
      <c r="U75" s="195">
        <f t="shared" si="9"/>
        <v>185550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3253952</v>
      </c>
      <c r="Z75" s="195">
        <f t="shared" si="9"/>
        <v>0</v>
      </c>
      <c r="AA75" s="195">
        <f t="shared" si="9"/>
        <v>0</v>
      </c>
      <c r="AB75" s="195">
        <f t="shared" si="9"/>
        <v>2136035</v>
      </c>
      <c r="AC75" s="195">
        <f t="shared" si="9"/>
        <v>422312</v>
      </c>
      <c r="AD75" s="195">
        <f t="shared" si="9"/>
        <v>0</v>
      </c>
      <c r="AE75" s="195">
        <f t="shared" si="9"/>
        <v>1039468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3380487</v>
      </c>
      <c r="AK75" s="195">
        <f t="shared" si="9"/>
        <v>246210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31665217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16219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4088</v>
      </c>
      <c r="Q76" s="185">
        <v>1410</v>
      </c>
      <c r="R76" s="185">
        <v>539</v>
      </c>
      <c r="S76" s="185"/>
      <c r="T76" s="185"/>
      <c r="U76" s="185">
        <v>461</v>
      </c>
      <c r="V76" s="185"/>
      <c r="W76" s="185"/>
      <c r="X76" s="185"/>
      <c r="Y76" s="185">
        <v>3221</v>
      </c>
      <c r="Z76" s="185"/>
      <c r="AA76" s="185"/>
      <c r="AB76" s="185">
        <v>300</v>
      </c>
      <c r="AC76" s="185">
        <v>103</v>
      </c>
      <c r="AD76" s="185"/>
      <c r="AE76" s="185">
        <v>5221</v>
      </c>
      <c r="AF76" s="185"/>
      <c r="AG76" s="185"/>
      <c r="AH76" s="185"/>
      <c r="AI76" s="185"/>
      <c r="AJ76" s="185">
        <v>8789</v>
      </c>
      <c r="AK76" s="185">
        <v>8182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4405</v>
      </c>
      <c r="AZ76" s="185">
        <v>1439</v>
      </c>
      <c r="BA76" s="185">
        <v>1614</v>
      </c>
      <c r="BB76" s="185">
        <v>1907</v>
      </c>
      <c r="BC76" s="185"/>
      <c r="BD76" s="185">
        <v>245</v>
      </c>
      <c r="BE76" s="185">
        <v>8392</v>
      </c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f>13362</f>
        <v>13362</v>
      </c>
      <c r="BO76" s="185"/>
      <c r="BP76" s="185"/>
      <c r="BQ76" s="185"/>
      <c r="BR76" s="185">
        <v>414</v>
      </c>
      <c r="BS76" s="185"/>
      <c r="BT76" s="185"/>
      <c r="BU76" s="185"/>
      <c r="BV76" s="185">
        <v>1061</v>
      </c>
      <c r="BW76" s="185"/>
      <c r="BX76" s="185"/>
      <c r="BY76" s="185">
        <v>1319</v>
      </c>
      <c r="BZ76" s="185"/>
      <c r="CA76" s="185"/>
      <c r="CB76" s="185"/>
      <c r="CC76" s="185">
        <v>5328</v>
      </c>
      <c r="CD76" s="245" t="s">
        <v>221</v>
      </c>
      <c r="CE76" s="195">
        <f t="shared" si="8"/>
        <v>88741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4740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4740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16219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4088</v>
      </c>
      <c r="Q78" s="184">
        <v>1410</v>
      </c>
      <c r="R78" s="184">
        <v>539</v>
      </c>
      <c r="S78" s="184"/>
      <c r="T78" s="184"/>
      <c r="U78" s="184">
        <v>461</v>
      </c>
      <c r="V78" s="184"/>
      <c r="W78" s="184"/>
      <c r="X78" s="184"/>
      <c r="Y78" s="184">
        <v>3221</v>
      </c>
      <c r="Z78" s="184"/>
      <c r="AA78" s="184"/>
      <c r="AB78" s="184">
        <v>300</v>
      </c>
      <c r="AC78" s="184">
        <v>103</v>
      </c>
      <c r="AD78" s="184"/>
      <c r="AE78" s="184">
        <v>5221</v>
      </c>
      <c r="AF78" s="184"/>
      <c r="AG78" s="184"/>
      <c r="AH78" s="184"/>
      <c r="AI78" s="184"/>
      <c r="AJ78" s="184">
        <v>8789</v>
      </c>
      <c r="AK78" s="184">
        <v>8182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1614</v>
      </c>
      <c r="BB78" s="184">
        <v>1907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1061</v>
      </c>
      <c r="BW78" s="184"/>
      <c r="BX78" s="184"/>
      <c r="BY78" s="184">
        <v>1319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54434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23960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17703</v>
      </c>
      <c r="Q79" s="184"/>
      <c r="R79" s="184"/>
      <c r="S79" s="184"/>
      <c r="T79" s="184"/>
      <c r="U79" s="184"/>
      <c r="V79" s="184"/>
      <c r="W79" s="184"/>
      <c r="X79" s="184"/>
      <c r="Y79" s="184">
        <v>2561</v>
      </c>
      <c r="Z79" s="184"/>
      <c r="AA79" s="184"/>
      <c r="AB79" s="184"/>
      <c r="AC79" s="184"/>
      <c r="AD79" s="184"/>
      <c r="AE79" s="184">
        <v>756</v>
      </c>
      <c r="AF79" s="184"/>
      <c r="AG79" s="184"/>
      <c r="AH79" s="184"/>
      <c r="AI79" s="184"/>
      <c r="AJ79" s="184">
        <v>7129</v>
      </c>
      <c r="AK79" s="184">
        <v>1363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53472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16.16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8.17</v>
      </c>
      <c r="Q80" s="187">
        <v>1.95</v>
      </c>
      <c r="R80" s="187">
        <v>4.33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9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39.61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1013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1014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164</v>
      </c>
      <c r="D111" s="174">
        <v>694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30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" customHeight="1" x14ac:dyDescent="0.2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0</v>
      </c>
      <c r="C138" s="189">
        <f>24+57</f>
        <v>81</v>
      </c>
      <c r="D138" s="174">
        <f>164-81</f>
        <v>83</v>
      </c>
      <c r="E138" s="175">
        <f>SUM(B138:D138)</f>
        <v>164</v>
      </c>
    </row>
    <row r="139" spans="1:6" ht="12.6" customHeight="1" x14ac:dyDescent="0.25">
      <c r="A139" s="173" t="s">
        <v>215</v>
      </c>
      <c r="B139" s="174">
        <v>0</v>
      </c>
      <c r="C139" s="189">
        <f>75+249</f>
        <v>324</v>
      </c>
      <c r="D139" s="174">
        <f>694-324</f>
        <v>370</v>
      </c>
      <c r="E139" s="175">
        <f>SUM(B139:D139)</f>
        <v>694</v>
      </c>
    </row>
    <row r="140" spans="1:6" ht="12.6" customHeight="1" x14ac:dyDescent="0.25">
      <c r="A140" s="173" t="s">
        <v>298</v>
      </c>
      <c r="B140" s="174">
        <v>0</v>
      </c>
      <c r="C140" s="174">
        <f>1431+5294+107+324+77+550</f>
        <v>7783</v>
      </c>
      <c r="D140" s="174">
        <f>13145+825+1228-7783</f>
        <v>7415</v>
      </c>
      <c r="E140" s="175">
        <f>SUM(B140:D140)</f>
        <v>15198</v>
      </c>
    </row>
    <row r="141" spans="1:6" ht="12.6" customHeight="1" x14ac:dyDescent="0.25">
      <c r="A141" s="173" t="s">
        <v>245</v>
      </c>
      <c r="B141" s="174">
        <v>0</v>
      </c>
      <c r="C141" s="189">
        <f>1192474+3581228+162768+484567</f>
        <v>5421037</v>
      </c>
      <c r="D141" s="174">
        <f>188264+12707+271898+20002+172904+17164+1447699+108308+2078988+253154+1222402+123098</f>
        <v>5916588</v>
      </c>
      <c r="E141" s="175">
        <f>SUM(B141:D141)</f>
        <v>11337625</v>
      </c>
      <c r="F141" s="199"/>
    </row>
    <row r="142" spans="1:6" ht="12.6" customHeight="1" x14ac:dyDescent="0.25">
      <c r="A142" s="173" t="s">
        <v>246</v>
      </c>
      <c r="B142" s="174">
        <v>0</v>
      </c>
      <c r="C142" s="189">
        <f>791005+2706199+3687380+12153896-5421037</f>
        <v>13917443</v>
      </c>
      <c r="D142" s="174">
        <v>13209413</v>
      </c>
      <c r="E142" s="175">
        <f>SUM(B142:D142)</f>
        <v>27126856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1436050+85474+1184101+791005+2706199-1963+2909+194189+342236+55136</f>
        <v>6795336</v>
      </c>
      <c r="C157" s="174">
        <v>5580975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867702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97094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172525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9415+2138641-138523</f>
        <v>2009533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10000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421000+446462</f>
        <v>867462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22007+796+31343</f>
        <v>54146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4078462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15049+63391+254091</f>
        <v>332531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332531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36222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69563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105785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77">
        <v>2862934</v>
      </c>
      <c r="C195" s="189">
        <v>0</v>
      </c>
      <c r="D195" s="174">
        <v>0</v>
      </c>
      <c r="E195" s="175">
        <f t="shared" ref="E195:E203" si="10">SUM(B195:C195)-D195</f>
        <v>2862934</v>
      </c>
    </row>
    <row r="196" spans="1:8" ht="12.6" customHeight="1" x14ac:dyDescent="0.25">
      <c r="A196" s="173" t="s">
        <v>333</v>
      </c>
      <c r="B196" s="277">
        <v>206831</v>
      </c>
      <c r="C196" s="189">
        <v>0</v>
      </c>
      <c r="D196" s="174">
        <v>0</v>
      </c>
      <c r="E196" s="175">
        <f t="shared" si="10"/>
        <v>206831</v>
      </c>
    </row>
    <row r="197" spans="1:8" ht="12.6" customHeight="1" x14ac:dyDescent="0.25">
      <c r="A197" s="173" t="s">
        <v>334</v>
      </c>
      <c r="B197" s="277">
        <v>20250362</v>
      </c>
      <c r="C197" s="189">
        <f>20324673-20250362</f>
        <v>74311</v>
      </c>
      <c r="D197" s="174">
        <v>0</v>
      </c>
      <c r="E197" s="175">
        <f t="shared" si="10"/>
        <v>20324673</v>
      </c>
    </row>
    <row r="198" spans="1:8" ht="12.6" customHeight="1" x14ac:dyDescent="0.25">
      <c r="A198" s="173" t="s">
        <v>335</v>
      </c>
      <c r="B198" s="277">
        <v>1842567</v>
      </c>
      <c r="C198" s="189">
        <f>1850426-1842567</f>
        <v>7859</v>
      </c>
      <c r="D198" s="174">
        <v>0</v>
      </c>
      <c r="E198" s="175">
        <f t="shared" si="10"/>
        <v>1850426</v>
      </c>
    </row>
    <row r="199" spans="1:8" ht="12.6" customHeight="1" x14ac:dyDescent="0.25">
      <c r="A199" s="173" t="s">
        <v>336</v>
      </c>
      <c r="B199" s="277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277">
        <v>7076028</v>
      </c>
      <c r="C200" s="189">
        <f>7956434-7076028</f>
        <v>880406</v>
      </c>
      <c r="D200" s="174">
        <v>0</v>
      </c>
      <c r="E200" s="175">
        <f t="shared" si="10"/>
        <v>7956434</v>
      </c>
    </row>
    <row r="201" spans="1:8" ht="12.6" customHeight="1" x14ac:dyDescent="0.25">
      <c r="A201" s="173" t="s">
        <v>338</v>
      </c>
      <c r="B201" s="277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277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277">
        <v>50895</v>
      </c>
      <c r="C203" s="189">
        <f>50895-50895</f>
        <v>0</v>
      </c>
      <c r="D203" s="174">
        <v>0</v>
      </c>
      <c r="E203" s="175">
        <f t="shared" si="10"/>
        <v>50895</v>
      </c>
    </row>
    <row r="204" spans="1:8" ht="12.6" customHeight="1" x14ac:dyDescent="0.25">
      <c r="A204" s="173" t="s">
        <v>203</v>
      </c>
      <c r="B204" s="175">
        <f>SUM(B195:B203)</f>
        <v>32289617</v>
      </c>
      <c r="C204" s="191">
        <f>SUM(C195:C203)</f>
        <v>962576</v>
      </c>
      <c r="D204" s="175">
        <f>SUM(D195:D203)</f>
        <v>0</v>
      </c>
      <c r="E204" s="175">
        <f>SUM(E195:E203)</f>
        <v>33252193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277">
        <v>153975</v>
      </c>
      <c r="C209" s="189">
        <f>158391-153975</f>
        <v>4416</v>
      </c>
      <c r="D209" s="174"/>
      <c r="E209" s="175">
        <f t="shared" ref="E209:E216" si="11">SUM(B209:C209)-D209</f>
        <v>158391</v>
      </c>
      <c r="H209" s="255"/>
    </row>
    <row r="210" spans="1:8" ht="12.6" customHeight="1" x14ac:dyDescent="0.25">
      <c r="A210" s="173" t="s">
        <v>334</v>
      </c>
      <c r="B210" s="277">
        <v>12980014</v>
      </c>
      <c r="C210" s="189">
        <f>13498762-12980014</f>
        <v>518748</v>
      </c>
      <c r="D210" s="174"/>
      <c r="E210" s="175">
        <f t="shared" si="11"/>
        <v>13498762</v>
      </c>
      <c r="H210" s="255"/>
    </row>
    <row r="211" spans="1:8" ht="12.6" customHeight="1" x14ac:dyDescent="0.25">
      <c r="A211" s="173" t="s">
        <v>335</v>
      </c>
      <c r="B211" s="277">
        <v>1756562</v>
      </c>
      <c r="C211" s="189">
        <f>1795419-1756562</f>
        <v>38857</v>
      </c>
      <c r="D211" s="174"/>
      <c r="E211" s="175">
        <f t="shared" si="11"/>
        <v>1795419</v>
      </c>
      <c r="H211" s="255"/>
    </row>
    <row r="212" spans="1:8" ht="12.6" customHeight="1" x14ac:dyDescent="0.25">
      <c r="A212" s="173" t="s">
        <v>336</v>
      </c>
      <c r="B212" s="277">
        <v>0</v>
      </c>
      <c r="C212" s="189">
        <v>0</v>
      </c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277">
        <v>4727471</v>
      </c>
      <c r="C213" s="189">
        <f>6054237-138229-4727471</f>
        <v>1188537</v>
      </c>
      <c r="D213" s="174"/>
      <c r="E213" s="175">
        <f t="shared" si="11"/>
        <v>5916008</v>
      </c>
      <c r="H213" s="255"/>
    </row>
    <row r="214" spans="1:8" ht="12.6" customHeight="1" x14ac:dyDescent="0.25">
      <c r="A214" s="173" t="s">
        <v>338</v>
      </c>
      <c r="B214" s="277">
        <v>0</v>
      </c>
      <c r="C214" s="189">
        <v>0</v>
      </c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277">
        <v>0</v>
      </c>
      <c r="C215" s="189">
        <v>0</v>
      </c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277">
        <v>0</v>
      </c>
      <c r="C216" s="189">
        <v>0</v>
      </c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19618022</v>
      </c>
      <c r="C217" s="191">
        <f>SUM(C208:C216)</f>
        <v>1750558</v>
      </c>
      <c r="D217" s="175">
        <f>SUM(D208:D216)</f>
        <v>0</v>
      </c>
      <c r="E217" s="175">
        <f>SUM(E208:E216)</f>
        <v>21368580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0</v>
      </c>
      <c r="D221" s="172">
        <f>C221</f>
        <v>0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13313-390508+3137451+11985690</f>
        <v>14745946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46626+712950</f>
        <v>759576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-95325+164288+5956908+4146344</f>
        <v>10172215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105308+87323</f>
        <v>192631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25870368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f>114+485</f>
        <v>599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1222402+123098</f>
        <v>1345500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-1963+2909+342236+55136-204+3708+2051395+286604-1345500</f>
        <v>1394321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2739821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105023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726490+23834</f>
        <v>750324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855347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29465536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256081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5382820+15738</f>
        <v>5398558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4080663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18904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716220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287496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2596596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2862934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206831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20324673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1850426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7956434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50895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33252193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158391+13498762+1795419+6054237-138229</f>
        <v>21368580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11883613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14480209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16174+164398+351681</f>
        <v>532253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599327+45849+1144914</f>
        <v>1790090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419+116-306</f>
        <v>229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56893-5997</f>
        <v>50896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2373468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12106739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14480207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14480209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11337625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27126856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38464481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0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26725715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-1963+2909+342236+55136-204+3708+2051395+286604</f>
        <v>2739821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29465536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8998945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232636+3416175+962980-2742058</f>
        <v>1869733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1869733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10868678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14430256+2711</f>
        <v>14432967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2941141+1137321</f>
        <v>4078462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321600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2747505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411234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254091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1042751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15049+63391</f>
        <v>78440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36222+69563</f>
        <v>105785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1231690+15188</f>
        <v>1246878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24719713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-13851035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165327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-13685708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-13685708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Shriners Hospitals for Children - Spokane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164</v>
      </c>
      <c r="C414" s="194">
        <f>E138</f>
        <v>164</v>
      </c>
      <c r="D414" s="179"/>
    </row>
    <row r="415" spans="1:5" ht="12.6" customHeight="1" x14ac:dyDescent="0.25">
      <c r="A415" s="179" t="s">
        <v>464</v>
      </c>
      <c r="B415" s="179">
        <f>D111</f>
        <v>694</v>
      </c>
      <c r="C415" s="179">
        <f>E139</f>
        <v>694</v>
      </c>
      <c r="D415" s="194">
        <f>SUM(C59:H59)+N59</f>
        <v>694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14432967</v>
      </c>
      <c r="C427" s="179">
        <f t="shared" ref="C427:C434" si="13">CE61</f>
        <v>14430256</v>
      </c>
      <c r="D427" s="179"/>
    </row>
    <row r="428" spans="1:7" ht="12.6" customHeight="1" x14ac:dyDescent="0.25">
      <c r="A428" s="179" t="s">
        <v>3</v>
      </c>
      <c r="B428" s="179">
        <f t="shared" si="12"/>
        <v>4078462</v>
      </c>
      <c r="C428" s="179">
        <f t="shared" si="13"/>
        <v>4078459</v>
      </c>
      <c r="D428" s="179">
        <f>D173</f>
        <v>4078462</v>
      </c>
    </row>
    <row r="429" spans="1:7" ht="12.6" customHeight="1" x14ac:dyDescent="0.25">
      <c r="A429" s="179" t="s">
        <v>236</v>
      </c>
      <c r="B429" s="179">
        <f t="shared" si="12"/>
        <v>321600</v>
      </c>
      <c r="C429" s="179">
        <f t="shared" si="13"/>
        <v>0</v>
      </c>
      <c r="D429" s="179"/>
    </row>
    <row r="430" spans="1:7" ht="12.6" customHeight="1" x14ac:dyDescent="0.25">
      <c r="A430" s="179" t="s">
        <v>237</v>
      </c>
      <c r="B430" s="179">
        <f t="shared" si="12"/>
        <v>2747505</v>
      </c>
      <c r="C430" s="179">
        <f t="shared" si="13"/>
        <v>1</v>
      </c>
      <c r="D430" s="179"/>
    </row>
    <row r="431" spans="1:7" ht="12.6" customHeight="1" x14ac:dyDescent="0.25">
      <c r="A431" s="179" t="s">
        <v>444</v>
      </c>
      <c r="B431" s="179">
        <f t="shared" si="12"/>
        <v>411234</v>
      </c>
      <c r="C431" s="179">
        <f t="shared" si="13"/>
        <v>0</v>
      </c>
      <c r="D431" s="179"/>
    </row>
    <row r="432" spans="1:7" ht="12.6" customHeight="1" x14ac:dyDescent="0.25">
      <c r="A432" s="179" t="s">
        <v>445</v>
      </c>
      <c r="B432" s="179">
        <f t="shared" si="12"/>
        <v>254091</v>
      </c>
      <c r="C432" s="179">
        <f t="shared" si="13"/>
        <v>0</v>
      </c>
      <c r="D432" s="179"/>
    </row>
    <row r="433" spans="1:7" ht="12.6" customHeight="1" x14ac:dyDescent="0.25">
      <c r="A433" s="179" t="s">
        <v>6</v>
      </c>
      <c r="B433" s="179">
        <f t="shared" si="12"/>
        <v>1042751</v>
      </c>
      <c r="C433" s="179">
        <f t="shared" si="13"/>
        <v>1042750</v>
      </c>
      <c r="D433" s="179">
        <f>C217</f>
        <v>1750558</v>
      </c>
    </row>
    <row r="434" spans="1:7" ht="12.6" customHeight="1" x14ac:dyDescent="0.25">
      <c r="A434" s="179" t="s">
        <v>474</v>
      </c>
      <c r="B434" s="179">
        <f t="shared" si="12"/>
        <v>78440</v>
      </c>
      <c r="C434" s="179">
        <f t="shared" si="13"/>
        <v>0</v>
      </c>
      <c r="D434" s="179">
        <f>D177</f>
        <v>332531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105785</v>
      </c>
      <c r="C436" s="179"/>
      <c r="D436" s="179">
        <f>D186</f>
        <v>105785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105785</v>
      </c>
      <c r="C438" s="194">
        <f>CD69</f>
        <v>0</v>
      </c>
      <c r="D438" s="194">
        <f>D181+D186+D190</f>
        <v>105785</v>
      </c>
    </row>
    <row r="439" spans="1:7" ht="12.6" customHeight="1" x14ac:dyDescent="0.25">
      <c r="A439" s="179" t="s">
        <v>451</v>
      </c>
      <c r="B439" s="194">
        <f>C389</f>
        <v>1246878</v>
      </c>
      <c r="C439" s="194">
        <f>SUM(C69:CC69)</f>
        <v>0</v>
      </c>
      <c r="D439" s="179"/>
    </row>
    <row r="440" spans="1:7" ht="12.6" customHeight="1" x14ac:dyDescent="0.25">
      <c r="A440" s="179" t="s">
        <v>477</v>
      </c>
      <c r="B440" s="194">
        <f>B438+B439</f>
        <v>1352663</v>
      </c>
      <c r="C440" s="194">
        <f>CE69</f>
        <v>0</v>
      </c>
      <c r="D440" s="179"/>
    </row>
    <row r="441" spans="1:7" ht="12.6" customHeight="1" x14ac:dyDescent="0.25">
      <c r="A441" s="179" t="s">
        <v>478</v>
      </c>
      <c r="B441" s="179">
        <f>D390</f>
        <v>24719713</v>
      </c>
      <c r="C441" s="179">
        <f>SUM(C427:C437)+C440</f>
        <v>19551466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0</v>
      </c>
      <c r="C444" s="179">
        <f>C363</f>
        <v>0</v>
      </c>
      <c r="D444" s="179"/>
    </row>
    <row r="445" spans="1:7" ht="12.6" customHeight="1" x14ac:dyDescent="0.25">
      <c r="A445" s="179" t="s">
        <v>343</v>
      </c>
      <c r="B445" s="179">
        <f>D229</f>
        <v>25870368</v>
      </c>
      <c r="C445" s="179">
        <f>C364</f>
        <v>26725715</v>
      </c>
      <c r="D445" s="179"/>
    </row>
    <row r="446" spans="1:7" ht="12.6" customHeight="1" x14ac:dyDescent="0.25">
      <c r="A446" s="179" t="s">
        <v>351</v>
      </c>
      <c r="B446" s="179">
        <f>D236</f>
        <v>2739821</v>
      </c>
      <c r="C446" s="179">
        <f>C365</f>
        <v>2739821</v>
      </c>
      <c r="D446" s="179"/>
    </row>
    <row r="447" spans="1:7" ht="12.6" customHeight="1" x14ac:dyDescent="0.25">
      <c r="A447" s="179" t="s">
        <v>356</v>
      </c>
      <c r="B447" s="179">
        <f>D240</f>
        <v>855347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29465536</v>
      </c>
      <c r="C448" s="179">
        <f>D367</f>
        <v>29465536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599</v>
      </c>
    </row>
    <row r="454" spans="1:7" ht="12.6" customHeight="1" x14ac:dyDescent="0.25">
      <c r="A454" s="179" t="s">
        <v>168</v>
      </c>
      <c r="B454" s="179">
        <f>C233</f>
        <v>1345500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1394321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1869733</v>
      </c>
      <c r="C458" s="194">
        <f>CE70</f>
        <v>1869733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11337625</v>
      </c>
      <c r="C463" s="194">
        <f>CE73</f>
        <v>10007349</v>
      </c>
      <c r="D463" s="194">
        <f>E141+E147+E153</f>
        <v>11337625</v>
      </c>
    </row>
    <row r="464" spans="1:7" ht="12.6" customHeight="1" x14ac:dyDescent="0.25">
      <c r="A464" s="179" t="s">
        <v>246</v>
      </c>
      <c r="B464" s="194">
        <f>C360</f>
        <v>27126856</v>
      </c>
      <c r="C464" s="194">
        <f>CE74</f>
        <v>21657868</v>
      </c>
      <c r="D464" s="194">
        <f>E142+E148+E154</f>
        <v>27126856</v>
      </c>
    </row>
    <row r="465" spans="1:7" ht="12.6" customHeight="1" x14ac:dyDescent="0.25">
      <c r="A465" s="179" t="s">
        <v>247</v>
      </c>
      <c r="B465" s="194">
        <f>D361</f>
        <v>38464481</v>
      </c>
      <c r="C465" s="194">
        <f>CE75</f>
        <v>31665217</v>
      </c>
      <c r="D465" s="194">
        <f>D463+D464</f>
        <v>38464481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2862934</v>
      </c>
      <c r="C468" s="179">
        <f>E195</f>
        <v>2862934</v>
      </c>
      <c r="D468" s="179"/>
    </row>
    <row r="469" spans="1:7" ht="12.6" customHeight="1" x14ac:dyDescent="0.25">
      <c r="A469" s="179" t="s">
        <v>333</v>
      </c>
      <c r="B469" s="179">
        <f t="shared" si="14"/>
        <v>206831</v>
      </c>
      <c r="C469" s="179">
        <f>E196</f>
        <v>206831</v>
      </c>
      <c r="D469" s="179"/>
    </row>
    <row r="470" spans="1:7" ht="12.6" customHeight="1" x14ac:dyDescent="0.25">
      <c r="A470" s="179" t="s">
        <v>334</v>
      </c>
      <c r="B470" s="179">
        <f t="shared" si="14"/>
        <v>20324673</v>
      </c>
      <c r="C470" s="179">
        <f>E197</f>
        <v>20324673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1850426</v>
      </c>
      <c r="D471" s="179"/>
    </row>
    <row r="472" spans="1:7" ht="12.6" customHeight="1" x14ac:dyDescent="0.25">
      <c r="A472" s="179" t="s">
        <v>377</v>
      </c>
      <c r="B472" s="179">
        <f t="shared" si="14"/>
        <v>1850426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7956434</v>
      </c>
      <c r="C473" s="179">
        <f>SUM(E200:E201)</f>
        <v>7956434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50895</v>
      </c>
      <c r="C475" s="179">
        <f>E203</f>
        <v>50895</v>
      </c>
      <c r="D475" s="179"/>
    </row>
    <row r="476" spans="1:7" ht="12.6" customHeight="1" x14ac:dyDescent="0.25">
      <c r="A476" s="179" t="s">
        <v>203</v>
      </c>
      <c r="B476" s="179">
        <f>D275</f>
        <v>33252193</v>
      </c>
      <c r="C476" s="179">
        <f>E204</f>
        <v>33252193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21368580</v>
      </c>
      <c r="C478" s="179">
        <f>E217</f>
        <v>21368580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14480209</v>
      </c>
    </row>
    <row r="482" spans="1:12" ht="12.6" customHeight="1" x14ac:dyDescent="0.25">
      <c r="A482" s="180" t="s">
        <v>499</v>
      </c>
      <c r="C482" s="180">
        <f>D339</f>
        <v>14480207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042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2222229</v>
      </c>
      <c r="C498" s="236">
        <f>E71</f>
        <v>2456544</v>
      </c>
      <c r="D498" s="236">
        <v>829</v>
      </c>
      <c r="E498" s="180">
        <f>E59</f>
        <v>694</v>
      </c>
      <c r="F498" s="259">
        <f t="shared" si="15"/>
        <v>2680.6139927623644</v>
      </c>
      <c r="G498" s="259">
        <f t="shared" si="15"/>
        <v>3539.6887608069164</v>
      </c>
      <c r="H498" s="261">
        <f t="shared" si="16"/>
        <v>0.32047686476458259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2582873</v>
      </c>
      <c r="C509" s="236">
        <f>P71</f>
        <v>2698764</v>
      </c>
      <c r="D509" s="236">
        <v>120720</v>
      </c>
      <c r="E509" s="180">
        <f>P59</f>
        <v>0</v>
      </c>
      <c r="F509" s="259">
        <f t="shared" si="15"/>
        <v>21.395568257123923</v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347172</v>
      </c>
      <c r="C510" s="236">
        <f>Q71</f>
        <v>258394</v>
      </c>
      <c r="D510" s="236">
        <v>37740</v>
      </c>
      <c r="E510" s="180">
        <f>Q59</f>
        <v>0</v>
      </c>
      <c r="F510" s="259">
        <f t="shared" si="15"/>
        <v>9.199046104928458</v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1834867</v>
      </c>
      <c r="C511" s="236">
        <f>R71</f>
        <v>2391009</v>
      </c>
      <c r="D511" s="236">
        <v>120480</v>
      </c>
      <c r="E511" s="180">
        <f>R59</f>
        <v>0</v>
      </c>
      <c r="F511" s="259">
        <f t="shared" si="15"/>
        <v>15.229639774236388</v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0</v>
      </c>
      <c r="C512" s="236">
        <f>S71</f>
        <v>145239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199450</v>
      </c>
      <c r="C514" s="236">
        <f>U71</f>
        <v>173839</v>
      </c>
      <c r="D514" s="236">
        <v>2140</v>
      </c>
      <c r="E514" s="180">
        <f>U59</f>
        <v>0</v>
      </c>
      <c r="F514" s="259">
        <f t="shared" si="17"/>
        <v>93.200934579439249</v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0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0</v>
      </c>
      <c r="C517" s="236">
        <f>X71</f>
        <v>0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443982</v>
      </c>
      <c r="C518" s="236">
        <f>Y71</f>
        <v>447573</v>
      </c>
      <c r="D518" s="236">
        <v>8807</v>
      </c>
      <c r="E518" s="180">
        <f>Y59</f>
        <v>0</v>
      </c>
      <c r="F518" s="259">
        <f t="shared" si="17"/>
        <v>50.412399227886908</v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337724</v>
      </c>
      <c r="C521" s="236">
        <f>AB71</f>
        <v>352622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395771</v>
      </c>
      <c r="C522" s="236">
        <f>AC71</f>
        <v>377011</v>
      </c>
      <c r="D522" s="236">
        <v>1559</v>
      </c>
      <c r="E522" s="180">
        <f>AC59</f>
        <v>0</v>
      </c>
      <c r="F522" s="259">
        <f t="shared" si="17"/>
        <v>253.86209108402824</v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528785</v>
      </c>
      <c r="C524" s="236">
        <f>AE71</f>
        <v>548808</v>
      </c>
      <c r="D524" s="236">
        <v>6480</v>
      </c>
      <c r="E524" s="180">
        <f>AE59</f>
        <v>0</v>
      </c>
      <c r="F524" s="259">
        <f t="shared" si="17"/>
        <v>81.602623456790127</v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0</v>
      </c>
      <c r="C526" s="236">
        <f>AG71</f>
        <v>0</v>
      </c>
      <c r="D526" s="236"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846470</v>
      </c>
      <c r="C529" s="236">
        <f>AJ71</f>
        <v>903792</v>
      </c>
      <c r="D529" s="236">
        <v>9685</v>
      </c>
      <c r="E529" s="180">
        <f>AJ59</f>
        <v>0</v>
      </c>
      <c r="F529" s="259">
        <f t="shared" si="18"/>
        <v>87.40010325245224</v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438945</v>
      </c>
      <c r="C530" s="236">
        <f>AK71</f>
        <v>919548</v>
      </c>
      <c r="D530" s="236">
        <v>1030</v>
      </c>
      <c r="E530" s="180">
        <f>AK59</f>
        <v>0</v>
      </c>
      <c r="F530" s="259">
        <f t="shared" si="18"/>
        <v>426.16019417475729</v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23906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521060</v>
      </c>
      <c r="C544" s="236">
        <f>AY71</f>
        <v>51761</v>
      </c>
      <c r="D544" s="236">
        <v>5173</v>
      </c>
      <c r="E544" s="180">
        <f>AY59</f>
        <v>4740</v>
      </c>
      <c r="F544" s="259">
        <f t="shared" ref="F544:G550" si="19">IF(B544=0,"",IF(D544=0,"",B544/D544))</f>
        <v>100.72685095689155</v>
      </c>
      <c r="G544" s="259">
        <f t="shared" si="19"/>
        <v>10.920042194092828</v>
      </c>
      <c r="H544" s="261">
        <f t="shared" si="16"/>
        <v>-0.89158757480896211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15658</v>
      </c>
      <c r="C545" s="236">
        <f>AZ71</f>
        <v>558640</v>
      </c>
      <c r="D545" s="236">
        <v>26612</v>
      </c>
      <c r="E545" s="180">
        <f>AZ59</f>
        <v>19660</v>
      </c>
      <c r="F545" s="259">
        <f t="shared" si="19"/>
        <v>0.58838118142191498</v>
      </c>
      <c r="G545" s="259">
        <f t="shared" si="19"/>
        <v>28.415055951169887</v>
      </c>
      <c r="H545" s="261">
        <f t="shared" si="16"/>
        <v>47.293617893251565</v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96874</v>
      </c>
      <c r="C546" s="236">
        <f>BA71</f>
        <v>85448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711105</v>
      </c>
      <c r="C547" s="236">
        <f>BB71</f>
        <v>738312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148446</v>
      </c>
      <c r="C549" s="236">
        <f>BD71</f>
        <v>2879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0</v>
      </c>
      <c r="C550" s="236">
        <f>BE71</f>
        <v>98610</v>
      </c>
      <c r="D550" s="236">
        <v>88741</v>
      </c>
      <c r="E550" s="180">
        <f>BE59</f>
        <v>88741</v>
      </c>
      <c r="F550" s="259" t="str">
        <f t="shared" si="19"/>
        <v/>
      </c>
      <c r="G550" s="259">
        <f t="shared" si="19"/>
        <v>1.1112112777633789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367754</v>
      </c>
      <c r="C551" s="236">
        <f>BF71</f>
        <v>387898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3271681</v>
      </c>
      <c r="C559" s="236">
        <f>BN71</f>
        <v>3555327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581649</v>
      </c>
      <c r="C562" s="236">
        <f>BQ71</f>
        <v>535780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236027</v>
      </c>
      <c r="C563" s="236">
        <f>BR71</f>
        <v>213562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255776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273899</v>
      </c>
      <c r="C567" s="236">
        <f>BV71</f>
        <v>12467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665545</v>
      </c>
      <c r="C570" s="236">
        <f>BY71</f>
        <v>656955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0</v>
      </c>
      <c r="C574" s="236">
        <f>CC71</f>
        <v>724908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-2052171</v>
      </c>
      <c r="C575" s="236">
        <f>CD71</f>
        <v>-1869733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80349</v>
      </c>
      <c r="E612" s="180">
        <f>SUM(C624:D647)+SUM(C668:D713)</f>
        <v>13277699.342269352</v>
      </c>
      <c r="F612" s="180">
        <f>CE64-(AX64+BD64+BE64+BG64+BJ64+BN64+BP64+BQ64+CB64+CC64+CD64)</f>
        <v>1</v>
      </c>
      <c r="G612" s="180">
        <f>CE77-(AX77+AY77+BD77+BE77+BG77+BJ77+BN77+BP77+BQ77+CB77+CC77+CD77)</f>
        <v>4740</v>
      </c>
      <c r="H612" s="197">
        <f>CE60-(AX60+AY60+AZ60+BD60+BE60+BG60+BJ60+BN60+BO60+BP60+BQ60+BR60+CB60+CC60+CD60)</f>
        <v>60.03</v>
      </c>
      <c r="I612" s="180">
        <f>CE78-(AX78+AY78+AZ78+BD78+BE78+BF78+BG78+BJ78+BN78+BO78+BP78+BQ78+BR78+CB78+CC78+CD78)</f>
        <v>54434</v>
      </c>
      <c r="J612" s="180">
        <f>CE79-(AX79+AY79+AZ79+BA79+BD79+BE79+BF79+BG79+BJ79+BN79+BO79+BP79+BQ79+BR79+CB79+CC79+CD79)</f>
        <v>53472</v>
      </c>
      <c r="K612" s="180">
        <f>CE75-(AW75+AX75+AY75+AZ75+BA75+BB75+BC75+BD75+BE75+BF75+BG75+BH75+BI75+BJ75+BK75+BL75+BM75+BN75+BO75+BP75+BQ75+BR75+BS75+BT75+BU75+BV75+BW75+BX75+CB75+CC75+CD75)</f>
        <v>31665217</v>
      </c>
      <c r="L612" s="197">
        <f>CE80-(AW80+AX80+AY80+AZ80+BA80+BB80+BC80+BD80+BE80+BF80+BG80+BH80+BI80+BJ80+BK80+BL80+BM80+BN80+BO80+BP80+BQ80+BR80+BS80+BT80+BU80+BV80+BW80+BX80+BY80+BZ80+CA80+CB80+CC80+CD80)</f>
        <v>39.61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98610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-1869733</v>
      </c>
      <c r="D615" s="262">
        <f>SUM(C614:C615)</f>
        <v>-1771123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3555327</v>
      </c>
      <c r="D619" s="180">
        <f>(D615/D612)*BN76</f>
        <v>-294536.90184071986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724908</v>
      </c>
      <c r="D620" s="180">
        <f>(D615/D612)*CC76</f>
        <v>-117444.4404286301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535780</v>
      </c>
      <c r="D623" s="180">
        <f>(D615/D612)*BQ76</f>
        <v>0</v>
      </c>
      <c r="E623" s="180">
        <f>SUM(C616:D623)</f>
        <v>4404033.6577306502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2879</v>
      </c>
      <c r="D624" s="180">
        <f>(D615/D612)*BD76</f>
        <v>-5400.5044866768721</v>
      </c>
      <c r="E624" s="180">
        <f>(E623/E612)*SUM(C624:D624)</f>
        <v>-836.34900453664136</v>
      </c>
      <c r="F624" s="180">
        <f>SUM(C624:E624)</f>
        <v>-3357.8534912135137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51761</v>
      </c>
      <c r="D625" s="180">
        <f>(D615/D612)*AY76</f>
        <v>-97098.866382904584</v>
      </c>
      <c r="E625" s="180">
        <f>(E623/E612)*SUM(C625:D625)</f>
        <v>-15037.958336981015</v>
      </c>
      <c r="F625" s="180">
        <f>(F624/F612)*AY64</f>
        <v>0</v>
      </c>
      <c r="G625" s="180">
        <f>SUM(C625:F625)</f>
        <v>-60375.824719885597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213562</v>
      </c>
      <c r="D626" s="180">
        <f>(D615/D612)*BR76</f>
        <v>-9125.7504387111221</v>
      </c>
      <c r="E626" s="180">
        <f>(E623/E612)*SUM(C626:D626)</f>
        <v>67808.74462655645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558640</v>
      </c>
      <c r="D628" s="180">
        <f>(D615/D612)*AZ76</f>
        <v>-31719.697780930688</v>
      </c>
      <c r="E628" s="180">
        <f>(E623/E612)*SUM(C628:D628)</f>
        <v>174772.35220463786</v>
      </c>
      <c r="F628" s="180">
        <f>(F624/F612)*AZ64</f>
        <v>0</v>
      </c>
      <c r="G628" s="180">
        <f>(G625/G612)*AZ77</f>
        <v>0</v>
      </c>
      <c r="H628" s="180">
        <f>SUM(C626:G628)</f>
        <v>973937.64861155255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387898</v>
      </c>
      <c r="D629" s="180">
        <f>(D615/D612)*BF76</f>
        <v>-15914.956079104904</v>
      </c>
      <c r="E629" s="180">
        <f>(E623/E612)*SUM(C629:D629)</f>
        <v>123381.75487356111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495364.79879445618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85448</v>
      </c>
      <c r="D630" s="180">
        <f>(D615/D612)*BA76</f>
        <v>-35577.200985699885</v>
      </c>
      <c r="E630" s="180">
        <f>(E623/E612)*SUM(C630:D630)</f>
        <v>16541.470908118921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14687.856583279792</v>
      </c>
      <c r="J630" s="180">
        <f>SUM(C630:I630)</f>
        <v>81100.126505698834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738312</v>
      </c>
      <c r="D632" s="180">
        <f>(D615/D612)*BB76</f>
        <v>-42035.763494256309</v>
      </c>
      <c r="E632" s="180">
        <f>(E623/E612)*SUM(C632:D632)</f>
        <v>230945.42974680921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17354.239469835542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255776</v>
      </c>
      <c r="D641" s="180">
        <f>(D615/D612)*BU76</f>
        <v>0</v>
      </c>
      <c r="E641" s="180">
        <f>(E623/E612)*SUM(C641:D641)</f>
        <v>84837.446895162837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12467</v>
      </c>
      <c r="D642" s="180">
        <f>(D615/D612)*BV76</f>
        <v>-23387.490858629229</v>
      </c>
      <c r="E642" s="180">
        <f>(E623/E612)*SUM(C642:D642)</f>
        <v>-3622.1794198363746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9655.4001455141643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1280302.0824846001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656955</v>
      </c>
      <c r="D645" s="180">
        <f>(D615/D612)*BY76</f>
        <v>-29074.552726231814</v>
      </c>
      <c r="E645" s="180">
        <f>(E623/E612)*SUM(C645:D645)</f>
        <v>208259.46962224523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12003.273130945507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848143.19002695882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6008590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2456544</v>
      </c>
      <c r="D670" s="180">
        <f>(D615/D612)*E76</f>
        <v>-357513.39701800892</v>
      </c>
      <c r="E670" s="180">
        <f>(E623/E612)*SUM(C670:D670)</f>
        <v>696220.11960389686</v>
      </c>
      <c r="F670" s="180">
        <f>(F624/F612)*E64</f>
        <v>-3357.8534912135137</v>
      </c>
      <c r="G670" s="180">
        <f>(G625/G612)*E77</f>
        <v>-60375.824719885597</v>
      </c>
      <c r="H670" s="180">
        <f>(H628/H612)*E60</f>
        <v>262182.78196839395</v>
      </c>
      <c r="I670" s="180">
        <f>(I629/I612)*E78</f>
        <v>147597.48818105017</v>
      </c>
      <c r="J670" s="180">
        <f>(J630/J612)*E79</f>
        <v>36339.748486619988</v>
      </c>
      <c r="K670" s="180">
        <f>(K644/K612)*E75</f>
        <v>64852.587381641941</v>
      </c>
      <c r="L670" s="180">
        <f>(L647/L612)*E80</f>
        <v>346023.57866285421</v>
      </c>
      <c r="M670" s="180">
        <f t="shared" si="20"/>
        <v>1131969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2698764</v>
      </c>
      <c r="D681" s="180">
        <f>(D615/D612)*P76</f>
        <v>-90111.274863408384</v>
      </c>
      <c r="E681" s="180">
        <f>(E623/E612)*SUM(C681:D681)</f>
        <v>865254.89896119037</v>
      </c>
      <c r="F681" s="180">
        <f>(F624/F612)*P64</f>
        <v>0</v>
      </c>
      <c r="G681" s="180">
        <f>(G625/G612)*P77</f>
        <v>0</v>
      </c>
      <c r="H681" s="180">
        <f>(H628/H612)*P60</f>
        <v>132551.56736892194</v>
      </c>
      <c r="I681" s="180">
        <f>(I629/I612)*P78</f>
        <v>37201.956451330727</v>
      </c>
      <c r="J681" s="180">
        <f>(J630/J612)*P79</f>
        <v>26849.856738674192</v>
      </c>
      <c r="K681" s="180">
        <f>(K644/K612)*P75</f>
        <v>421973.31301272236</v>
      </c>
      <c r="L681" s="180">
        <f>(L647/L612)*P80</f>
        <v>174938.90084625737</v>
      </c>
      <c r="M681" s="180">
        <f t="shared" si="20"/>
        <v>1568659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258394</v>
      </c>
      <c r="D682" s="180">
        <f>(D615/D612)*Q76</f>
        <v>-31080.454392711796</v>
      </c>
      <c r="E682" s="180">
        <f>(E623/E612)*SUM(C682:D682)</f>
        <v>75396.834941548426</v>
      </c>
      <c r="F682" s="180">
        <f>(F624/F612)*Q64</f>
        <v>0</v>
      </c>
      <c r="G682" s="180">
        <f>(G625/G612)*Q77</f>
        <v>0</v>
      </c>
      <c r="H682" s="180">
        <f>(H628/H612)*Q60</f>
        <v>31637.155002374267</v>
      </c>
      <c r="I682" s="180">
        <f>(I629/I612)*Q78</f>
        <v>12831.398873868964</v>
      </c>
      <c r="J682" s="180">
        <f>(J630/J612)*Q79</f>
        <v>0</v>
      </c>
      <c r="K682" s="180">
        <f>(K644/K612)*Q75</f>
        <v>43300.599244584686</v>
      </c>
      <c r="L682" s="180">
        <f>(L647/L612)*Q80</f>
        <v>41754.082821322132</v>
      </c>
      <c r="M682" s="180">
        <f t="shared" si="20"/>
        <v>173840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2391009</v>
      </c>
      <c r="D683" s="180">
        <f>(D615/D612)*R76</f>
        <v>-11881.109870689119</v>
      </c>
      <c r="E683" s="180">
        <f>(E623/E612)*SUM(C683:D683)</f>
        <v>789124.60917226889</v>
      </c>
      <c r="F683" s="180">
        <f>(F624/F612)*R64</f>
        <v>0</v>
      </c>
      <c r="G683" s="180">
        <f>(G625/G612)*R77</f>
        <v>0</v>
      </c>
      <c r="H683" s="180">
        <f>(H628/H612)*R60</f>
        <v>70250.708287323374</v>
      </c>
      <c r="I683" s="180">
        <f>(I629/I612)*R78</f>
        <v>4905.0524773158668</v>
      </c>
      <c r="J683" s="180">
        <f>(J630/J612)*R79</f>
        <v>0</v>
      </c>
      <c r="K683" s="180">
        <f>(K644/K612)*R75</f>
        <v>154241.52195306044</v>
      </c>
      <c r="L683" s="180">
        <f>(L647/L612)*R80</f>
        <v>92715.476213499918</v>
      </c>
      <c r="M683" s="180">
        <f t="shared" si="20"/>
        <v>1099356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145239</v>
      </c>
      <c r="D684" s="180">
        <f>(D615/D612)*S76</f>
        <v>0</v>
      </c>
      <c r="E684" s="180">
        <f>(E623/E612)*SUM(C684:D684)</f>
        <v>48173.815954610895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164761.92233295506</v>
      </c>
      <c r="L684" s="180">
        <f>(L647/L612)*S80</f>
        <v>0</v>
      </c>
      <c r="M684" s="180">
        <f t="shared" si="20"/>
        <v>212936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173839</v>
      </c>
      <c r="D686" s="180">
        <f>(D615/D612)*U76</f>
        <v>-10161.765585134848</v>
      </c>
      <c r="E686" s="180">
        <f>(E623/E612)*SUM(C686:D686)</f>
        <v>54289.529442239465</v>
      </c>
      <c r="F686" s="180">
        <f>(F624/F612)*U64</f>
        <v>0</v>
      </c>
      <c r="G686" s="180">
        <f>(G625/G612)*U77</f>
        <v>0</v>
      </c>
      <c r="H686" s="180">
        <f>(H628/H612)*U60</f>
        <v>20604.711206674525</v>
      </c>
      <c r="I686" s="180">
        <f>(I629/I612)*U78</f>
        <v>4195.2304119529026</v>
      </c>
      <c r="J686" s="180">
        <f>(J630/J612)*U79</f>
        <v>0</v>
      </c>
      <c r="K686" s="180">
        <f>(K644/K612)*U75</f>
        <v>7502.2398047996185</v>
      </c>
      <c r="L686" s="180">
        <f>(L647/L612)*U80</f>
        <v>0</v>
      </c>
      <c r="M686" s="180">
        <f t="shared" si="20"/>
        <v>76430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447573</v>
      </c>
      <c r="D690" s="180">
        <f>(D615/D612)*Y76</f>
        <v>-71000.101843209006</v>
      </c>
      <c r="E690" s="180">
        <f>(E623/E612)*SUM(C690:D690)</f>
        <v>124904.14757261949</v>
      </c>
      <c r="F690" s="180">
        <f>(F624/F612)*Y64</f>
        <v>0</v>
      </c>
      <c r="G690" s="180">
        <f>(G625/G612)*Y77</f>
        <v>0</v>
      </c>
      <c r="H690" s="180">
        <f>(H628/H612)*Y60</f>
        <v>68141.564620498437</v>
      </c>
      <c r="I690" s="180">
        <f>(I629/I612)*Y78</f>
        <v>29312.011186334705</v>
      </c>
      <c r="J690" s="180">
        <f>(J630/J612)*Y79</f>
        <v>3884.2277076057508</v>
      </c>
      <c r="K690" s="180">
        <f>(K644/K612)*Y75</f>
        <v>131565.22887258057</v>
      </c>
      <c r="L690" s="180">
        <f>(L647/L612)*Y80</f>
        <v>0</v>
      </c>
      <c r="M690" s="180">
        <f t="shared" si="20"/>
        <v>286807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352622</v>
      </c>
      <c r="D693" s="180">
        <f>(D615/D612)*AB76</f>
        <v>-6612.8626367471907</v>
      </c>
      <c r="E693" s="180">
        <f>(E623/E612)*SUM(C693:D693)</f>
        <v>114766.56064797349</v>
      </c>
      <c r="F693" s="180">
        <f>(F624/F612)*AB64</f>
        <v>0</v>
      </c>
      <c r="G693" s="180">
        <f>(G625/G612)*AB77</f>
        <v>0</v>
      </c>
      <c r="H693" s="180">
        <f>(H628/H612)*AB60</f>
        <v>25634.207642949408</v>
      </c>
      <c r="I693" s="180">
        <f>(I629/I612)*AB78</f>
        <v>2730.0848667806308</v>
      </c>
      <c r="J693" s="180">
        <f>(J630/J612)*AB79</f>
        <v>0</v>
      </c>
      <c r="K693" s="180">
        <f>(K644/K612)*AB75</f>
        <v>86365.113454298858</v>
      </c>
      <c r="L693" s="180">
        <f>(L647/L612)*AB80</f>
        <v>0</v>
      </c>
      <c r="M693" s="180">
        <f t="shared" si="20"/>
        <v>222883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377011</v>
      </c>
      <c r="D694" s="180">
        <f>(D615/D612)*AC76</f>
        <v>-2270.4161719498688</v>
      </c>
      <c r="E694" s="180">
        <f>(E623/E612)*SUM(C694:D694)</f>
        <v>124296.39364121154</v>
      </c>
      <c r="F694" s="180">
        <f>(F624/F612)*AC64</f>
        <v>0</v>
      </c>
      <c r="G694" s="180">
        <f>(G625/G612)*AC77</f>
        <v>0</v>
      </c>
      <c r="H694" s="180">
        <f>(H628/H612)*AC60</f>
        <v>49970.480721698848</v>
      </c>
      <c r="I694" s="180">
        <f>(I629/I612)*AC78</f>
        <v>937.32913759468317</v>
      </c>
      <c r="J694" s="180">
        <f>(J630/J612)*AC79</f>
        <v>0</v>
      </c>
      <c r="K694" s="180">
        <f>(K644/K612)*AC75</f>
        <v>17075.105882212538</v>
      </c>
      <c r="L694" s="180">
        <f>(L647/L612)*AC80</f>
        <v>0</v>
      </c>
      <c r="M694" s="180">
        <f t="shared" si="20"/>
        <v>190009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548808</v>
      </c>
      <c r="D696" s="180">
        <f>(D615/D612)*AE76</f>
        <v>-115085.85275485694</v>
      </c>
      <c r="E696" s="180">
        <f>(E623/E612)*SUM(C696:D696)</f>
        <v>143859.78213032428</v>
      </c>
      <c r="F696" s="180">
        <f>(F624/F612)*AE64</f>
        <v>0</v>
      </c>
      <c r="G696" s="180">
        <f>(G625/G612)*AE77</f>
        <v>0</v>
      </c>
      <c r="H696" s="180">
        <f>(H628/H612)*AE60</f>
        <v>61814.133620023575</v>
      </c>
      <c r="I696" s="180">
        <f>(I629/I612)*AE78</f>
        <v>47512.576964872242</v>
      </c>
      <c r="J696" s="180">
        <f>(J630/J612)*AE79</f>
        <v>1146.6130991604637</v>
      </c>
      <c r="K696" s="180">
        <f>(K644/K612)*AE75</f>
        <v>42028.23069477472</v>
      </c>
      <c r="L696" s="180">
        <f>(L647/L612)*AE80</f>
        <v>0</v>
      </c>
      <c r="M696" s="180">
        <f t="shared" si="20"/>
        <v>181275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903792</v>
      </c>
      <c r="D701" s="180">
        <f>(D615/D612)*AJ76</f>
        <v>-193734.83238123686</v>
      </c>
      <c r="E701" s="180">
        <f>(E623/E612)*SUM(C701:D701)</f>
        <v>235516.37859058927</v>
      </c>
      <c r="F701" s="180">
        <f>(F624/F612)*AJ64</f>
        <v>0</v>
      </c>
      <c r="G701" s="180">
        <f>(G625/G612)*AJ77</f>
        <v>0</v>
      </c>
      <c r="H701" s="180">
        <f>(H628/H612)*AJ60</f>
        <v>146017.63847249662</v>
      </c>
      <c r="I701" s="180">
        <f>(I629/I612)*AJ78</f>
        <v>79982.386313783209</v>
      </c>
      <c r="J701" s="180">
        <f>(J630/J612)*AJ79</f>
        <v>10812.440190363686</v>
      </c>
      <c r="K701" s="180">
        <f>(K644/K612)*AJ75</f>
        <v>136681.34805177929</v>
      </c>
      <c r="L701" s="180">
        <f>(L647/L612)*AJ80</f>
        <v>192711.15148302523</v>
      </c>
      <c r="M701" s="180">
        <f t="shared" si="20"/>
        <v>607987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919548</v>
      </c>
      <c r="D702" s="180">
        <f>(D615/D612)*AK76</f>
        <v>-180354.80697955171</v>
      </c>
      <c r="E702" s="180">
        <f>(E623/E612)*SUM(C702:D702)</f>
        <v>245180.40495643902</v>
      </c>
      <c r="F702" s="180">
        <f>(F624/F612)*AK64</f>
        <v>0</v>
      </c>
      <c r="G702" s="180">
        <f>(G625/G612)*AK77</f>
        <v>0</v>
      </c>
      <c r="H702" s="180">
        <f>(H628/H612)*AK60</f>
        <v>105132.69970019758</v>
      </c>
      <c r="I702" s="180">
        <f>(I629/I612)*AK78</f>
        <v>74458.51459999707</v>
      </c>
      <c r="J702" s="180">
        <f>(J630/J612)*AK79</f>
        <v>2067.2402832747516</v>
      </c>
      <c r="K702" s="180">
        <f>(K644/K612)*AK75</f>
        <v>9954.8717991900503</v>
      </c>
      <c r="L702" s="180">
        <f>(L647/L612)*AK80</f>
        <v>0</v>
      </c>
      <c r="M702" s="180">
        <f t="shared" si="20"/>
        <v>256439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17681733</v>
      </c>
      <c r="D715" s="180">
        <f>SUM(D616:D647)+SUM(D668:D713)</f>
        <v>-1771123</v>
      </c>
      <c r="E715" s="180">
        <f>SUM(E624:E647)+SUM(E668:E713)</f>
        <v>4404033.6577306492</v>
      </c>
      <c r="F715" s="180">
        <f>SUM(F625:F648)+SUM(F668:F713)</f>
        <v>-3357.8534912135137</v>
      </c>
      <c r="G715" s="180">
        <f>SUM(G626:G647)+SUM(G668:G713)</f>
        <v>-60375.824719885597</v>
      </c>
      <c r="H715" s="180">
        <f>SUM(H629:H647)+SUM(H668:H713)</f>
        <v>973937.64861155255</v>
      </c>
      <c r="I715" s="180">
        <f>SUM(I630:I647)+SUM(I668:I713)</f>
        <v>495364.79879445618</v>
      </c>
      <c r="J715" s="180">
        <f>SUM(J631:J647)+SUM(J668:J713)</f>
        <v>81100.126505698834</v>
      </c>
      <c r="K715" s="180">
        <f>SUM(K668:K713)</f>
        <v>1280302.0824846001</v>
      </c>
      <c r="L715" s="180">
        <f>SUM(L668:L713)</f>
        <v>848143.19002695894</v>
      </c>
      <c r="M715" s="180">
        <f>SUM(M668:M713)</f>
        <v>6008590</v>
      </c>
      <c r="N715" s="198" t="s">
        <v>742</v>
      </c>
    </row>
    <row r="716" spans="1:15" ht="12.6" customHeight="1" x14ac:dyDescent="0.25">
      <c r="C716" s="180">
        <f>CE71</f>
        <v>17681733</v>
      </c>
      <c r="D716" s="180">
        <f>D615</f>
        <v>-1771123</v>
      </c>
      <c r="E716" s="180">
        <f>E623</f>
        <v>4404033.6577306502</v>
      </c>
      <c r="F716" s="180">
        <f>F624</f>
        <v>-3357.8534912135137</v>
      </c>
      <c r="G716" s="180">
        <f>G625</f>
        <v>-60375.824719885597</v>
      </c>
      <c r="H716" s="180">
        <f>H628</f>
        <v>973937.64861155255</v>
      </c>
      <c r="I716" s="180">
        <f>I629</f>
        <v>495364.79879445618</v>
      </c>
      <c r="J716" s="180">
        <f>J630</f>
        <v>81100.126505698834</v>
      </c>
      <c r="K716" s="180">
        <f>K644</f>
        <v>1280302.0824846001</v>
      </c>
      <c r="L716" s="180">
        <f>L647</f>
        <v>848143.19002695882</v>
      </c>
      <c r="M716" s="180">
        <f>C648</f>
        <v>6008590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35" sqref="E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Shriners Hospitals for Children - Spokane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H-042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911 W 5th Avenue Spokane Washington 99204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'2900 Rocky Point Drive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Tampa FL 33607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H-42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Shriners Hospitals for Children - Spokane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John McCabe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Sharon Russell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Von Chimienti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813-281-8610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813-281-7155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204</v>
      </c>
      <c r="G23" s="21">
        <f>data!D111</f>
        <v>619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30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Shriners Hospitals for Children - Spokane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0</v>
      </c>
      <c r="C7" s="48">
        <f>data!B139</f>
        <v>0</v>
      </c>
      <c r="D7" s="48">
        <f>data!B140</f>
        <v>4</v>
      </c>
      <c r="E7" s="48">
        <f>data!B141</f>
        <v>0</v>
      </c>
      <c r="F7" s="48">
        <f>data!B142</f>
        <v>3738</v>
      </c>
      <c r="G7" s="48">
        <f>data!B141+data!B142</f>
        <v>3738</v>
      </c>
    </row>
    <row r="8" spans="1:13" ht="20.100000000000001" customHeight="1" x14ac:dyDescent="0.25">
      <c r="A8" s="23" t="s">
        <v>297</v>
      </c>
      <c r="B8" s="48">
        <f>data!C138</f>
        <v>97</v>
      </c>
      <c r="C8" s="48">
        <f>data!C139</f>
        <v>306</v>
      </c>
      <c r="D8" s="48">
        <f>data!C140</f>
        <v>7968</v>
      </c>
      <c r="E8" s="48">
        <f>data!C141</f>
        <v>6279127</v>
      </c>
      <c r="F8" s="48">
        <f>data!C142</f>
        <v>12504432</v>
      </c>
      <c r="G8" s="48">
        <f>data!C141+data!C142</f>
        <v>18783559</v>
      </c>
    </row>
    <row r="9" spans="1:13" ht="20.100000000000001" customHeight="1" x14ac:dyDescent="0.25">
      <c r="A9" s="23" t="s">
        <v>794</v>
      </c>
      <c r="B9" s="48">
        <f>data!D138</f>
        <v>107</v>
      </c>
      <c r="C9" s="48">
        <f>data!D139</f>
        <v>313</v>
      </c>
      <c r="D9" s="48">
        <f>data!D140</f>
        <v>8334</v>
      </c>
      <c r="E9" s="48">
        <f>data!D141</f>
        <v>5826989</v>
      </c>
      <c r="F9" s="48">
        <f>data!D142</f>
        <v>13703531</v>
      </c>
      <c r="G9" s="48">
        <f>data!D141+data!D142</f>
        <v>19530520</v>
      </c>
    </row>
    <row r="10" spans="1:13" ht="20.100000000000001" customHeight="1" x14ac:dyDescent="0.25">
      <c r="A10" s="111" t="s">
        <v>203</v>
      </c>
      <c r="B10" s="48">
        <f>data!E138</f>
        <v>204</v>
      </c>
      <c r="C10" s="48">
        <f>data!E139</f>
        <v>619</v>
      </c>
      <c r="D10" s="48">
        <f>data!E140</f>
        <v>16306</v>
      </c>
      <c r="E10" s="48">
        <f>data!E141</f>
        <v>12106116</v>
      </c>
      <c r="F10" s="48">
        <f>data!E142</f>
        <v>26211701</v>
      </c>
      <c r="G10" s="48">
        <f>data!E141+data!E142</f>
        <v>38317817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7079400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5538918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Shriners Hospitals for Children - Spokane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845442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2485309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38396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809256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201225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4379628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69865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69865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258544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258544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41020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81724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122744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Shriners Hospitals for Children - Spokane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5725868</v>
      </c>
      <c r="D7" s="21">
        <f>data!C195</f>
        <v>0</v>
      </c>
      <c r="E7" s="21">
        <f>data!D195</f>
        <v>0</v>
      </c>
      <c r="F7" s="21">
        <f>data!E195</f>
        <v>5725868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413661</v>
      </c>
      <c r="D8" s="21">
        <f>data!C196</f>
        <v>0</v>
      </c>
      <c r="E8" s="21">
        <f>data!D196</f>
        <v>0</v>
      </c>
      <c r="F8" s="21">
        <f>data!E196</f>
        <v>413661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40638281</v>
      </c>
      <c r="D9" s="21">
        <f>data!C197</f>
        <v>0</v>
      </c>
      <c r="E9" s="21">
        <f>data!D197</f>
        <v>0</v>
      </c>
      <c r="F9" s="21">
        <f>data!E197</f>
        <v>40638281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3590856</v>
      </c>
      <c r="D10" s="21">
        <f>data!C198</f>
        <v>0</v>
      </c>
      <c r="E10" s="21">
        <f>data!D198</f>
        <v>0</v>
      </c>
      <c r="F10" s="21">
        <f>data!E198</f>
        <v>3590856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17390246</v>
      </c>
      <c r="D12" s="21">
        <f>data!C200</f>
        <v>0</v>
      </c>
      <c r="E12" s="21">
        <f>data!D200</f>
        <v>0</v>
      </c>
      <c r="F12" s="21">
        <f>data!E200</f>
        <v>17390246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67758912</v>
      </c>
      <c r="D16" s="21">
        <f>data!C204</f>
        <v>0</v>
      </c>
      <c r="E16" s="21">
        <f>data!D204</f>
        <v>0</v>
      </c>
      <c r="F16" s="21">
        <f>data!E204</f>
        <v>67758912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325615</v>
      </c>
      <c r="D24" s="21">
        <f>data!C209</f>
        <v>0</v>
      </c>
      <c r="E24" s="21">
        <f>data!D209</f>
        <v>0</v>
      </c>
      <c r="F24" s="21">
        <f>data!E209</f>
        <v>325615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28021454</v>
      </c>
      <c r="D25" s="21">
        <f>data!C210</f>
        <v>0</v>
      </c>
      <c r="E25" s="21">
        <f>data!D210</f>
        <v>0</v>
      </c>
      <c r="F25" s="21">
        <f>data!E210</f>
        <v>28021454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3490505</v>
      </c>
      <c r="D26" s="21">
        <f>data!C211</f>
        <v>0</v>
      </c>
      <c r="E26" s="21">
        <f>data!D211</f>
        <v>0</v>
      </c>
      <c r="F26" s="21">
        <f>data!E211</f>
        <v>3490505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12072745</v>
      </c>
      <c r="D28" s="21">
        <f>data!C213</f>
        <v>0</v>
      </c>
      <c r="E28" s="21">
        <f>data!D213</f>
        <v>0</v>
      </c>
      <c r="F28" s="21">
        <f>data!E213</f>
        <v>12072745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43910319</v>
      </c>
      <c r="D32" s="21">
        <f>data!C217</f>
        <v>0</v>
      </c>
      <c r="E32" s="21">
        <f>data!D217</f>
        <v>0</v>
      </c>
      <c r="F32" s="21">
        <f>data!E217</f>
        <v>43910319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Shriners Hospitals for Children - Spokane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659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14214815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830503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6581350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21627327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642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1768538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1844831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3613369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133055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3595070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28968821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Shriners Hospitals for Children - Spokane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137985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5912418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4481953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751270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295268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2614988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2862934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206831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20319141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1795428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8695123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33879457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21955161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11924296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14539284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Shriners Hospitals for Children - Spokane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97033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1926151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172551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57667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2253402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-176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-176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12286058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12286058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14539284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Shriners Hospitals for Children - Spokane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12106116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26211704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38317820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25355452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3613369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28968821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9348999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2800000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2800000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12148999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14239897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4379628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302175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2720774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422052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425388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1019531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69865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258544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122744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997716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24958314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-12809315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-12809315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-12809315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Shriners Hospitals for Children - Spokane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619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18.37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1787481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577326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185510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2550318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1054621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1565126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1565126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16147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3493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16147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22593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18.37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Shriners Hospitals for Children - Spokane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8.06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1728404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558245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46966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2333615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1262367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3157023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6841959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9998982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4088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4088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18553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8.06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Shriners Hospitals for Children - Spokane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2.3199999999999998</v>
      </c>
      <c r="D74" s="26">
        <f>data!R60</f>
        <v>4.95</v>
      </c>
      <c r="E74" s="26">
        <f>data!S60</f>
        <v>0</v>
      </c>
      <c r="F74" s="26">
        <f>data!T60</f>
        <v>0</v>
      </c>
      <c r="G74" s="26">
        <f>data!U60</f>
        <v>1.22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223254</v>
      </c>
      <c r="D75" s="14">
        <f>data!R61</f>
        <v>1870714</v>
      </c>
      <c r="E75" s="14">
        <f>data!S61</f>
        <v>110323</v>
      </c>
      <c r="F75" s="14">
        <f>data!T61</f>
        <v>0</v>
      </c>
      <c r="G75" s="14">
        <f>data!U61</f>
        <v>107087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72107</v>
      </c>
      <c r="D76" s="14">
        <f>data!R62</f>
        <v>604209</v>
      </c>
      <c r="E76" s="14">
        <f>data!S62</f>
        <v>35632</v>
      </c>
      <c r="F76" s="14">
        <f>data!T62</f>
        <v>0</v>
      </c>
      <c r="G76" s="14">
        <f>data!U62</f>
        <v>34587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16199</v>
      </c>
      <c r="D81" s="14">
        <f>data!R67</f>
        <v>6078</v>
      </c>
      <c r="E81" s="14">
        <f>data!S67</f>
        <v>0</v>
      </c>
      <c r="F81" s="14">
        <f>data!T67</f>
        <v>0</v>
      </c>
      <c r="G81" s="14">
        <f>data!U67</f>
        <v>5296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311560</v>
      </c>
      <c r="D85" s="14">
        <f>data!R71</f>
        <v>2481001</v>
      </c>
      <c r="E85" s="14">
        <f>data!S71</f>
        <v>145955</v>
      </c>
      <c r="F85" s="14">
        <f>data!T71</f>
        <v>0</v>
      </c>
      <c r="G85" s="14">
        <f>data!U71</f>
        <v>146970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182932</v>
      </c>
      <c r="D87" s="48">
        <f>+data!M683</f>
        <v>997613</v>
      </c>
      <c r="E87" s="48">
        <f>+data!M684</f>
        <v>194852</v>
      </c>
      <c r="F87" s="48">
        <f>+data!M685</f>
        <v>0</v>
      </c>
      <c r="G87" s="48">
        <f>+data!M686</f>
        <v>51021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246683</v>
      </c>
      <c r="D88" s="14">
        <f>data!R73</f>
        <v>1015719</v>
      </c>
      <c r="E88" s="14">
        <f>data!S73</f>
        <v>2973835</v>
      </c>
      <c r="F88" s="14">
        <f>data!T73</f>
        <v>0</v>
      </c>
      <c r="G88" s="14">
        <f>data!U73</f>
        <v>92681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772476</v>
      </c>
      <c r="D89" s="14">
        <f>data!R74</f>
        <v>2630784</v>
      </c>
      <c r="E89" s="14">
        <f>data!S74</f>
        <v>875853</v>
      </c>
      <c r="F89" s="14">
        <f>data!T74</f>
        <v>0</v>
      </c>
      <c r="G89" s="14">
        <f>data!U74</f>
        <v>76270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1019159</v>
      </c>
      <c r="D90" s="14">
        <f>data!R75</f>
        <v>3646503</v>
      </c>
      <c r="E90" s="14">
        <f>data!S75</f>
        <v>3849688</v>
      </c>
      <c r="F90" s="14">
        <f>data!T75</f>
        <v>0</v>
      </c>
      <c r="G90" s="14">
        <f>data!U75</f>
        <v>168951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1410</v>
      </c>
      <c r="D92" s="14">
        <f>data!R76</f>
        <v>529</v>
      </c>
      <c r="E92" s="14">
        <f>data!S76</f>
        <v>0</v>
      </c>
      <c r="F92" s="14">
        <f>data!T76</f>
        <v>0</v>
      </c>
      <c r="G92" s="14">
        <f>data!U76</f>
        <v>461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1410</v>
      </c>
      <c r="D94" s="14">
        <f>data!R78</f>
        <v>529</v>
      </c>
      <c r="E94" s="14">
        <f>data!S78</f>
        <v>0</v>
      </c>
      <c r="F94" s="14">
        <f>data!T78</f>
        <v>0</v>
      </c>
      <c r="G94" s="14">
        <f>data!U78</f>
        <v>461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2.3199999999999998</v>
      </c>
      <c r="D96" s="84">
        <f>data!R80</f>
        <v>4.33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Shriners Hospitals for Children - Spokane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4.84</v>
      </c>
      <c r="E106" s="26">
        <f>data!Z60</f>
        <v>0</v>
      </c>
      <c r="F106" s="26">
        <f>data!AA60</f>
        <v>0</v>
      </c>
      <c r="G106" s="26">
        <f>data!AB60</f>
        <v>1.75</v>
      </c>
      <c r="H106" s="26">
        <f>data!AC60</f>
        <v>3.89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331629</v>
      </c>
      <c r="E107" s="14">
        <f>data!Z61</f>
        <v>0</v>
      </c>
      <c r="F107" s="14">
        <f>data!AA61</f>
        <v>0</v>
      </c>
      <c r="G107" s="14">
        <f>data!AB61</f>
        <v>265999</v>
      </c>
      <c r="H107" s="14">
        <f>data!AC61</f>
        <v>326541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107111</v>
      </c>
      <c r="E108" s="14">
        <f>data!Z62</f>
        <v>0</v>
      </c>
      <c r="F108" s="14">
        <f>data!AA62</f>
        <v>0</v>
      </c>
      <c r="G108" s="14">
        <f>data!AB62</f>
        <v>85913</v>
      </c>
      <c r="H108" s="14">
        <f>data!AC62</f>
        <v>105467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37006</v>
      </c>
      <c r="E113" s="14">
        <f>data!Z67</f>
        <v>0</v>
      </c>
      <c r="F113" s="14">
        <f>data!AA67</f>
        <v>0</v>
      </c>
      <c r="G113" s="14">
        <f>data!AB67</f>
        <v>3447</v>
      </c>
      <c r="H113" s="14">
        <f>data!AC67</f>
        <v>1183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0</v>
      </c>
      <c r="D117" s="14">
        <f>data!Y71</f>
        <v>475746</v>
      </c>
      <c r="E117" s="14">
        <f>data!Z71</f>
        <v>0</v>
      </c>
      <c r="F117" s="14">
        <f>data!AA71</f>
        <v>0</v>
      </c>
      <c r="G117" s="14">
        <f>data!AB71</f>
        <v>355359</v>
      </c>
      <c r="H117" s="14">
        <f>data!AC71</f>
        <v>433191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0</v>
      </c>
      <c r="D119" s="48">
        <f>+data!M690</f>
        <v>262202</v>
      </c>
      <c r="E119" s="48">
        <f>+data!M691</f>
        <v>0</v>
      </c>
      <c r="F119" s="48">
        <f>+data!M692</f>
        <v>0</v>
      </c>
      <c r="G119" s="48">
        <f>+data!M693</f>
        <v>175816</v>
      </c>
      <c r="H119" s="48">
        <f>+data!M694</f>
        <v>175012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142489</v>
      </c>
      <c r="E120" s="14">
        <f>data!Z73</f>
        <v>0</v>
      </c>
      <c r="F120" s="14">
        <f>data!AA73</f>
        <v>0</v>
      </c>
      <c r="G120" s="14">
        <f>data!AB73</f>
        <v>755676</v>
      </c>
      <c r="H120" s="14">
        <f>data!AC73</f>
        <v>324764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0</v>
      </c>
      <c r="D121" s="14">
        <f>data!Y74</f>
        <v>3457182</v>
      </c>
      <c r="E121" s="14">
        <f>data!Z74</f>
        <v>0</v>
      </c>
      <c r="F121" s="14">
        <f>data!AA74</f>
        <v>0</v>
      </c>
      <c r="G121" s="14">
        <f>data!AB74</f>
        <v>860165</v>
      </c>
      <c r="H121" s="14">
        <f>data!AC74</f>
        <v>138805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0</v>
      </c>
      <c r="D122" s="14">
        <f>data!Y75</f>
        <v>3599671</v>
      </c>
      <c r="E122" s="14">
        <f>data!Z75</f>
        <v>0</v>
      </c>
      <c r="F122" s="14">
        <f>data!AA75</f>
        <v>0</v>
      </c>
      <c r="G122" s="14">
        <f>data!AB75</f>
        <v>1615841</v>
      </c>
      <c r="H122" s="14">
        <f>data!AC75</f>
        <v>463569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3221</v>
      </c>
      <c r="E124" s="14">
        <f>data!Z76</f>
        <v>0</v>
      </c>
      <c r="F124" s="14">
        <f>data!AA76</f>
        <v>0</v>
      </c>
      <c r="G124" s="14">
        <f>data!AB76</f>
        <v>300</v>
      </c>
      <c r="H124" s="14">
        <f>data!AC76</f>
        <v>103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3221</v>
      </c>
      <c r="E126" s="14">
        <f>data!Z78</f>
        <v>0</v>
      </c>
      <c r="F126" s="14">
        <f>data!AA78</f>
        <v>0</v>
      </c>
      <c r="G126" s="14">
        <f>data!AB78</f>
        <v>300</v>
      </c>
      <c r="H126" s="14">
        <f>data!AC78</f>
        <v>103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2035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Shriners Hospitals for Children - Spokane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4.45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10.66</v>
      </c>
      <c r="I138" s="26">
        <f>data!AK60</f>
        <v>7.49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387182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664862</v>
      </c>
      <c r="I139" s="14">
        <f>data!AK61</f>
        <v>654009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125053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214739</v>
      </c>
      <c r="I140" s="14">
        <f>data!AK62</f>
        <v>211234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59983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101986</v>
      </c>
      <c r="I145" s="14">
        <f>data!AK67</f>
        <v>94002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572218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981587</v>
      </c>
      <c r="I149" s="14">
        <f>data!AK71</f>
        <v>959245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155128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633410</v>
      </c>
      <c r="I151" s="48">
        <f>+data!M702</f>
        <v>197611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123287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12289</v>
      </c>
      <c r="I152" s="14">
        <f>data!AK73</f>
        <v>817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1111497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3828588</v>
      </c>
      <c r="I153" s="14">
        <f>data!AK74</f>
        <v>227999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1234784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3840877</v>
      </c>
      <c r="I154" s="14">
        <f>data!AK75</f>
        <v>228816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5221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8877</v>
      </c>
      <c r="I156" s="14">
        <f>data!AK76</f>
        <v>8182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5221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8877</v>
      </c>
      <c r="I158" s="14">
        <f>data!AK78</f>
        <v>8182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372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4640</v>
      </c>
      <c r="I159" s="14">
        <f>data!AK79</f>
        <v>1044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10.66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Shriners Hospitals for Children - Spokane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Shriners Hospitals for Children - Spokane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3493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50608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50608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4405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Shriners Hospitals for Children - Spokane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11034</v>
      </c>
      <c r="D233" s="14">
        <f>data!BA59</f>
        <v>0</v>
      </c>
      <c r="E233" s="208"/>
      <c r="F233" s="208"/>
      <c r="G233" s="208"/>
      <c r="H233" s="14">
        <f>data!BE59</f>
        <v>88741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240712</v>
      </c>
      <c r="D235" s="14">
        <f>data!BA61</f>
        <v>0</v>
      </c>
      <c r="E235" s="14">
        <f>data!BB61</f>
        <v>564496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318139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77746</v>
      </c>
      <c r="D236" s="14">
        <f>data!BA62</f>
        <v>0</v>
      </c>
      <c r="E236" s="14">
        <f>data!BB62</f>
        <v>182323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102754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16532</v>
      </c>
      <c r="D241" s="14">
        <f>data!BA67</f>
        <v>18543</v>
      </c>
      <c r="E241" s="14">
        <f>data!BB67</f>
        <v>21909</v>
      </c>
      <c r="F241" s="14">
        <f>data!BC67</f>
        <v>0</v>
      </c>
      <c r="G241" s="14">
        <f>data!BD67</f>
        <v>2815</v>
      </c>
      <c r="H241" s="14">
        <f>data!BE67</f>
        <v>96414</v>
      </c>
      <c r="I241" s="14">
        <f>data!BF67</f>
        <v>8295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334990</v>
      </c>
      <c r="D245" s="14">
        <f>data!BA71</f>
        <v>18543</v>
      </c>
      <c r="E245" s="14">
        <f>data!BB71</f>
        <v>768728</v>
      </c>
      <c r="F245" s="14">
        <f>data!BC71</f>
        <v>0</v>
      </c>
      <c r="G245" s="14">
        <f>data!BD71</f>
        <v>2815</v>
      </c>
      <c r="H245" s="14">
        <f>data!BE71</f>
        <v>96414</v>
      </c>
      <c r="I245" s="14">
        <f>data!BF71</f>
        <v>429188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1439</v>
      </c>
      <c r="D252" s="85">
        <f>data!BA76</f>
        <v>1614</v>
      </c>
      <c r="E252" s="85">
        <f>data!BB76</f>
        <v>1907</v>
      </c>
      <c r="F252" s="85">
        <f>data!BC76</f>
        <v>0</v>
      </c>
      <c r="G252" s="85">
        <f>data!BD76</f>
        <v>245</v>
      </c>
      <c r="H252" s="85">
        <f>data!BE76</f>
        <v>8392</v>
      </c>
      <c r="I252" s="85">
        <f>data!BF76</f>
        <v>722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1614</v>
      </c>
      <c r="E254" s="85">
        <f>data!BB78</f>
        <v>1907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Shriners Hospitals for Children - Spokane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Shriners Hospitals for Children - Spokane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2555137</v>
      </c>
      <c r="D299" s="14">
        <f>data!BO61</f>
        <v>0</v>
      </c>
      <c r="E299" s="14">
        <f>data!BP61</f>
        <v>0</v>
      </c>
      <c r="F299" s="14">
        <f>data!BQ61</f>
        <v>462543</v>
      </c>
      <c r="G299" s="14">
        <f>data!BR61</f>
        <v>132374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825266</v>
      </c>
      <c r="D300" s="14">
        <f>data!BO62</f>
        <v>0</v>
      </c>
      <c r="E300" s="14">
        <f>data!BP62</f>
        <v>0</v>
      </c>
      <c r="F300" s="14">
        <f>data!BQ62</f>
        <v>149394</v>
      </c>
      <c r="G300" s="14">
        <f>data!BR62</f>
        <v>42755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153904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4756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3534307</v>
      </c>
      <c r="D309" s="14">
        <f>data!BO71</f>
        <v>0</v>
      </c>
      <c r="E309" s="14">
        <f>data!BP71</f>
        <v>0</v>
      </c>
      <c r="F309" s="14">
        <f>data!BQ71</f>
        <v>611937</v>
      </c>
      <c r="G309" s="14">
        <f>data!BR71</f>
        <v>179885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13396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414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Shriners Hospitals for Children - Spokane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173067</v>
      </c>
      <c r="E331" s="86">
        <f>data!BW61</f>
        <v>0</v>
      </c>
      <c r="F331" s="86">
        <f>data!BX61</f>
        <v>0</v>
      </c>
      <c r="G331" s="86">
        <f>data!BY61</f>
        <v>655972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55898</v>
      </c>
      <c r="E332" s="86">
        <f>data!BW62</f>
        <v>0</v>
      </c>
      <c r="F332" s="86">
        <f>data!BX62</f>
        <v>0</v>
      </c>
      <c r="G332" s="86">
        <f>data!BY62</f>
        <v>211868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12190</v>
      </c>
      <c r="E337" s="86">
        <f>data!BW67</f>
        <v>0</v>
      </c>
      <c r="F337" s="86">
        <f>data!BX67</f>
        <v>0</v>
      </c>
      <c r="G337" s="86">
        <f>data!BY67</f>
        <v>14763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241155</v>
      </c>
      <c r="E341" s="14">
        <f>data!BW71</f>
        <v>0</v>
      </c>
      <c r="F341" s="14">
        <f>data!BX71</f>
        <v>0</v>
      </c>
      <c r="G341" s="14">
        <f>data!BY71</f>
        <v>882603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1061</v>
      </c>
      <c r="E348" s="85">
        <f>data!BW76</f>
        <v>0</v>
      </c>
      <c r="F348" s="85">
        <f>data!BX76</f>
        <v>0</v>
      </c>
      <c r="G348" s="85">
        <f>data!BY76</f>
        <v>1285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1061</v>
      </c>
      <c r="E350" s="85">
        <f>data!BW78</f>
        <v>0</v>
      </c>
      <c r="F350" s="85">
        <f>data!BX78</f>
        <v>0</v>
      </c>
      <c r="G350" s="85">
        <f>data!BY78</f>
        <v>1285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Shriners Hospitals for Children - Spokane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68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13559925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4379627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61144</v>
      </c>
      <c r="E369" s="214"/>
      <c r="F369" s="215"/>
      <c r="G369" s="215"/>
      <c r="H369" s="215"/>
      <c r="I369" s="86">
        <f>data!CE67</f>
        <v>1019529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5"/>
      <c r="G371" s="215"/>
      <c r="H371" s="215"/>
      <c r="I371" s="86">
        <f>data!CE69</f>
        <v>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1869733</v>
      </c>
      <c r="F372" s="216"/>
      <c r="G372" s="216"/>
      <c r="H372" s="216"/>
      <c r="I372" s="14">
        <f>-data!CE70</f>
        <v>-1869733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61144</v>
      </c>
      <c r="E373" s="86">
        <f>data!CD71</f>
        <v>-1869733</v>
      </c>
      <c r="F373" s="215"/>
      <c r="G373" s="215"/>
      <c r="H373" s="215"/>
      <c r="I373" s="14">
        <f>data!CE71</f>
        <v>17089349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10410389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20821578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31231967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5322</v>
      </c>
      <c r="E380" s="210"/>
      <c r="F380" s="207"/>
      <c r="G380" s="207"/>
      <c r="H380" s="207"/>
      <c r="I380" s="14">
        <f>data!CE76</f>
        <v>88741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3493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54406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49237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43.739999999999995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2020-04-15T16:07:29Z</cp:lastPrinted>
  <dcterms:created xsi:type="dcterms:W3CDTF">1999-06-02T22:01:56Z</dcterms:created>
  <dcterms:modified xsi:type="dcterms:W3CDTF">2020-09-02T22:55:48Z</dcterms:modified>
</cp:coreProperties>
</file>