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G80" i="1" l="1"/>
  <c r="L80" i="1"/>
  <c r="AJ80" i="1"/>
  <c r="C172" i="1"/>
  <c r="C379" i="1"/>
  <c r="AJ74" i="1"/>
  <c r="C274" i="1"/>
  <c r="C272" i="1"/>
  <c r="C270" i="1"/>
  <c r="C269" i="1"/>
  <c r="CC69" i="1"/>
  <c r="U74" i="1"/>
  <c r="U73" i="1"/>
  <c r="B142" i="1"/>
  <c r="B141" i="1"/>
  <c r="CD70" i="1"/>
  <c r="U64" i="1"/>
  <c r="C380" i="1"/>
  <c r="C370" i="1"/>
  <c r="C364" i="1"/>
  <c r="C365" i="1"/>
  <c r="C337" i="1"/>
  <c r="C311" i="1"/>
  <c r="C268" i="1"/>
  <c r="C267" i="1"/>
  <c r="C250" i="1"/>
  <c r="C253" i="1"/>
  <c r="C228" i="1"/>
  <c r="C213" i="1"/>
  <c r="C210" i="1"/>
  <c r="C184" i="1"/>
  <c r="C176" i="1"/>
  <c r="D147" i="1"/>
  <c r="C147" i="1"/>
  <c r="C142" i="1" s="1"/>
  <c r="D142" i="1" s="1"/>
  <c r="C141" i="1" l="1"/>
  <c r="D141" i="1" s="1"/>
  <c r="D145" i="1"/>
  <c r="C145" i="1"/>
  <c r="B145" i="1"/>
  <c r="D144" i="1"/>
  <c r="C144" i="1"/>
  <c r="B144" i="1"/>
  <c r="B139" i="1"/>
  <c r="B138" i="1"/>
  <c r="AG79" i="1"/>
  <c r="K79" i="1"/>
  <c r="BK78" i="1"/>
  <c r="AG78" i="1"/>
  <c r="K78" i="1" l="1"/>
  <c r="K77" i="1"/>
  <c r="AY61" i="1"/>
  <c r="BH64" i="1"/>
  <c r="AG63" i="1"/>
  <c r="AG74" i="1"/>
  <c r="AG73" i="1"/>
  <c r="AB66" i="1"/>
  <c r="AB64" i="1"/>
  <c r="Y74" i="1"/>
  <c r="Y73" i="1"/>
  <c r="U69" i="1"/>
  <c r="U66" i="1"/>
  <c r="K69" i="1"/>
  <c r="K66" i="1"/>
  <c r="K64" i="1"/>
  <c r="K63" i="1"/>
  <c r="K61" i="1"/>
  <c r="K73" i="1"/>
  <c r="K60" i="1"/>
  <c r="K80" i="1" s="1"/>
  <c r="AJ59" i="1" l="1"/>
  <c r="K59" i="1"/>
  <c r="AV76" i="1" l="1"/>
  <c r="E76" i="1"/>
  <c r="D112" i="1"/>
  <c r="C112" i="1"/>
  <c r="O817" i="10" l="1"/>
  <c r="L817" i="10"/>
  <c r="K817" i="10"/>
  <c r="J817" i="10"/>
  <c r="I817" i="10"/>
  <c r="H817" i="10"/>
  <c r="G817" i="10"/>
  <c r="E817" i="10"/>
  <c r="D817" i="10"/>
  <c r="X815" i="10"/>
  <c r="X813" i="10"/>
  <c r="W813" i="10"/>
  <c r="W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M794" i="10"/>
  <c r="L794" i="10"/>
  <c r="K794" i="10"/>
  <c r="I794" i="10"/>
  <c r="H794" i="10"/>
  <c r="G794" i="10"/>
  <c r="F794" i="10"/>
  <c r="D794" i="10"/>
  <c r="A794" i="10"/>
  <c r="T793" i="10"/>
  <c r="S793" i="10"/>
  <c r="R793" i="10"/>
  <c r="Q793" i="10"/>
  <c r="M793" i="10"/>
  <c r="L793" i="10"/>
  <c r="K793" i="10"/>
  <c r="I793" i="10"/>
  <c r="H793" i="10"/>
  <c r="G793" i="10"/>
  <c r="F793" i="10"/>
  <c r="D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R767" i="10"/>
  <c r="Q767" i="10"/>
  <c r="O767" i="10"/>
  <c r="M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Q764" i="10"/>
  <c r="M764" i="10"/>
  <c r="L764" i="10"/>
  <c r="K764" i="10"/>
  <c r="I764" i="10"/>
  <c r="H764" i="10"/>
  <c r="G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H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M743" i="10"/>
  <c r="L743" i="10"/>
  <c r="K743" i="10"/>
  <c r="H743" i="10"/>
  <c r="G743" i="10"/>
  <c r="C743" i="10"/>
  <c r="B743" i="10"/>
  <c r="A743" i="10"/>
  <c r="M742" i="10"/>
  <c r="K742" i="10"/>
  <c r="H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O736" i="10"/>
  <c r="M736" i="10"/>
  <c r="L736" i="10"/>
  <c r="K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R730" i="10"/>
  <c r="BQ730" i="10"/>
  <c r="BP730" i="10"/>
  <c r="BN730" i="10"/>
  <c r="BK730" i="10"/>
  <c r="BJ730" i="10"/>
  <c r="BF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S730" i="10"/>
  <c r="N730" i="10"/>
  <c r="M730" i="10"/>
  <c r="K730" i="10"/>
  <c r="J730" i="10"/>
  <c r="I730" i="10"/>
  <c r="H730" i="10"/>
  <c r="G730" i="10"/>
  <c r="F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V726" i="10"/>
  <c r="AT726" i="10"/>
  <c r="AQ726" i="10"/>
  <c r="AO726" i="10"/>
  <c r="AJ726" i="10"/>
  <c r="AI726" i="10"/>
  <c r="AH726" i="10"/>
  <c r="AE726" i="10"/>
  <c r="AD726" i="10"/>
  <c r="AC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F726" i="10"/>
  <c r="E726" i="10"/>
  <c r="D726" i="10"/>
  <c r="B726" i="10"/>
  <c r="A726" i="10"/>
  <c r="CC722" i="10"/>
  <c r="CB722" i="10"/>
  <c r="CA722" i="10"/>
  <c r="BZ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H722" i="10"/>
  <c r="BG722" i="10"/>
  <c r="BF722" i="10"/>
  <c r="BE722" i="10"/>
  <c r="BD722" i="10"/>
  <c r="BC722" i="10"/>
  <c r="BA722" i="10"/>
  <c r="AX722" i="10"/>
  <c r="AW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I722" i="10"/>
  <c r="H722" i="10"/>
  <c r="G722" i="10"/>
  <c r="F722" i="10"/>
  <c r="E722" i="10"/>
  <c r="D722" i="10"/>
  <c r="C722" i="10"/>
  <c r="B722" i="10"/>
  <c r="A722" i="10"/>
  <c r="E550" i="10"/>
  <c r="F550" i="10"/>
  <c r="F546" i="10"/>
  <c r="E546" i="10"/>
  <c r="F545" i="10"/>
  <c r="E545" i="10"/>
  <c r="E544" i="10"/>
  <c r="F540" i="10"/>
  <c r="E540" i="10"/>
  <c r="H540" i="10"/>
  <c r="E539" i="10"/>
  <c r="H539" i="10"/>
  <c r="H538" i="10"/>
  <c r="E538" i="10"/>
  <c r="F538" i="10"/>
  <c r="H537" i="10"/>
  <c r="E537" i="10"/>
  <c r="F537" i="10"/>
  <c r="F536" i="10"/>
  <c r="E536" i="10"/>
  <c r="H536" i="10"/>
  <c r="F535" i="10"/>
  <c r="E535" i="10"/>
  <c r="H535" i="10"/>
  <c r="H534" i="10"/>
  <c r="F534" i="10"/>
  <c r="E534" i="10"/>
  <c r="H533" i="10"/>
  <c r="F533" i="10"/>
  <c r="E533" i="10"/>
  <c r="E532" i="10"/>
  <c r="H532" i="10"/>
  <c r="E531" i="10"/>
  <c r="E530" i="10"/>
  <c r="F530" i="10"/>
  <c r="E529" i="10"/>
  <c r="F528" i="10"/>
  <c r="E528" i="10"/>
  <c r="H528" i="10"/>
  <c r="E527" i="10"/>
  <c r="F526" i="10"/>
  <c r="E526" i="10"/>
  <c r="H525" i="10"/>
  <c r="F525" i="10"/>
  <c r="E525" i="10"/>
  <c r="E524" i="10"/>
  <c r="F524" i="10"/>
  <c r="E523" i="10"/>
  <c r="H523" i="10"/>
  <c r="H522" i="10"/>
  <c r="E522" i="10"/>
  <c r="F522" i="10"/>
  <c r="F521" i="10"/>
  <c r="H520" i="10"/>
  <c r="F520" i="10"/>
  <c r="E520" i="10"/>
  <c r="H519" i="10"/>
  <c r="F519" i="10"/>
  <c r="E519" i="10"/>
  <c r="E518" i="10"/>
  <c r="F517" i="10"/>
  <c r="E517" i="10"/>
  <c r="E516" i="10"/>
  <c r="H515" i="10"/>
  <c r="E515" i="10"/>
  <c r="F515" i="10"/>
  <c r="E514" i="10"/>
  <c r="F514" i="10"/>
  <c r="F513" i="10"/>
  <c r="F512" i="10"/>
  <c r="H511" i="10"/>
  <c r="E511" i="10"/>
  <c r="F511" i="10"/>
  <c r="F510" i="10"/>
  <c r="E510" i="10"/>
  <c r="H510" i="10"/>
  <c r="E509" i="10"/>
  <c r="H509" i="10"/>
  <c r="H508" i="10"/>
  <c r="F508" i="10"/>
  <c r="E508" i="10"/>
  <c r="H507" i="10"/>
  <c r="F507" i="10"/>
  <c r="E507" i="10"/>
  <c r="E506" i="10"/>
  <c r="H506" i="10"/>
  <c r="E505" i="10"/>
  <c r="H503" i="10"/>
  <c r="E503" i="10"/>
  <c r="F503" i="10"/>
  <c r="E502" i="10"/>
  <c r="H502" i="10"/>
  <c r="F501" i="10"/>
  <c r="E501" i="10"/>
  <c r="H501" i="10"/>
  <c r="H500" i="10"/>
  <c r="F500" i="10"/>
  <c r="E500" i="10"/>
  <c r="H499" i="10"/>
  <c r="F499" i="10"/>
  <c r="E499" i="10"/>
  <c r="E498" i="10"/>
  <c r="F497" i="10"/>
  <c r="E497" i="10"/>
  <c r="H497" i="10"/>
  <c r="E496" i="10"/>
  <c r="F496" i="10"/>
  <c r="G493" i="10"/>
  <c r="E493" i="10"/>
  <c r="C493" i="10"/>
  <c r="A493" i="10"/>
  <c r="B478" i="10"/>
  <c r="B475" i="10"/>
  <c r="B474" i="10"/>
  <c r="B472" i="10"/>
  <c r="B464" i="10"/>
  <c r="B463" i="10"/>
  <c r="C459" i="10"/>
  <c r="B459" i="10"/>
  <c r="B455" i="10"/>
  <c r="B454" i="10"/>
  <c r="B453" i="10"/>
  <c r="C447" i="10"/>
  <c r="C446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5" i="10"/>
  <c r="B415" i="10"/>
  <c r="B414" i="10"/>
  <c r="A412" i="10"/>
  <c r="D390" i="10"/>
  <c r="B441" i="10" s="1"/>
  <c r="C380" i="10"/>
  <c r="C370" i="10"/>
  <c r="B458" i="10" s="1"/>
  <c r="C365" i="10"/>
  <c r="BM730" i="10" s="1"/>
  <c r="D361" i="10"/>
  <c r="C337" i="10"/>
  <c r="BE730" i="10" s="1"/>
  <c r="D330" i="10"/>
  <c r="D329" i="10"/>
  <c r="D328" i="10"/>
  <c r="D319" i="10"/>
  <c r="D314" i="10"/>
  <c r="D290" i="10"/>
  <c r="D283" i="10"/>
  <c r="C272" i="10"/>
  <c r="T730" i="10" s="1"/>
  <c r="C270" i="10"/>
  <c r="C269" i="10"/>
  <c r="Q730" i="10" s="1"/>
  <c r="C268" i="10"/>
  <c r="C267" i="10"/>
  <c r="O730" i="10" s="1"/>
  <c r="C262" i="10"/>
  <c r="C253" i="10"/>
  <c r="E730" i="10" s="1"/>
  <c r="C250" i="10"/>
  <c r="B730" i="10" s="1"/>
  <c r="D240" i="10"/>
  <c r="B447" i="10" s="1"/>
  <c r="D236" i="10"/>
  <c r="B446" i="10" s="1"/>
  <c r="C228" i="10"/>
  <c r="D221" i="10"/>
  <c r="E216" i="10"/>
  <c r="E215" i="10"/>
  <c r="E214" i="10"/>
  <c r="B214" i="10"/>
  <c r="BK722" i="10" s="1"/>
  <c r="D213" i="10"/>
  <c r="D217" i="10" s="1"/>
  <c r="C213" i="10"/>
  <c r="BI722" i="10" s="1"/>
  <c r="E212" i="10"/>
  <c r="B211" i="10"/>
  <c r="BB722" i="10" s="1"/>
  <c r="C210" i="10"/>
  <c r="AZ722" i="10" s="1"/>
  <c r="B210" i="10"/>
  <c r="AY722" i="10" s="1"/>
  <c r="B209" i="10"/>
  <c r="AV722" i="10" s="1"/>
  <c r="D204" i="10"/>
  <c r="B204" i="10"/>
  <c r="E203" i="10"/>
  <c r="C475" i="10" s="1"/>
  <c r="E202" i="10"/>
  <c r="C474" i="10" s="1"/>
  <c r="E201" i="10"/>
  <c r="E200" i="10"/>
  <c r="C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C176" i="10"/>
  <c r="J722" i="10" s="1"/>
  <c r="D173" i="10"/>
  <c r="D428" i="10" s="1"/>
  <c r="E154" i="10"/>
  <c r="E153" i="10"/>
  <c r="E152" i="10"/>
  <c r="E151" i="10"/>
  <c r="C421" i="10" s="1"/>
  <c r="E150" i="10"/>
  <c r="C420" i="10" s="1"/>
  <c r="E148" i="10"/>
  <c r="D147" i="10"/>
  <c r="AZ726" i="10" s="1"/>
  <c r="C147" i="10"/>
  <c r="B147" i="10"/>
  <c r="AP726" i="10" s="1"/>
  <c r="E146" i="10"/>
  <c r="C145" i="10"/>
  <c r="AS726" i="10" s="1"/>
  <c r="B145" i="10"/>
  <c r="AN726" i="10" s="1"/>
  <c r="D144" i="10"/>
  <c r="AW726" i="10" s="1"/>
  <c r="C144" i="10"/>
  <c r="AR726" i="10" s="1"/>
  <c r="B144" i="10"/>
  <c r="AM726" i="10" s="1"/>
  <c r="C142" i="10"/>
  <c r="AG726" i="10" s="1"/>
  <c r="B142" i="10"/>
  <c r="AB726" i="10" s="1"/>
  <c r="B141" i="10"/>
  <c r="AA726" i="10" s="1"/>
  <c r="E140" i="10"/>
  <c r="B139" i="10"/>
  <c r="Y726" i="10" s="1"/>
  <c r="B138" i="10"/>
  <c r="E127" i="10"/>
  <c r="D112" i="10"/>
  <c r="G726" i="10" s="1"/>
  <c r="C112" i="10"/>
  <c r="C726" i="10" s="1"/>
  <c r="AJ80" i="10"/>
  <c r="T767" i="10" s="1"/>
  <c r="K80" i="10"/>
  <c r="T742" i="10" s="1"/>
  <c r="CF79" i="10"/>
  <c r="CE79" i="10"/>
  <c r="AG79" i="10"/>
  <c r="S764" i="10" s="1"/>
  <c r="K79" i="10"/>
  <c r="S742" i="10" s="1"/>
  <c r="AG78" i="10"/>
  <c r="R764" i="10" s="1"/>
  <c r="K78" i="10"/>
  <c r="R742" i="10" s="1"/>
  <c r="K77" i="10"/>
  <c r="BN76" i="10"/>
  <c r="P797" i="10" s="1"/>
  <c r="BL76" i="10"/>
  <c r="P795" i="10" s="1"/>
  <c r="BK76" i="10"/>
  <c r="P794" i="10" s="1"/>
  <c r="BJ76" i="10"/>
  <c r="P793" i="10" s="1"/>
  <c r="AJ76" i="10"/>
  <c r="P767" i="10" s="1"/>
  <c r="AG76" i="10"/>
  <c r="P764" i="10" s="1"/>
  <c r="AE76" i="10"/>
  <c r="P762" i="10" s="1"/>
  <c r="Y76" i="10"/>
  <c r="P756" i="10" s="1"/>
  <c r="K76" i="10"/>
  <c r="P742" i="10" s="1"/>
  <c r="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AG74" i="10"/>
  <c r="Y74" i="10"/>
  <c r="U74" i="10"/>
  <c r="CE74" i="10" s="1"/>
  <c r="C464" i="10" s="1"/>
  <c r="AG73" i="10"/>
  <c r="O764" i="10" s="1"/>
  <c r="Y73" i="10"/>
  <c r="O756" i="10" s="1"/>
  <c r="U73" i="10"/>
  <c r="L73" i="10"/>
  <c r="K73" i="10"/>
  <c r="O742" i="10" s="1"/>
  <c r="CE70" i="10"/>
  <c r="C458" i="10" s="1"/>
  <c r="CD70" i="10"/>
  <c r="AJ69" i="10"/>
  <c r="L767" i="10" s="1"/>
  <c r="U69" i="10"/>
  <c r="L752" i="10" s="1"/>
  <c r="K69" i="10"/>
  <c r="CE68" i="10"/>
  <c r="X68" i="10"/>
  <c r="K755" i="10" s="1"/>
  <c r="BH66" i="10"/>
  <c r="I791" i="10" s="1"/>
  <c r="AB66" i="10"/>
  <c r="I759" i="10" s="1"/>
  <c r="U66" i="10"/>
  <c r="I752" i="10" s="1"/>
  <c r="T66" i="10"/>
  <c r="I751" i="10" s="1"/>
  <c r="L66" i="10"/>
  <c r="I743" i="10" s="1"/>
  <c r="K66" i="10"/>
  <c r="I742" i="10" s="1"/>
  <c r="E66" i="10"/>
  <c r="I736" i="10" s="1"/>
  <c r="CE65" i="10"/>
  <c r="AB64" i="10"/>
  <c r="G759" i="10" s="1"/>
  <c r="U64" i="10"/>
  <c r="G752" i="10" s="1"/>
  <c r="K64" i="10"/>
  <c r="G742" i="10" s="1"/>
  <c r="CE63" i="10"/>
  <c r="AG63" i="10"/>
  <c r="F764" i="10" s="1"/>
  <c r="L63" i="10"/>
  <c r="F743" i="10" s="1"/>
  <c r="K63" i="10"/>
  <c r="F742" i="10" s="1"/>
  <c r="L61" i="10"/>
  <c r="K61" i="10"/>
  <c r="BK60" i="10"/>
  <c r="C794" i="10" s="1"/>
  <c r="BJ60" i="10"/>
  <c r="C793" i="10" s="1"/>
  <c r="K60" i="10"/>
  <c r="C742" i="10" s="1"/>
  <c r="K59" i="10"/>
  <c r="B742" i="10" s="1"/>
  <c r="B53" i="10"/>
  <c r="CE51" i="10"/>
  <c r="B49" i="10"/>
  <c r="CE47" i="10"/>
  <c r="C473" i="10" l="1"/>
  <c r="D260" i="10"/>
  <c r="C364" i="10"/>
  <c r="D367" i="10" s="1"/>
  <c r="C448" i="10" s="1"/>
  <c r="D145" i="10"/>
  <c r="E210" i="10"/>
  <c r="B417" i="10"/>
  <c r="E504" i="10"/>
  <c r="B468" i="10"/>
  <c r="K75" i="10"/>
  <c r="N742" i="10" s="1"/>
  <c r="D142" i="10"/>
  <c r="CE60" i="10"/>
  <c r="E139" i="10"/>
  <c r="C415" i="10" s="1"/>
  <c r="E209" i="10"/>
  <c r="BI730" i="10"/>
  <c r="C816" i="10"/>
  <c r="H612" i="10"/>
  <c r="L742" i="10"/>
  <c r="C439" i="10"/>
  <c r="CE69" i="10"/>
  <c r="F518" i="10"/>
  <c r="H527" i="10"/>
  <c r="F527" i="10"/>
  <c r="N817" i="10"/>
  <c r="D368" i="10"/>
  <c r="AX726" i="10"/>
  <c r="E145" i="10"/>
  <c r="C418" i="10" s="1"/>
  <c r="N734" i="10"/>
  <c r="E204" i="10"/>
  <c r="C476" i="10" s="1"/>
  <c r="D742" i="10"/>
  <c r="O752" i="10"/>
  <c r="U75" i="10"/>
  <c r="N752" i="10" s="1"/>
  <c r="AL726" i="10"/>
  <c r="E142" i="10"/>
  <c r="D464" i="10" s="1"/>
  <c r="P730" i="10"/>
  <c r="B469" i="10"/>
  <c r="D275" i="10"/>
  <c r="B465" i="10"/>
  <c r="O743" i="10"/>
  <c r="O815" i="10" s="1"/>
  <c r="L75" i="10"/>
  <c r="N743" i="10" s="1"/>
  <c r="D743" i="10"/>
  <c r="CE61" i="10"/>
  <c r="CE64" i="10"/>
  <c r="K816" i="10"/>
  <c r="C434" i="10"/>
  <c r="H816" i="10"/>
  <c r="C431" i="10"/>
  <c r="CE66" i="10"/>
  <c r="CE73" i="10"/>
  <c r="CE80" i="10"/>
  <c r="B217" i="10"/>
  <c r="D418" i="10"/>
  <c r="C469" i="10"/>
  <c r="F506" i="10"/>
  <c r="R730" i="10"/>
  <c r="B471" i="10"/>
  <c r="V813" i="10"/>
  <c r="V815" i="10" s="1"/>
  <c r="CD71" i="10"/>
  <c r="C575" i="10" s="1"/>
  <c r="C615" i="10"/>
  <c r="CE78" i="10"/>
  <c r="AU726" i="10"/>
  <c r="E147" i="10"/>
  <c r="C141" i="10"/>
  <c r="D141" i="10" s="1"/>
  <c r="AK726" i="10" s="1"/>
  <c r="C217" i="10"/>
  <c r="D433" i="10" s="1"/>
  <c r="B470" i="10"/>
  <c r="H496" i="10"/>
  <c r="F509" i="10"/>
  <c r="F529" i="10"/>
  <c r="M816" i="10"/>
  <c r="AG75" i="10"/>
  <c r="N764" i="10" s="1"/>
  <c r="E144" i="10"/>
  <c r="C417" i="10" s="1"/>
  <c r="F502" i="10"/>
  <c r="F523" i="10"/>
  <c r="F532" i="10"/>
  <c r="F816" i="10"/>
  <c r="C429" i="10"/>
  <c r="P736" i="10"/>
  <c r="CE76" i="10"/>
  <c r="AH722" i="10"/>
  <c r="C204" i="10"/>
  <c r="BJ722" i="10"/>
  <c r="E213" i="10"/>
  <c r="CD722" i="10"/>
  <c r="B444" i="10"/>
  <c r="L730" i="10"/>
  <c r="D265" i="10"/>
  <c r="F498" i="10"/>
  <c r="F504" i="10"/>
  <c r="F505" i="10"/>
  <c r="F531" i="10"/>
  <c r="S816" i="10"/>
  <c r="J612" i="10"/>
  <c r="X726" i="10"/>
  <c r="E138" i="10"/>
  <c r="C414" i="10" s="1"/>
  <c r="BY722" i="10"/>
  <c r="D229" i="10"/>
  <c r="F817" i="10"/>
  <c r="BS730" i="10"/>
  <c r="B429" i="10"/>
  <c r="B440" i="10"/>
  <c r="F516" i="10"/>
  <c r="Q742" i="10"/>
  <c r="Q815" i="10" s="1"/>
  <c r="CE77" i="10"/>
  <c r="D339" i="10"/>
  <c r="C482" i="10" s="1"/>
  <c r="BL730" i="10"/>
  <c r="C445" i="10"/>
  <c r="D438" i="10"/>
  <c r="F539" i="10"/>
  <c r="F544" i="10"/>
  <c r="M817" i="10"/>
  <c r="BO730" i="10"/>
  <c r="B418" i="10"/>
  <c r="I815" i="10"/>
  <c r="D177" i="10"/>
  <c r="D434" i="10" s="1"/>
  <c r="E211" i="10"/>
  <c r="E217" i="10" s="1"/>
  <c r="C478" i="10" s="1"/>
  <c r="D372" i="10"/>
  <c r="B473" i="10"/>
  <c r="L815" i="10"/>
  <c r="C815" i="10"/>
  <c r="M815" i="10"/>
  <c r="D815" i="10"/>
  <c r="F815" i="10"/>
  <c r="P815" i="10"/>
  <c r="G815" i="10"/>
  <c r="H815" i="10"/>
  <c r="R815" i="10"/>
  <c r="S815" i="10"/>
  <c r="K815" i="10"/>
  <c r="T815" i="10"/>
  <c r="N815" i="10" l="1"/>
  <c r="T816" i="10"/>
  <c r="L612" i="10"/>
  <c r="G816" i="10"/>
  <c r="F612" i="10"/>
  <c r="C430" i="10"/>
  <c r="O816" i="10"/>
  <c r="C463" i="10"/>
  <c r="D816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AC48" i="10"/>
  <c r="AC62" i="10" s="1"/>
  <c r="BQ48" i="10"/>
  <c r="BQ62" i="10" s="1"/>
  <c r="BA48" i="10"/>
  <c r="BA62" i="10" s="1"/>
  <c r="AK48" i="10"/>
  <c r="AK62" i="10" s="1"/>
  <c r="U48" i="10"/>
  <c r="U62" i="10" s="1"/>
  <c r="E48" i="10"/>
  <c r="E62" i="10" s="1"/>
  <c r="AZ48" i="10"/>
  <c r="AZ62" i="10" s="1"/>
  <c r="T48" i="10"/>
  <c r="T62" i="10" s="1"/>
  <c r="BN48" i="10"/>
  <c r="BN62" i="10" s="1"/>
  <c r="AX48" i="10"/>
  <c r="AX62" i="10" s="1"/>
  <c r="BI48" i="10"/>
  <c r="BI62" i="10" s="1"/>
  <c r="M48" i="10"/>
  <c r="M62" i="10" s="1"/>
  <c r="BH48" i="10"/>
  <c r="BH62" i="10" s="1"/>
  <c r="AB48" i="10"/>
  <c r="AB62" i="10" s="1"/>
  <c r="BP48" i="10"/>
  <c r="BP62" i="10" s="1"/>
  <c r="AJ48" i="10"/>
  <c r="AJ62" i="10" s="1"/>
  <c r="D48" i="10"/>
  <c r="D62" i="10" s="1"/>
  <c r="BY48" i="10"/>
  <c r="BY62" i="10" s="1"/>
  <c r="BO48" i="10"/>
  <c r="BO62" i="10" s="1"/>
  <c r="AY48" i="10"/>
  <c r="AY62" i="10" s="1"/>
  <c r="AI48" i="10"/>
  <c r="AI62" i="10" s="1"/>
  <c r="S48" i="10"/>
  <c r="S62" i="10" s="1"/>
  <c r="C48" i="10"/>
  <c r="R48" i="10"/>
  <c r="R62" i="10" s="1"/>
  <c r="AR48" i="10"/>
  <c r="AR62" i="10" s="1"/>
  <c r="AH48" i="10"/>
  <c r="AH62" i="10" s="1"/>
  <c r="BW48" i="10"/>
  <c r="BW62" i="10" s="1"/>
  <c r="BG48" i="10"/>
  <c r="BG62" i="10" s="1"/>
  <c r="AQ48" i="10"/>
  <c r="AQ62" i="10" s="1"/>
  <c r="AA48" i="10"/>
  <c r="AA62" i="10" s="1"/>
  <c r="K48" i="10"/>
  <c r="K62" i="10" s="1"/>
  <c r="BV48" i="10"/>
  <c r="BV62" i="10" s="1"/>
  <c r="BF48" i="10"/>
  <c r="BF62" i="10" s="1"/>
  <c r="AP48" i="10"/>
  <c r="AP62" i="10" s="1"/>
  <c r="Z48" i="10"/>
  <c r="Z62" i="10" s="1"/>
  <c r="J48" i="10"/>
  <c r="J62" i="10" s="1"/>
  <c r="AS48" i="10"/>
  <c r="AS62" i="10" s="1"/>
  <c r="BX48" i="10"/>
  <c r="BX62" i="10" s="1"/>
  <c r="L48" i="10"/>
  <c r="L62" i="10" s="1"/>
  <c r="CE75" i="10"/>
  <c r="I816" i="10"/>
  <c r="C432" i="10"/>
  <c r="L816" i="10"/>
  <c r="C440" i="10"/>
  <c r="D373" i="10"/>
  <c r="D391" i="10" s="1"/>
  <c r="D393" i="10" s="1"/>
  <c r="D396" i="10" s="1"/>
  <c r="R816" i="10"/>
  <c r="I612" i="10"/>
  <c r="AF726" i="10"/>
  <c r="E141" i="10"/>
  <c r="D463" i="10" s="1"/>
  <c r="D465" i="10" s="1"/>
  <c r="P816" i="10"/>
  <c r="D612" i="10"/>
  <c r="AW52" i="10"/>
  <c r="AW67" i="10" s="1"/>
  <c r="J780" i="10" s="1"/>
  <c r="CF76" i="10"/>
  <c r="BC52" i="10" s="1"/>
  <c r="BC67" i="10" s="1"/>
  <c r="J786" i="10" s="1"/>
  <c r="B445" i="10"/>
  <c r="D242" i="10"/>
  <c r="B448" i="10" s="1"/>
  <c r="B476" i="10"/>
  <c r="D277" i="10"/>
  <c r="D292" i="10" s="1"/>
  <c r="D341" i="10" s="1"/>
  <c r="C481" i="10" s="1"/>
  <c r="Q816" i="10"/>
  <c r="CF77" i="10"/>
  <c r="G612" i="10"/>
  <c r="BU52" i="10" l="1"/>
  <c r="BU67" i="10" s="1"/>
  <c r="J804" i="10" s="1"/>
  <c r="X52" i="10"/>
  <c r="X67" i="10" s="1"/>
  <c r="J755" i="10" s="1"/>
  <c r="AN52" i="10"/>
  <c r="AN67" i="10" s="1"/>
  <c r="J771" i="10" s="1"/>
  <c r="E742" i="10"/>
  <c r="E756" i="10"/>
  <c r="AY52" i="10"/>
  <c r="AY67" i="10" s="1"/>
  <c r="J782" i="10" s="1"/>
  <c r="E750" i="10"/>
  <c r="E738" i="10"/>
  <c r="E802" i="10"/>
  <c r="E787" i="10"/>
  <c r="BT52" i="10"/>
  <c r="BT67" i="10" s="1"/>
  <c r="J803" i="10" s="1"/>
  <c r="Z52" i="10"/>
  <c r="Z67" i="10" s="1"/>
  <c r="J757" i="10" s="1"/>
  <c r="J52" i="10"/>
  <c r="J67" i="10" s="1"/>
  <c r="J741" i="10" s="1"/>
  <c r="CB52" i="10"/>
  <c r="CB67" i="10" s="1"/>
  <c r="J811" i="10" s="1"/>
  <c r="BO52" i="10"/>
  <c r="BO67" i="10" s="1"/>
  <c r="J798" i="10" s="1"/>
  <c r="BH52" i="10"/>
  <c r="BH67" i="10" s="1"/>
  <c r="J791" i="10" s="1"/>
  <c r="AS52" i="10"/>
  <c r="AS67" i="10" s="1"/>
  <c r="J776" i="10" s="1"/>
  <c r="AD52" i="10"/>
  <c r="AD67" i="10" s="1"/>
  <c r="J761" i="10" s="1"/>
  <c r="O52" i="10"/>
  <c r="O67" i="10" s="1"/>
  <c r="J746" i="10" s="1"/>
  <c r="CA52" i="10"/>
  <c r="CA67" i="10" s="1"/>
  <c r="J810" i="10" s="1"/>
  <c r="E776" i="10"/>
  <c r="E774" i="10"/>
  <c r="E766" i="10"/>
  <c r="E791" i="10"/>
  <c r="BH71" i="10"/>
  <c r="E752" i="10"/>
  <c r="E761" i="10"/>
  <c r="E746" i="10"/>
  <c r="E810" i="10"/>
  <c r="E795" i="10"/>
  <c r="E772" i="10"/>
  <c r="E743" i="10"/>
  <c r="E794" i="10"/>
  <c r="BD52" i="10"/>
  <c r="BD67" i="10" s="1"/>
  <c r="J787" i="10" s="1"/>
  <c r="E807" i="10"/>
  <c r="E753" i="10"/>
  <c r="E764" i="10"/>
  <c r="BV52" i="10"/>
  <c r="BV67" i="10" s="1"/>
  <c r="J805" i="10" s="1"/>
  <c r="I52" i="10"/>
  <c r="I67" i="10" s="1"/>
  <c r="J740" i="10" s="1"/>
  <c r="K52" i="10"/>
  <c r="K67" i="10" s="1"/>
  <c r="J742" i="10" s="1"/>
  <c r="AF52" i="10"/>
  <c r="AF67" i="10" s="1"/>
  <c r="J763" i="10" s="1"/>
  <c r="R52" i="10"/>
  <c r="R67" i="10" s="1"/>
  <c r="J749" i="10" s="1"/>
  <c r="D52" i="10"/>
  <c r="D67" i="10" s="1"/>
  <c r="J735" i="10" s="1"/>
  <c r="BP52" i="10"/>
  <c r="BP67" i="10" s="1"/>
  <c r="J799" i="10" s="1"/>
  <c r="BA52" i="10"/>
  <c r="BA67" i="10" s="1"/>
  <c r="J784" i="10" s="1"/>
  <c r="AL52" i="10"/>
  <c r="AL67" i="10" s="1"/>
  <c r="J769" i="10" s="1"/>
  <c r="W52" i="10"/>
  <c r="W67" i="10" s="1"/>
  <c r="J754" i="10" s="1"/>
  <c r="E741" i="10"/>
  <c r="J71" i="10"/>
  <c r="E790" i="10"/>
  <c r="E782" i="10"/>
  <c r="E744" i="10"/>
  <c r="M71" i="10"/>
  <c r="E768" i="10"/>
  <c r="E769" i="10"/>
  <c r="E754" i="10"/>
  <c r="E739" i="10"/>
  <c r="E803" i="10"/>
  <c r="E780" i="10"/>
  <c r="AW71" i="10"/>
  <c r="P52" i="10"/>
  <c r="P67" i="10" s="1"/>
  <c r="J747" i="10" s="1"/>
  <c r="AR52" i="10"/>
  <c r="AR67" i="10" s="1"/>
  <c r="J775" i="10" s="1"/>
  <c r="BZ52" i="10"/>
  <c r="BZ67" i="10" s="1"/>
  <c r="J809" i="10" s="1"/>
  <c r="E799" i="10"/>
  <c r="E745" i="10"/>
  <c r="BF52" i="10"/>
  <c r="BF67" i="10" s="1"/>
  <c r="J789" i="10" s="1"/>
  <c r="AZ52" i="10"/>
  <c r="AZ67" i="10" s="1"/>
  <c r="J783" i="10" s="1"/>
  <c r="AK52" i="10"/>
  <c r="AK67" i="10" s="1"/>
  <c r="J768" i="10" s="1"/>
  <c r="G52" i="10"/>
  <c r="G67" i="10" s="1"/>
  <c r="J738" i="10" s="1"/>
  <c r="E759" i="10"/>
  <c r="BL52" i="10"/>
  <c r="BL67" i="10" s="1"/>
  <c r="J795" i="10" s="1"/>
  <c r="BX52" i="10"/>
  <c r="BX67" i="10" s="1"/>
  <c r="J807" i="10" s="1"/>
  <c r="AE52" i="10"/>
  <c r="AE67" i="10" s="1"/>
  <c r="J762" i="10" s="1"/>
  <c r="E806" i="10"/>
  <c r="BW71" i="10"/>
  <c r="E792" i="10"/>
  <c r="E777" i="10"/>
  <c r="E747" i="10"/>
  <c r="E811" i="10"/>
  <c r="CB71" i="10"/>
  <c r="BM52" i="10"/>
  <c r="BM67" i="10" s="1"/>
  <c r="J796" i="10" s="1"/>
  <c r="AI52" i="10"/>
  <c r="AI67" i="10" s="1"/>
  <c r="J766" i="10" s="1"/>
  <c r="AC52" i="10"/>
  <c r="AC67" i="10" s="1"/>
  <c r="J760" i="10" s="1"/>
  <c r="N52" i="10"/>
  <c r="N67" i="10" s="1"/>
  <c r="J745" i="10" s="1"/>
  <c r="BK52" i="10"/>
  <c r="BK67" i="10" s="1"/>
  <c r="J794" i="10" s="1"/>
  <c r="C62" i="10"/>
  <c r="CE48" i="10"/>
  <c r="E779" i="10"/>
  <c r="CC52" i="10"/>
  <c r="CC67" i="10" s="1"/>
  <c r="J812" i="10" s="1"/>
  <c r="BS52" i="10"/>
  <c r="BS67" i="10" s="1"/>
  <c r="J802" i="10" s="1"/>
  <c r="E736" i="10"/>
  <c r="AA52" i="10"/>
  <c r="AA67" i="10" s="1"/>
  <c r="J758" i="10" s="1"/>
  <c r="AX52" i="10"/>
  <c r="AX67" i="10" s="1"/>
  <c r="J781" i="10" s="1"/>
  <c r="AT52" i="10"/>
  <c r="AT67" i="10" s="1"/>
  <c r="J777" i="10" s="1"/>
  <c r="E757" i="10"/>
  <c r="E784" i="10"/>
  <c r="E762" i="10"/>
  <c r="AE71" i="10"/>
  <c r="E788" i="10"/>
  <c r="BG52" i="10"/>
  <c r="BG67" i="10" s="1"/>
  <c r="J790" i="10" s="1"/>
  <c r="AO52" i="10"/>
  <c r="AO67" i="10" s="1"/>
  <c r="J772" i="10" s="1"/>
  <c r="Q52" i="10"/>
  <c r="Q67" i="10" s="1"/>
  <c r="J748" i="10" s="1"/>
  <c r="AP52" i="10"/>
  <c r="AP67" i="10" s="1"/>
  <c r="J773" i="10" s="1"/>
  <c r="BN52" i="10"/>
  <c r="BN67" i="10" s="1"/>
  <c r="J797" i="10" s="1"/>
  <c r="T52" i="10"/>
  <c r="T67" i="10" s="1"/>
  <c r="J751" i="10" s="1"/>
  <c r="E52" i="10"/>
  <c r="E67" i="10" s="1"/>
  <c r="J736" i="10" s="1"/>
  <c r="BQ52" i="10"/>
  <c r="BQ67" i="10" s="1"/>
  <c r="J800" i="10" s="1"/>
  <c r="BB52" i="10"/>
  <c r="BB67" i="10" s="1"/>
  <c r="J785" i="10" s="1"/>
  <c r="AM52" i="10"/>
  <c r="AM67" i="10" s="1"/>
  <c r="J770" i="10" s="1"/>
  <c r="E773" i="10"/>
  <c r="AP71" i="10"/>
  <c r="E765" i="10"/>
  <c r="E808" i="10"/>
  <c r="BY71" i="10"/>
  <c r="E781" i="10"/>
  <c r="E800" i="10"/>
  <c r="E785" i="10"/>
  <c r="E770" i="10"/>
  <c r="AM71" i="10"/>
  <c r="E755" i="10"/>
  <c r="X71" i="10"/>
  <c r="E796" i="10"/>
  <c r="BM71" i="10"/>
  <c r="E783" i="10"/>
  <c r="E809" i="10"/>
  <c r="BZ71" i="10"/>
  <c r="AV52" i="10"/>
  <c r="AV67" i="10" s="1"/>
  <c r="J779" i="10" s="1"/>
  <c r="V52" i="10"/>
  <c r="V67" i="10" s="1"/>
  <c r="J753" i="10" s="1"/>
  <c r="E758" i="10"/>
  <c r="Y52" i="10"/>
  <c r="Y67" i="10" s="1"/>
  <c r="J756" i="10" s="1"/>
  <c r="AH52" i="10"/>
  <c r="AH67" i="10" s="1"/>
  <c r="J765" i="10" s="1"/>
  <c r="L52" i="10"/>
  <c r="L67" i="10" s="1"/>
  <c r="J743" i="10" s="1"/>
  <c r="BI52" i="10"/>
  <c r="BI67" i="10" s="1"/>
  <c r="J792" i="10" s="1"/>
  <c r="E798" i="10"/>
  <c r="BO71" i="10"/>
  <c r="H52" i="10"/>
  <c r="H67" i="10" s="1"/>
  <c r="J739" i="10" s="1"/>
  <c r="BE52" i="10"/>
  <c r="BE67" i="10" s="1"/>
  <c r="J788" i="10" s="1"/>
  <c r="AG52" i="10"/>
  <c r="AG67" i="10" s="1"/>
  <c r="J764" i="10" s="1"/>
  <c r="AQ52" i="10"/>
  <c r="AQ67" i="10" s="1"/>
  <c r="J774" i="10" s="1"/>
  <c r="C52" i="10"/>
  <c r="AB52" i="10"/>
  <c r="AB67" i="10" s="1"/>
  <c r="J759" i="10" s="1"/>
  <c r="M52" i="10"/>
  <c r="M67" i="10" s="1"/>
  <c r="J744" i="10" s="1"/>
  <c r="BY52" i="10"/>
  <c r="BY67" i="10" s="1"/>
  <c r="J808" i="10" s="1"/>
  <c r="BJ52" i="10"/>
  <c r="BJ67" i="10" s="1"/>
  <c r="J793" i="10" s="1"/>
  <c r="AU52" i="10"/>
  <c r="AU67" i="10" s="1"/>
  <c r="J778" i="10" s="1"/>
  <c r="E789" i="10"/>
  <c r="BF71" i="10"/>
  <c r="E775" i="10"/>
  <c r="AR71" i="10"/>
  <c r="E735" i="10"/>
  <c r="D71" i="10"/>
  <c r="E797" i="10"/>
  <c r="BN71" i="10"/>
  <c r="E760" i="10"/>
  <c r="E793" i="10"/>
  <c r="E778" i="10"/>
  <c r="E763" i="10"/>
  <c r="AF71" i="10"/>
  <c r="E740" i="10"/>
  <c r="E804" i="10"/>
  <c r="BU71" i="10"/>
  <c r="BW52" i="10"/>
  <c r="BW67" i="10" s="1"/>
  <c r="J806" i="10" s="1"/>
  <c r="S52" i="10"/>
  <c r="S67" i="10" s="1"/>
  <c r="J750" i="10" s="1"/>
  <c r="AJ52" i="10"/>
  <c r="AJ67" i="10" s="1"/>
  <c r="J767" i="10" s="1"/>
  <c r="U52" i="10"/>
  <c r="U67" i="10" s="1"/>
  <c r="J752" i="10" s="1"/>
  <c r="F52" i="10"/>
  <c r="F67" i="10" s="1"/>
  <c r="J737" i="10" s="1"/>
  <c r="BR52" i="10"/>
  <c r="BR67" i="10" s="1"/>
  <c r="J801" i="10" s="1"/>
  <c r="N816" i="10"/>
  <c r="K612" i="10"/>
  <c r="C465" i="10"/>
  <c r="E805" i="10"/>
  <c r="E749" i="10"/>
  <c r="R71" i="10"/>
  <c r="E767" i="10"/>
  <c r="AJ71" i="10"/>
  <c r="E751" i="10"/>
  <c r="E737" i="10"/>
  <c r="E801" i="10"/>
  <c r="E786" i="10"/>
  <c r="BC71" i="10"/>
  <c r="E771" i="10"/>
  <c r="AN71" i="10"/>
  <c r="E748" i="10"/>
  <c r="Q71" i="10"/>
  <c r="E812" i="10"/>
  <c r="I71" i="10" l="1"/>
  <c r="AC71" i="10"/>
  <c r="S71" i="10"/>
  <c r="BE71" i="10"/>
  <c r="BK71" i="10"/>
  <c r="BD71" i="10"/>
  <c r="C549" i="10" s="1"/>
  <c r="H71" i="10"/>
  <c r="AY71" i="10"/>
  <c r="C625" i="10" s="1"/>
  <c r="AG71" i="10"/>
  <c r="AU71" i="10"/>
  <c r="BL71" i="10"/>
  <c r="BJ71" i="10"/>
  <c r="BB71" i="10"/>
  <c r="C547" i="10" s="1"/>
  <c r="W71" i="10"/>
  <c r="C688" i="10" s="1"/>
  <c r="BG71" i="10"/>
  <c r="G71" i="10"/>
  <c r="AS71" i="10"/>
  <c r="C704" i="10"/>
  <c r="C532" i="10"/>
  <c r="G532" i="10" s="1"/>
  <c r="C636" i="10"/>
  <c r="C553" i="10"/>
  <c r="C701" i="10"/>
  <c r="C529" i="10"/>
  <c r="AX71" i="10"/>
  <c r="BI71" i="10"/>
  <c r="C705" i="10"/>
  <c r="C533" i="10"/>
  <c r="G533" i="10" s="1"/>
  <c r="T71" i="10"/>
  <c r="AV71" i="10"/>
  <c r="C641" i="10"/>
  <c r="C566" i="10"/>
  <c r="C544" i="10"/>
  <c r="CA71" i="10"/>
  <c r="C698" i="10"/>
  <c r="C526" i="10"/>
  <c r="C551" i="10"/>
  <c r="C629" i="10"/>
  <c r="P71" i="10"/>
  <c r="C631" i="10"/>
  <c r="C542" i="10"/>
  <c r="AL71" i="10"/>
  <c r="C552" i="10"/>
  <c r="C618" i="10"/>
  <c r="L71" i="10"/>
  <c r="O71" i="10"/>
  <c r="AI71" i="10"/>
  <c r="C570" i="10"/>
  <c r="C645" i="10"/>
  <c r="C643" i="10"/>
  <c r="C568" i="10"/>
  <c r="C635" i="10"/>
  <c r="C556" i="10"/>
  <c r="C632" i="10"/>
  <c r="C696" i="10"/>
  <c r="C524" i="10"/>
  <c r="E734" i="10"/>
  <c r="E815" i="10" s="1"/>
  <c r="CE62" i="10"/>
  <c r="E71" i="10"/>
  <c r="N71" i="10"/>
  <c r="V71" i="10"/>
  <c r="Y71" i="10"/>
  <c r="C555" i="10"/>
  <c r="C617" i="10"/>
  <c r="C67" i="10"/>
  <c r="CE52" i="10"/>
  <c r="C694" i="10"/>
  <c r="C522" i="10"/>
  <c r="G522" i="10" s="1"/>
  <c r="AZ71" i="10"/>
  <c r="BR71" i="10"/>
  <c r="C697" i="10"/>
  <c r="C525" i="10"/>
  <c r="G525" i="10" s="1"/>
  <c r="AA71" i="10"/>
  <c r="C638" i="10"/>
  <c r="C558" i="10"/>
  <c r="BQ71" i="10"/>
  <c r="C707" i="10"/>
  <c r="C535" i="10"/>
  <c r="G535" i="10" s="1"/>
  <c r="BA71" i="10"/>
  <c r="AT71" i="10"/>
  <c r="BT71" i="10"/>
  <c r="AK71" i="10"/>
  <c r="C675" i="10"/>
  <c r="C503" i="10"/>
  <c r="G503" i="10" s="1"/>
  <c r="AO71" i="10"/>
  <c r="AD71" i="10"/>
  <c r="AQ71" i="10"/>
  <c r="BS71" i="10"/>
  <c r="C709" i="10"/>
  <c r="C537" i="10"/>
  <c r="G537" i="10" s="1"/>
  <c r="C646" i="10"/>
  <c r="C571" i="10"/>
  <c r="C614" i="10"/>
  <c r="C550" i="10"/>
  <c r="C573" i="10"/>
  <c r="C622" i="10"/>
  <c r="C633" i="10"/>
  <c r="C548" i="10"/>
  <c r="C674" i="10"/>
  <c r="C502" i="10"/>
  <c r="G502" i="10" s="1"/>
  <c r="AH71" i="10"/>
  <c r="CC71" i="10"/>
  <c r="C683" i="10"/>
  <c r="C511" i="10"/>
  <c r="G511" i="10" s="1"/>
  <c r="C559" i="10"/>
  <c r="C619" i="10"/>
  <c r="C682" i="10"/>
  <c r="C510" i="10"/>
  <c r="G510" i="10" s="1"/>
  <c r="F71" i="10"/>
  <c r="BV71" i="10"/>
  <c r="AB71" i="10"/>
  <c r="BP71" i="10"/>
  <c r="BX71" i="10"/>
  <c r="K71" i="10"/>
  <c r="C684" i="10"/>
  <c r="C512" i="10"/>
  <c r="C712" i="10"/>
  <c r="C540" i="10"/>
  <c r="G540" i="10" s="1"/>
  <c r="C669" i="10"/>
  <c r="C497" i="10"/>
  <c r="G497" i="10" s="1"/>
  <c r="C627" i="10"/>
  <c r="C560" i="10"/>
  <c r="C689" i="10"/>
  <c r="C517" i="10"/>
  <c r="Z71" i="10"/>
  <c r="C501" i="10"/>
  <c r="G501" i="10" s="1"/>
  <c r="C673" i="10"/>
  <c r="C678" i="10"/>
  <c r="C506" i="10"/>
  <c r="G506" i="10" s="1"/>
  <c r="C637" i="10"/>
  <c r="C557" i="10"/>
  <c r="U71" i="10"/>
  <c r="C710" i="10"/>
  <c r="C538" i="10"/>
  <c r="G538" i="10" s="1"/>
  <c r="C672" i="10"/>
  <c r="C500" i="10"/>
  <c r="G500" i="10" s="1"/>
  <c r="C624" i="10" l="1"/>
  <c r="C516" i="10"/>
  <c r="C626" i="10"/>
  <c r="C563" i="10"/>
  <c r="D615" i="10"/>
  <c r="C628" i="10"/>
  <c r="C545" i="10"/>
  <c r="C676" i="10"/>
  <c r="C504" i="10"/>
  <c r="C562" i="10"/>
  <c r="C623" i="10"/>
  <c r="C679" i="10"/>
  <c r="C507" i="10"/>
  <c r="G507" i="10" s="1"/>
  <c r="G544" i="10"/>
  <c r="H544" i="10" s="1"/>
  <c r="C543" i="10"/>
  <c r="C616" i="10"/>
  <c r="C644" i="10"/>
  <c r="C569" i="10"/>
  <c r="C670" i="10"/>
  <c r="C498" i="10"/>
  <c r="C700" i="10"/>
  <c r="C528" i="10"/>
  <c r="G528" i="10" s="1"/>
  <c r="C681" i="10"/>
  <c r="C509" i="10"/>
  <c r="G509" i="10" s="1"/>
  <c r="G529" i="10"/>
  <c r="H529" i="10" s="1"/>
  <c r="G517" i="10"/>
  <c r="H517" i="10" s="1"/>
  <c r="C572" i="10"/>
  <c r="C647" i="10"/>
  <c r="C634" i="10"/>
  <c r="C554" i="10"/>
  <c r="C621" i="10"/>
  <c r="C561" i="10"/>
  <c r="G516" i="10"/>
  <c r="H516" i="10" s="1"/>
  <c r="C702" i="10"/>
  <c r="C530" i="10"/>
  <c r="E816" i="10"/>
  <c r="C428" i="10"/>
  <c r="CE71" i="10"/>
  <c r="C716" i="10" s="1"/>
  <c r="C680" i="10"/>
  <c r="C508" i="10"/>
  <c r="G508" i="10" s="1"/>
  <c r="C686" i="10"/>
  <c r="C514" i="10"/>
  <c r="G512" i="10"/>
  <c r="H512" i="10"/>
  <c r="G550" i="10"/>
  <c r="H550" i="10"/>
  <c r="C703" i="10"/>
  <c r="C531" i="10"/>
  <c r="C687" i="10"/>
  <c r="C515" i="10"/>
  <c r="G515" i="10" s="1"/>
  <c r="J734" i="10"/>
  <c r="J815" i="10" s="1"/>
  <c r="CE67" i="10"/>
  <c r="C713" i="10"/>
  <c r="C541" i="10"/>
  <c r="G526" i="10"/>
  <c r="H526" i="10" s="1"/>
  <c r="C685" i="10"/>
  <c r="C513" i="10"/>
  <c r="C690" i="10"/>
  <c r="C518" i="10"/>
  <c r="C706" i="10"/>
  <c r="C534" i="10"/>
  <c r="G534" i="10" s="1"/>
  <c r="C693" i="10"/>
  <c r="C521" i="10"/>
  <c r="C640" i="10"/>
  <c r="C565" i="10"/>
  <c r="C692" i="10"/>
  <c r="C520" i="10"/>
  <c r="G520" i="10" s="1"/>
  <c r="C71" i="10"/>
  <c r="C677" i="10"/>
  <c r="C505" i="10"/>
  <c r="C642" i="10"/>
  <c r="C567" i="10"/>
  <c r="C574" i="10"/>
  <c r="C620" i="10"/>
  <c r="C639" i="10"/>
  <c r="C564" i="10"/>
  <c r="C711" i="10"/>
  <c r="C539" i="10"/>
  <c r="G539" i="10" s="1"/>
  <c r="C691" i="10"/>
  <c r="C519" i="10"/>
  <c r="G519" i="10" s="1"/>
  <c r="C671" i="10"/>
  <c r="C499" i="10"/>
  <c r="G499" i="10" s="1"/>
  <c r="C699" i="10"/>
  <c r="C527" i="10"/>
  <c r="G527" i="10" s="1"/>
  <c r="C708" i="10"/>
  <c r="C536" i="10"/>
  <c r="G536" i="10" s="1"/>
  <c r="C630" i="10"/>
  <c r="C546" i="10"/>
  <c r="G524" i="10"/>
  <c r="H524" i="10"/>
  <c r="C695" i="10"/>
  <c r="C523" i="10"/>
  <c r="G523" i="10" s="1"/>
  <c r="J816" i="10" l="1"/>
  <c r="C433" i="10"/>
  <c r="C441" i="10"/>
  <c r="C648" i="10"/>
  <c r="M716" i="10" s="1"/>
  <c r="Y816" i="10" s="1"/>
  <c r="D712" i="10"/>
  <c r="D704" i="10"/>
  <c r="D696" i="10"/>
  <c r="D709" i="10"/>
  <c r="D701" i="10"/>
  <c r="D693" i="10"/>
  <c r="D706" i="10"/>
  <c r="D698" i="10"/>
  <c r="D711" i="10"/>
  <c r="D703" i="10"/>
  <c r="D695" i="10"/>
  <c r="D708" i="10"/>
  <c r="D700" i="10"/>
  <c r="D713" i="10"/>
  <c r="D705" i="10"/>
  <c r="D697" i="10"/>
  <c r="D710" i="10"/>
  <c r="D702" i="10"/>
  <c r="D694" i="10"/>
  <c r="D707" i="10"/>
  <c r="D688" i="10"/>
  <c r="D680" i="10"/>
  <c r="D672" i="10"/>
  <c r="D620" i="10"/>
  <c r="D616" i="10"/>
  <c r="E623" i="10" s="1"/>
  <c r="D685" i="10"/>
  <c r="D677" i="10"/>
  <c r="D692" i="10"/>
  <c r="D682" i="10"/>
  <c r="D674" i="10"/>
  <c r="D684" i="10"/>
  <c r="D676" i="10"/>
  <c r="D668" i="10"/>
  <c r="D628" i="10"/>
  <c r="D622" i="10"/>
  <c r="D618" i="10"/>
  <c r="D699" i="10"/>
  <c r="D690" i="10"/>
  <c r="D687" i="10"/>
  <c r="D671" i="10"/>
  <c r="D646" i="10"/>
  <c r="D643" i="10"/>
  <c r="D635" i="10"/>
  <c r="D623" i="10"/>
  <c r="D681" i="10"/>
  <c r="D638" i="10"/>
  <c r="D630" i="10"/>
  <c r="D617" i="10"/>
  <c r="D678" i="10"/>
  <c r="D675" i="10"/>
  <c r="D647" i="10"/>
  <c r="D644" i="10"/>
  <c r="D636" i="10"/>
  <c r="D625" i="10"/>
  <c r="D621" i="10"/>
  <c r="D691" i="10"/>
  <c r="D679" i="10"/>
  <c r="D639" i="10"/>
  <c r="D631" i="10"/>
  <c r="D627" i="10"/>
  <c r="D716" i="10"/>
  <c r="D689" i="10"/>
  <c r="D673" i="10"/>
  <c r="D645" i="10"/>
  <c r="D642" i="10"/>
  <c r="D634" i="10"/>
  <c r="D629" i="10"/>
  <c r="D683" i="10"/>
  <c r="D670" i="10"/>
  <c r="D640" i="10"/>
  <c r="D632" i="10"/>
  <c r="D626" i="10"/>
  <c r="D633" i="10"/>
  <c r="D624" i="10"/>
  <c r="D686" i="10"/>
  <c r="D637" i="10"/>
  <c r="D619" i="10"/>
  <c r="D641" i="10"/>
  <c r="D669" i="10"/>
  <c r="G518" i="10"/>
  <c r="H518" i="10"/>
  <c r="H513" i="10"/>
  <c r="G513" i="10"/>
  <c r="G514" i="10"/>
  <c r="H514" i="10" s="1"/>
  <c r="G530" i="10"/>
  <c r="H530" i="10" s="1"/>
  <c r="G505" i="10"/>
  <c r="H505" i="10"/>
  <c r="G545" i="10"/>
  <c r="H545" i="10"/>
  <c r="C668" i="10"/>
  <c r="C715" i="10" s="1"/>
  <c r="C496" i="10"/>
  <c r="G496" i="10" s="1"/>
  <c r="G546" i="10"/>
  <c r="H546" i="10"/>
  <c r="G504" i="10"/>
  <c r="H504" i="10"/>
  <c r="G521" i="10"/>
  <c r="H521" i="10"/>
  <c r="G531" i="10"/>
  <c r="H531" i="10" s="1"/>
  <c r="G498" i="10"/>
  <c r="H498" i="10"/>
  <c r="E716" i="10" l="1"/>
  <c r="E612" i="10"/>
  <c r="E709" i="10" s="1"/>
  <c r="D715" i="10"/>
  <c r="E644" i="10" l="1"/>
  <c r="E636" i="10"/>
  <c r="E671" i="10"/>
  <c r="E629" i="10"/>
  <c r="E694" i="10"/>
  <c r="E697" i="10"/>
  <c r="E670" i="10"/>
  <c r="E628" i="10"/>
  <c r="E705" i="10"/>
  <c r="E635" i="10"/>
  <c r="E645" i="10"/>
  <c r="E630" i="10"/>
  <c r="E682" i="10"/>
  <c r="E708" i="10"/>
  <c r="E679" i="10"/>
  <c r="E643" i="10"/>
  <c r="E639" i="10"/>
  <c r="E638" i="10"/>
  <c r="E712" i="10"/>
  <c r="E703" i="10"/>
  <c r="E672" i="10"/>
  <c r="E684" i="10"/>
  <c r="E669" i="10"/>
  <c r="E698" i="10"/>
  <c r="E686" i="10"/>
  <c r="E647" i="10"/>
  <c r="E675" i="10"/>
  <c r="E702" i="10"/>
  <c r="E632" i="10"/>
  <c r="E634" i="10"/>
  <c r="E687" i="10"/>
  <c r="E642" i="10"/>
  <c r="E690" i="10"/>
  <c r="E646" i="10"/>
  <c r="E683" i="10"/>
  <c r="E680" i="10"/>
  <c r="E688" i="10"/>
  <c r="E704" i="10"/>
  <c r="E677" i="10"/>
  <c r="E706" i="10"/>
  <c r="E627" i="10"/>
  <c r="E710" i="10"/>
  <c r="E711" i="10"/>
  <c r="E625" i="10"/>
  <c r="E695" i="10"/>
  <c r="E668" i="10"/>
  <c r="E633" i="10"/>
  <c r="E673" i="10"/>
  <c r="E691" i="10"/>
  <c r="E685" i="10"/>
  <c r="E713" i="10"/>
  <c r="E693" i="10"/>
  <c r="E626" i="10"/>
  <c r="E624" i="10"/>
  <c r="E676" i="10"/>
  <c r="E641" i="10"/>
  <c r="E681" i="10"/>
  <c r="E696" i="10"/>
  <c r="E699" i="10"/>
  <c r="E692" i="10"/>
  <c r="E701" i="10"/>
  <c r="E640" i="10"/>
  <c r="E637" i="10"/>
  <c r="E631" i="10"/>
  <c r="E678" i="10"/>
  <c r="E689" i="10"/>
  <c r="E674" i="10"/>
  <c r="E707" i="10"/>
  <c r="E700" i="10"/>
  <c r="E715" i="10" l="1"/>
  <c r="F624" i="10"/>
  <c r="F706" i="10" l="1"/>
  <c r="F698" i="10"/>
  <c r="F690" i="10"/>
  <c r="F711" i="10"/>
  <c r="F703" i="10"/>
  <c r="F695" i="10"/>
  <c r="F708" i="10"/>
  <c r="F700" i="10"/>
  <c r="F713" i="10"/>
  <c r="F705" i="10"/>
  <c r="F697" i="10"/>
  <c r="F710" i="10"/>
  <c r="F702" i="10"/>
  <c r="F716" i="10"/>
  <c r="F707" i="10"/>
  <c r="F699" i="10"/>
  <c r="F712" i="10"/>
  <c r="F704" i="10"/>
  <c r="F696" i="10"/>
  <c r="F701" i="10"/>
  <c r="F682" i="10"/>
  <c r="F674" i="10"/>
  <c r="F692" i="10"/>
  <c r="F691" i="10"/>
  <c r="F687" i="10"/>
  <c r="F679" i="10"/>
  <c r="F671" i="10"/>
  <c r="F684" i="10"/>
  <c r="F676" i="10"/>
  <c r="F668" i="10"/>
  <c r="F628" i="10"/>
  <c r="F694" i="10"/>
  <c r="F686" i="10"/>
  <c r="F678" i="10"/>
  <c r="F670" i="10"/>
  <c r="F647" i="10"/>
  <c r="F646" i="10"/>
  <c r="F645" i="10"/>
  <c r="F629" i="10"/>
  <c r="F626" i="10"/>
  <c r="F681" i="10"/>
  <c r="F641" i="10"/>
  <c r="F633" i="10"/>
  <c r="F709" i="10"/>
  <c r="F675" i="10"/>
  <c r="F644" i="10"/>
  <c r="F636" i="10"/>
  <c r="F625" i="10"/>
  <c r="F688" i="10"/>
  <c r="F672" i="10"/>
  <c r="F685" i="10"/>
  <c r="F642" i="10"/>
  <c r="F634" i="10"/>
  <c r="F627" i="10"/>
  <c r="F693" i="10"/>
  <c r="F689" i="10"/>
  <c r="F673" i="10"/>
  <c r="F637" i="10"/>
  <c r="F683" i="10"/>
  <c r="F669" i="10"/>
  <c r="F640" i="10"/>
  <c r="F632" i="10"/>
  <c r="F677" i="10"/>
  <c r="F638" i="10"/>
  <c r="F630" i="10"/>
  <c r="F635" i="10"/>
  <c r="F639" i="10"/>
  <c r="F631" i="10"/>
  <c r="F643" i="10"/>
  <c r="F680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710" i="10"/>
  <c r="G702" i="10"/>
  <c r="G694" i="10"/>
  <c r="G716" i="10"/>
  <c r="G707" i="10"/>
  <c r="G699" i="10"/>
  <c r="G712" i="10"/>
  <c r="G704" i="10"/>
  <c r="G709" i="10"/>
  <c r="G701" i="10"/>
  <c r="G691" i="10"/>
  <c r="G687" i="10"/>
  <c r="G679" i="10"/>
  <c r="G671" i="10"/>
  <c r="G706" i="10"/>
  <c r="G696" i="10"/>
  <c r="G690" i="10"/>
  <c r="G684" i="10"/>
  <c r="G676" i="10"/>
  <c r="G693" i="10"/>
  <c r="G689" i="10"/>
  <c r="G681" i="10"/>
  <c r="G673" i="10"/>
  <c r="G698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78" i="10"/>
  <c r="G688" i="10"/>
  <c r="G672" i="10"/>
  <c r="G647" i="10"/>
  <c r="G685" i="10"/>
  <c r="G682" i="10"/>
  <c r="G668" i="10"/>
  <c r="G645" i="10"/>
  <c r="G629" i="10"/>
  <c r="G686" i="10"/>
  <c r="G669" i="10"/>
  <c r="G680" i="10"/>
  <c r="G670" i="10"/>
  <c r="G626" i="10"/>
  <c r="G715" i="10" s="1"/>
  <c r="G674" i="10"/>
  <c r="G628" i="10"/>
  <c r="G677" i="10"/>
  <c r="G646" i="10"/>
  <c r="G627" i="10"/>
  <c r="H628" i="10" l="1"/>
  <c r="H708" i="10" l="1"/>
  <c r="H700" i="10"/>
  <c r="H692" i="10"/>
  <c r="H713" i="10"/>
  <c r="H705" i="10"/>
  <c r="H697" i="10"/>
  <c r="H710" i="10"/>
  <c r="H702" i="10"/>
  <c r="H716" i="10"/>
  <c r="H707" i="10"/>
  <c r="H699" i="10"/>
  <c r="H691" i="10"/>
  <c r="H712" i="10"/>
  <c r="H704" i="10"/>
  <c r="H709" i="10"/>
  <c r="H701" i="10"/>
  <c r="H706" i="10"/>
  <c r="H698" i="10"/>
  <c r="H696" i="10"/>
  <c r="H690" i="10"/>
  <c r="H684" i="10"/>
  <c r="H676" i="10"/>
  <c r="H668" i="10"/>
  <c r="H693" i="10"/>
  <c r="H689" i="10"/>
  <c r="H681" i="10"/>
  <c r="H673" i="10"/>
  <c r="H711" i="10"/>
  <c r="H686" i="10"/>
  <c r="H678" i="10"/>
  <c r="H670" i="10"/>
  <c r="H647" i="10"/>
  <c r="H646" i="10"/>
  <c r="H645" i="10"/>
  <c r="H629" i="10"/>
  <c r="H688" i="10"/>
  <c r="H680" i="10"/>
  <c r="H672" i="10"/>
  <c r="H694" i="10"/>
  <c r="H675" i="10"/>
  <c r="H644" i="10"/>
  <c r="H636" i="10"/>
  <c r="H685" i="10"/>
  <c r="H639" i="10"/>
  <c r="H631" i="10"/>
  <c r="H682" i="10"/>
  <c r="H679" i="10"/>
  <c r="H669" i="10"/>
  <c r="H637" i="10"/>
  <c r="H683" i="10"/>
  <c r="H640" i="10"/>
  <c r="H632" i="10"/>
  <c r="H703" i="10"/>
  <c r="H677" i="10"/>
  <c r="H643" i="10"/>
  <c r="H635" i="10"/>
  <c r="H687" i="10"/>
  <c r="H671" i="10"/>
  <c r="H641" i="10"/>
  <c r="H633" i="10"/>
  <c r="H695" i="10"/>
  <c r="H638" i="10"/>
  <c r="H674" i="10"/>
  <c r="H630" i="10"/>
  <c r="H642" i="10"/>
  <c r="H634" i="10"/>
  <c r="H715" i="10" l="1"/>
  <c r="I629" i="10"/>
  <c r="I713" i="10" l="1"/>
  <c r="I705" i="10"/>
  <c r="I697" i="10"/>
  <c r="I710" i="10"/>
  <c r="I702" i="10"/>
  <c r="I694" i="10"/>
  <c r="I716" i="10"/>
  <c r="I707" i="10"/>
  <c r="I699" i="10"/>
  <c r="I712" i="10"/>
  <c r="I704" i="10"/>
  <c r="I696" i="10"/>
  <c r="I709" i="10"/>
  <c r="I701" i="10"/>
  <c r="I706" i="10"/>
  <c r="I698" i="10"/>
  <c r="I711" i="10"/>
  <c r="I703" i="10"/>
  <c r="I695" i="10"/>
  <c r="I693" i="10"/>
  <c r="I692" i="10"/>
  <c r="I689" i="10"/>
  <c r="I681" i="10"/>
  <c r="I673" i="10"/>
  <c r="I700" i="10"/>
  <c r="I686" i="10"/>
  <c r="I678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5" i="10"/>
  <c r="I677" i="10"/>
  <c r="I669" i="10"/>
  <c r="I688" i="10"/>
  <c r="I672" i="10"/>
  <c r="I647" i="10"/>
  <c r="I682" i="10"/>
  <c r="I708" i="10"/>
  <c r="I679" i="10"/>
  <c r="I668" i="10"/>
  <c r="I645" i="10"/>
  <c r="I691" i="10"/>
  <c r="I676" i="10"/>
  <c r="I680" i="10"/>
  <c r="I670" i="10"/>
  <c r="I674" i="10"/>
  <c r="I646" i="10"/>
  <c r="I690" i="10"/>
  <c r="I684" i="10"/>
  <c r="I687" i="10"/>
  <c r="I671" i="10"/>
  <c r="I715" i="10" l="1"/>
  <c r="J630" i="10"/>
  <c r="J710" i="10" l="1"/>
  <c r="J702" i="10"/>
  <c r="J694" i="10"/>
  <c r="J716" i="10"/>
  <c r="J707" i="10"/>
  <c r="J699" i="10"/>
  <c r="J712" i="10"/>
  <c r="J704" i="10"/>
  <c r="J709" i="10"/>
  <c r="J701" i="10"/>
  <c r="J693" i="10"/>
  <c r="J706" i="10"/>
  <c r="J698" i="10"/>
  <c r="J711" i="10"/>
  <c r="J703" i="10"/>
  <c r="J708" i="10"/>
  <c r="J700" i="10"/>
  <c r="J686" i="10"/>
  <c r="J678" i="10"/>
  <c r="J670" i="10"/>
  <c r="J647" i="10"/>
  <c r="J646" i="10"/>
  <c r="J645" i="10"/>
  <c r="J683" i="10"/>
  <c r="J675" i="10"/>
  <c r="J705" i="10"/>
  <c r="J688" i="10"/>
  <c r="J680" i="10"/>
  <c r="J672" i="10"/>
  <c r="J682" i="10"/>
  <c r="J674" i="10"/>
  <c r="J685" i="10"/>
  <c r="J639" i="10"/>
  <c r="J631" i="10"/>
  <c r="J697" i="10"/>
  <c r="J679" i="10"/>
  <c r="J668" i="10"/>
  <c r="J642" i="10"/>
  <c r="J634" i="10"/>
  <c r="J691" i="10"/>
  <c r="J676" i="10"/>
  <c r="J669" i="10"/>
  <c r="J696" i="10"/>
  <c r="J689" i="10"/>
  <c r="J673" i="10"/>
  <c r="J640" i="10"/>
  <c r="J632" i="10"/>
  <c r="J677" i="10"/>
  <c r="J643" i="10"/>
  <c r="J635" i="10"/>
  <c r="J695" i="10"/>
  <c r="J687" i="10"/>
  <c r="J671" i="10"/>
  <c r="J638" i="10"/>
  <c r="J713" i="10"/>
  <c r="J692" i="10"/>
  <c r="J681" i="10"/>
  <c r="J644" i="10"/>
  <c r="J636" i="10"/>
  <c r="J641" i="10"/>
  <c r="J690" i="10"/>
  <c r="J633" i="10"/>
  <c r="J637" i="10"/>
  <c r="J684" i="10"/>
  <c r="L647" i="10" l="1"/>
  <c r="K644" i="10"/>
  <c r="J715" i="10"/>
  <c r="L712" i="10" l="1"/>
  <c r="L704" i="10"/>
  <c r="L696" i="10"/>
  <c r="L709" i="10"/>
  <c r="L701" i="10"/>
  <c r="L693" i="10"/>
  <c r="L706" i="10"/>
  <c r="L698" i="10"/>
  <c r="L711" i="10"/>
  <c r="L703" i="10"/>
  <c r="L695" i="10"/>
  <c r="L708" i="10"/>
  <c r="L700" i="10"/>
  <c r="L713" i="10"/>
  <c r="L705" i="10"/>
  <c r="M705" i="10" s="1"/>
  <c r="Y771" i="10" s="1"/>
  <c r="L697" i="10"/>
  <c r="L710" i="10"/>
  <c r="L702" i="10"/>
  <c r="L694" i="10"/>
  <c r="L688" i="10"/>
  <c r="L680" i="10"/>
  <c r="L672" i="10"/>
  <c r="L685" i="10"/>
  <c r="L677" i="10"/>
  <c r="L699" i="10"/>
  <c r="L682" i="10"/>
  <c r="L674" i="10"/>
  <c r="L716" i="10"/>
  <c r="L684" i="10"/>
  <c r="L676" i="10"/>
  <c r="L668" i="10"/>
  <c r="L679" i="10"/>
  <c r="L691" i="10"/>
  <c r="L689" i="10"/>
  <c r="L673" i="10"/>
  <c r="L669" i="10"/>
  <c r="L686" i="10"/>
  <c r="L670" i="10"/>
  <c r="L707" i="10"/>
  <c r="M707" i="10" s="1"/>
  <c r="Y773" i="10" s="1"/>
  <c r="L683" i="10"/>
  <c r="L687" i="10"/>
  <c r="L671" i="10"/>
  <c r="L692" i="10"/>
  <c r="L690" i="10"/>
  <c r="L681" i="10"/>
  <c r="L675" i="10"/>
  <c r="M675" i="10" s="1"/>
  <c r="Y741" i="10" s="1"/>
  <c r="L678" i="10"/>
  <c r="M678" i="10" s="1"/>
  <c r="Y744" i="10" s="1"/>
  <c r="K716" i="10"/>
  <c r="K707" i="10"/>
  <c r="K699" i="10"/>
  <c r="K691" i="10"/>
  <c r="K712" i="10"/>
  <c r="K704" i="10"/>
  <c r="K696" i="10"/>
  <c r="K709" i="10"/>
  <c r="K701" i="10"/>
  <c r="K706" i="10"/>
  <c r="K698" i="10"/>
  <c r="K690" i="10"/>
  <c r="K711" i="10"/>
  <c r="K703" i="10"/>
  <c r="K708" i="10"/>
  <c r="K700" i="10"/>
  <c r="K713" i="10"/>
  <c r="K705" i="10"/>
  <c r="K697" i="10"/>
  <c r="K683" i="10"/>
  <c r="K675" i="10"/>
  <c r="K688" i="10"/>
  <c r="K680" i="10"/>
  <c r="K672" i="10"/>
  <c r="K694" i="10"/>
  <c r="K685" i="10"/>
  <c r="K677" i="10"/>
  <c r="K669" i="10"/>
  <c r="K695" i="10"/>
  <c r="K687" i="10"/>
  <c r="K679" i="10"/>
  <c r="K671" i="10"/>
  <c r="K710" i="10"/>
  <c r="K682" i="10"/>
  <c r="K668" i="10"/>
  <c r="K676" i="10"/>
  <c r="K689" i="10"/>
  <c r="K673" i="10"/>
  <c r="K693" i="10"/>
  <c r="K686" i="10"/>
  <c r="K670" i="10"/>
  <c r="K674" i="10"/>
  <c r="K684" i="10"/>
  <c r="K678" i="10"/>
  <c r="K681" i="10"/>
  <c r="K702" i="10"/>
  <c r="K692" i="10"/>
  <c r="M706" i="10" l="1"/>
  <c r="Y772" i="10" s="1"/>
  <c r="M673" i="10"/>
  <c r="Y739" i="10" s="1"/>
  <c r="M694" i="10"/>
  <c r="Y760" i="10" s="1"/>
  <c r="M695" i="10"/>
  <c r="Y761" i="10" s="1"/>
  <c r="M713" i="10"/>
  <c r="Y779" i="10" s="1"/>
  <c r="M670" i="10"/>
  <c r="Y736" i="10" s="1"/>
  <c r="M687" i="10"/>
  <c r="Y753" i="10" s="1"/>
  <c r="M699" i="10"/>
  <c r="Y765" i="10" s="1"/>
  <c r="M710" i="10"/>
  <c r="Y776" i="10" s="1"/>
  <c r="M711" i="10"/>
  <c r="Y777" i="10" s="1"/>
  <c r="M712" i="10"/>
  <c r="Y778" i="10" s="1"/>
  <c r="M691" i="10"/>
  <c r="Y757" i="10" s="1"/>
  <c r="M683" i="10"/>
  <c r="Y749" i="10" s="1"/>
  <c r="M679" i="10"/>
  <c r="Y745" i="10" s="1"/>
  <c r="M677" i="10"/>
  <c r="Y743" i="10" s="1"/>
  <c r="M697" i="10"/>
  <c r="Y763" i="10" s="1"/>
  <c r="M698" i="10"/>
  <c r="Y764" i="10" s="1"/>
  <c r="L715" i="10"/>
  <c r="M668" i="10"/>
  <c r="M676" i="10"/>
  <c r="Y742" i="10" s="1"/>
  <c r="M672" i="10"/>
  <c r="Y738" i="10" s="1"/>
  <c r="M693" i="10"/>
  <c r="Y759" i="10" s="1"/>
  <c r="M681" i="10"/>
  <c r="Y747" i="10" s="1"/>
  <c r="M686" i="10"/>
  <c r="Y752" i="10" s="1"/>
  <c r="M684" i="10"/>
  <c r="Y750" i="10" s="1"/>
  <c r="M680" i="10"/>
  <c r="Y746" i="10" s="1"/>
  <c r="M700" i="10"/>
  <c r="Y766" i="10" s="1"/>
  <c r="M701" i="10"/>
  <c r="Y767" i="10" s="1"/>
  <c r="M690" i="10"/>
  <c r="Y756" i="10" s="1"/>
  <c r="M669" i="10"/>
  <c r="Y735" i="10" s="1"/>
  <c r="M688" i="10"/>
  <c r="Y754" i="10" s="1"/>
  <c r="M708" i="10"/>
  <c r="Y774" i="10" s="1"/>
  <c r="M709" i="10"/>
  <c r="Y775" i="10" s="1"/>
  <c r="M685" i="10"/>
  <c r="Y751" i="10" s="1"/>
  <c r="M692" i="10"/>
  <c r="Y758" i="10" s="1"/>
  <c r="M674" i="10"/>
  <c r="Y740" i="10" s="1"/>
  <c r="M696" i="10"/>
  <c r="Y762" i="10" s="1"/>
  <c r="K715" i="10"/>
  <c r="M671" i="10"/>
  <c r="Y737" i="10" s="1"/>
  <c r="M689" i="10"/>
  <c r="Y755" i="10" s="1"/>
  <c r="M682" i="10"/>
  <c r="Y748" i="10" s="1"/>
  <c r="M702" i="10"/>
  <c r="Y768" i="10" s="1"/>
  <c r="M703" i="10"/>
  <c r="Y769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E198" i="1"/>
  <c r="E199" i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D190" i="1"/>
  <c r="D437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26" i="9"/>
  <c r="H58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F499" i="1"/>
  <c r="F517" i="1"/>
  <c r="H515" i="1"/>
  <c r="H501" i="1"/>
  <c r="F501" i="1"/>
  <c r="F497" i="1"/>
  <c r="H497" i="1"/>
  <c r="H499" i="1"/>
  <c r="H511" i="1"/>
  <c r="D330" i="1" l="1"/>
  <c r="C86" i="8" s="1"/>
  <c r="C218" i="9"/>
  <c r="C421" i="1"/>
  <c r="C417" i="1"/>
  <c r="B440" i="1"/>
  <c r="G28" i="4"/>
  <c r="B476" i="1"/>
  <c r="F28" i="4"/>
  <c r="C575" i="1"/>
  <c r="D463" i="1"/>
  <c r="G10" i="4"/>
  <c r="B441" i="1"/>
  <c r="D368" i="1"/>
  <c r="C120" i="8" s="1"/>
  <c r="C119" i="8"/>
  <c r="D13" i="7"/>
  <c r="D5" i="7"/>
  <c r="C475" i="1"/>
  <c r="C473" i="1"/>
  <c r="F8" i="6"/>
  <c r="C27" i="5"/>
  <c r="D435" i="1"/>
  <c r="D428" i="1"/>
  <c r="G19" i="4"/>
  <c r="E19" i="4"/>
  <c r="B10" i="4"/>
  <c r="I612" i="1"/>
  <c r="I381" i="9"/>
  <c r="CF77" i="1"/>
  <c r="CC48" i="1"/>
  <c r="CC62" i="1" s="1"/>
  <c r="AH48" i="1"/>
  <c r="AH62" i="1" s="1"/>
  <c r="BE48" i="1"/>
  <c r="BE62" i="1" s="1"/>
  <c r="BL48" i="1"/>
  <c r="BL62" i="1" s="1"/>
  <c r="H268" i="9" s="1"/>
  <c r="AF48" i="1"/>
  <c r="AF62" i="1" s="1"/>
  <c r="BS48" i="1"/>
  <c r="BS62" i="1" s="1"/>
  <c r="BN48" i="1"/>
  <c r="BN62" i="1" s="1"/>
  <c r="AM48" i="1"/>
  <c r="AM62" i="1" s="1"/>
  <c r="G122" i="9"/>
  <c r="F48" i="1"/>
  <c r="F62" i="1" s="1"/>
  <c r="AX48" i="1"/>
  <c r="AX62" i="1" s="1"/>
  <c r="CB48" i="1"/>
  <c r="CB62" i="1" s="1"/>
  <c r="C364" i="9" s="1"/>
  <c r="BO48" i="1"/>
  <c r="BO62" i="1" s="1"/>
  <c r="D300" i="9" s="1"/>
  <c r="C427" i="1"/>
  <c r="AV48" i="1"/>
  <c r="AV62" i="1" s="1"/>
  <c r="CA48" i="1"/>
  <c r="CA62" i="1" s="1"/>
  <c r="I332" i="9" s="1"/>
  <c r="S48" i="1"/>
  <c r="S62" i="1" s="1"/>
  <c r="E76" i="9" s="1"/>
  <c r="BU48" i="1"/>
  <c r="BU62" i="1" s="1"/>
  <c r="C332" i="9" s="1"/>
  <c r="AC48" i="1"/>
  <c r="AC62" i="1" s="1"/>
  <c r="H108" i="9" s="1"/>
  <c r="X48" i="1"/>
  <c r="X62" i="1" s="1"/>
  <c r="I90" i="9"/>
  <c r="Z48" i="1"/>
  <c r="Z62" i="1" s="1"/>
  <c r="E108" i="9" s="1"/>
  <c r="AR48" i="1"/>
  <c r="AR62" i="1" s="1"/>
  <c r="I172" i="9" s="1"/>
  <c r="BH48" i="1"/>
  <c r="BH62" i="1" s="1"/>
  <c r="D268" i="9" s="1"/>
  <c r="BX48" i="1"/>
  <c r="BX62" i="1" s="1"/>
  <c r="AQ48" i="1"/>
  <c r="AQ62" i="1" s="1"/>
  <c r="AO48" i="1"/>
  <c r="AO62" i="1" s="1"/>
  <c r="BA48" i="1"/>
  <c r="BA62" i="1" s="1"/>
  <c r="M48" i="1"/>
  <c r="M62" i="1" s="1"/>
  <c r="P48" i="1"/>
  <c r="P62" i="1" s="1"/>
  <c r="I44" i="9" s="1"/>
  <c r="W48" i="1"/>
  <c r="W62" i="1" s="1"/>
  <c r="N48" i="1"/>
  <c r="N62" i="1" s="1"/>
  <c r="AL48" i="1"/>
  <c r="AL62" i="1" s="1"/>
  <c r="BB48" i="1"/>
  <c r="BB62" i="1" s="1"/>
  <c r="BR48" i="1"/>
  <c r="BR62" i="1" s="1"/>
  <c r="C48" i="1"/>
  <c r="C62" i="1" s="1"/>
  <c r="AA48" i="1"/>
  <c r="AA62" i="1" s="1"/>
  <c r="F108" i="9" s="1"/>
  <c r="Y48" i="1"/>
  <c r="Y62" i="1" s="1"/>
  <c r="U48" i="1"/>
  <c r="U62" i="1" s="1"/>
  <c r="G76" i="9" s="1"/>
  <c r="BC48" i="1"/>
  <c r="BC62" i="1" s="1"/>
  <c r="BZ48" i="1"/>
  <c r="BZ62" i="1" s="1"/>
  <c r="L48" i="1"/>
  <c r="L62" i="1" s="1"/>
  <c r="I372" i="9"/>
  <c r="C429" i="1"/>
  <c r="C440" i="1"/>
  <c r="C432" i="1"/>
  <c r="C430" i="1"/>
  <c r="I366" i="9"/>
  <c r="J48" i="1"/>
  <c r="J62" i="1" s="1"/>
  <c r="V48" i="1"/>
  <c r="V62" i="1" s="1"/>
  <c r="AJ48" i="1"/>
  <c r="AJ62" i="1" s="1"/>
  <c r="AP48" i="1"/>
  <c r="AP62" i="1" s="1"/>
  <c r="G172" i="9" s="1"/>
  <c r="AZ48" i="1"/>
  <c r="AZ62" i="1" s="1"/>
  <c r="BF48" i="1"/>
  <c r="BF62" i="1" s="1"/>
  <c r="I236" i="9" s="1"/>
  <c r="BP48" i="1"/>
  <c r="BP62" i="1" s="1"/>
  <c r="BV48" i="1"/>
  <c r="BV62" i="1" s="1"/>
  <c r="AI48" i="1"/>
  <c r="AI62" i="1" s="1"/>
  <c r="BG48" i="1"/>
  <c r="BG62" i="1" s="1"/>
  <c r="BW48" i="1"/>
  <c r="BW62" i="1" s="1"/>
  <c r="I48" i="1"/>
  <c r="I62" i="1" s="1"/>
  <c r="BM48" i="1"/>
  <c r="BM62" i="1" s="1"/>
  <c r="E48" i="1"/>
  <c r="E62" i="1" s="1"/>
  <c r="AK48" i="1"/>
  <c r="AK62" i="1" s="1"/>
  <c r="AE48" i="1"/>
  <c r="AE62" i="1" s="1"/>
  <c r="AU48" i="1"/>
  <c r="AU62" i="1" s="1"/>
  <c r="H48" i="1"/>
  <c r="H62" i="1" s="1"/>
  <c r="T48" i="1"/>
  <c r="T62" i="1" s="1"/>
  <c r="I363" i="9"/>
  <c r="R48" i="1"/>
  <c r="R62" i="1" s="1"/>
  <c r="AD48" i="1"/>
  <c r="AD62" i="1" s="1"/>
  <c r="AN48" i="1"/>
  <c r="AN62" i="1" s="1"/>
  <c r="AT48" i="1"/>
  <c r="AT62" i="1" s="1"/>
  <c r="BD48" i="1"/>
  <c r="BD62" i="1" s="1"/>
  <c r="BJ48" i="1"/>
  <c r="BJ62" i="1" s="1"/>
  <c r="BT48" i="1"/>
  <c r="BT62" i="1" s="1"/>
  <c r="BY48" i="1"/>
  <c r="BY62" i="1" s="1"/>
  <c r="G332" i="9" s="1"/>
  <c r="K48" i="1"/>
  <c r="K62" i="1" s="1"/>
  <c r="AY48" i="1"/>
  <c r="AY62" i="1" s="1"/>
  <c r="Q48" i="1"/>
  <c r="Q62" i="1" s="1"/>
  <c r="AG48" i="1"/>
  <c r="AG62" i="1" s="1"/>
  <c r="AW48" i="1"/>
  <c r="AW62" i="1" s="1"/>
  <c r="G204" i="9" s="1"/>
  <c r="BQ48" i="1"/>
  <c r="BQ62" i="1" s="1"/>
  <c r="BI48" i="1"/>
  <c r="BI62" i="1" s="1"/>
  <c r="O48" i="1"/>
  <c r="O62" i="1" s="1"/>
  <c r="H44" i="9" s="1"/>
  <c r="G48" i="1"/>
  <c r="G62" i="1" s="1"/>
  <c r="G12" i="9" s="1"/>
  <c r="D48" i="1"/>
  <c r="AB48" i="1"/>
  <c r="AB62" i="1" s="1"/>
  <c r="AS48" i="1"/>
  <c r="AS62" i="1" s="1"/>
  <c r="I377" i="9"/>
  <c r="I362" i="9"/>
  <c r="I380" i="9"/>
  <c r="CF76" i="1"/>
  <c r="K52" i="1" s="1"/>
  <c r="K67" i="1" s="1"/>
  <c r="C300" i="9"/>
  <c r="B446" i="1"/>
  <c r="D242" i="1"/>
  <c r="C418" i="1"/>
  <c r="F14" i="6"/>
  <c r="C471" i="1"/>
  <c r="F10" i="6"/>
  <c r="D26" i="9"/>
  <c r="CE75" i="1"/>
  <c r="I383" i="9"/>
  <c r="D22" i="7"/>
  <c r="C40" i="5"/>
  <c r="C420" i="1"/>
  <c r="B28" i="4"/>
  <c r="F186" i="9"/>
  <c r="AM52" i="1"/>
  <c r="AM67" i="1" s="1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434" i="1"/>
  <c r="D292" i="1"/>
  <c r="C58" i="9"/>
  <c r="D339" i="1" l="1"/>
  <c r="BE52" i="1"/>
  <c r="BE67" i="1" s="1"/>
  <c r="BY52" i="1"/>
  <c r="BY67" i="1" s="1"/>
  <c r="AS52" i="1"/>
  <c r="AS67" i="1" s="1"/>
  <c r="D465" i="1"/>
  <c r="D373" i="1"/>
  <c r="D391" i="1" s="1"/>
  <c r="BE71" i="1"/>
  <c r="H245" i="9" s="1"/>
  <c r="BW71" i="1"/>
  <c r="C568" i="1" s="1"/>
  <c r="E195" i="1"/>
  <c r="D7" i="6"/>
  <c r="C204" i="1"/>
  <c r="D16" i="6" s="1"/>
  <c r="F140" i="9"/>
  <c r="D172" i="9"/>
  <c r="H236" i="9"/>
  <c r="D140" i="9"/>
  <c r="H300" i="9"/>
  <c r="C172" i="9"/>
  <c r="H204" i="9"/>
  <c r="I76" i="9"/>
  <c r="AM71" i="1"/>
  <c r="D181" i="9" s="1"/>
  <c r="G44" i="9"/>
  <c r="F236" i="9"/>
  <c r="F44" i="9"/>
  <c r="C108" i="9"/>
  <c r="F12" i="9"/>
  <c r="F332" i="9"/>
  <c r="F204" i="9"/>
  <c r="H172" i="9"/>
  <c r="C12" i="9"/>
  <c r="H332" i="9"/>
  <c r="D108" i="9"/>
  <c r="E236" i="9"/>
  <c r="F172" i="9"/>
  <c r="G300" i="9"/>
  <c r="E44" i="9"/>
  <c r="D204" i="9"/>
  <c r="D236" i="9"/>
  <c r="BY71" i="1"/>
  <c r="C570" i="1" s="1"/>
  <c r="H76" i="9"/>
  <c r="E204" i="9"/>
  <c r="G140" i="9"/>
  <c r="I108" i="9"/>
  <c r="D332" i="9"/>
  <c r="E12" i="9"/>
  <c r="D62" i="1"/>
  <c r="CE48" i="1"/>
  <c r="I140" i="9"/>
  <c r="C44" i="9"/>
  <c r="F268" i="9"/>
  <c r="K71" i="1"/>
  <c r="D44" i="9"/>
  <c r="D76" i="9"/>
  <c r="I204" i="9"/>
  <c r="E332" i="9"/>
  <c r="G108" i="9"/>
  <c r="E268" i="9"/>
  <c r="C76" i="9"/>
  <c r="I300" i="9"/>
  <c r="E172" i="9"/>
  <c r="C140" i="9"/>
  <c r="I12" i="9"/>
  <c r="F300" i="9"/>
  <c r="F76" i="9"/>
  <c r="C236" i="9"/>
  <c r="AS71" i="1"/>
  <c r="C204" i="9"/>
  <c r="G236" i="9"/>
  <c r="H12" i="9"/>
  <c r="C268" i="9"/>
  <c r="E140" i="9"/>
  <c r="I268" i="9"/>
  <c r="E300" i="9"/>
  <c r="H140" i="9"/>
  <c r="BB52" i="1"/>
  <c r="BB67" i="1" s="1"/>
  <c r="E241" i="9" s="1"/>
  <c r="AW52" i="1"/>
  <c r="AW67" i="1" s="1"/>
  <c r="G209" i="9" s="1"/>
  <c r="O52" i="1"/>
  <c r="O67" i="1" s="1"/>
  <c r="O71" i="1" s="1"/>
  <c r="H53" i="9" s="1"/>
  <c r="BO52" i="1"/>
  <c r="BO67" i="1" s="1"/>
  <c r="AK52" i="1"/>
  <c r="AK67" i="1" s="1"/>
  <c r="C209" i="9"/>
  <c r="AO52" i="1"/>
  <c r="AO67" i="1" s="1"/>
  <c r="AO71" i="1" s="1"/>
  <c r="F181" i="9" s="1"/>
  <c r="CC52" i="1"/>
  <c r="CC67" i="1" s="1"/>
  <c r="CC71" i="1" s="1"/>
  <c r="D373" i="9" s="1"/>
  <c r="H52" i="1"/>
  <c r="H67" i="1" s="1"/>
  <c r="H71" i="1" s="1"/>
  <c r="AG52" i="1"/>
  <c r="AG67" i="1" s="1"/>
  <c r="AG71" i="1" s="1"/>
  <c r="BZ52" i="1"/>
  <c r="BZ67" i="1" s="1"/>
  <c r="BZ71" i="1" s="1"/>
  <c r="C571" i="1" s="1"/>
  <c r="AA52" i="1"/>
  <c r="AA67" i="1" s="1"/>
  <c r="F113" i="9" s="1"/>
  <c r="F52" i="1"/>
  <c r="F67" i="1" s="1"/>
  <c r="F71" i="1" s="1"/>
  <c r="F21" i="9" s="1"/>
  <c r="AR52" i="1"/>
  <c r="AR67" i="1" s="1"/>
  <c r="AR71" i="1" s="1"/>
  <c r="C709" i="1" s="1"/>
  <c r="X52" i="1"/>
  <c r="X67" i="1" s="1"/>
  <c r="X71" i="1" s="1"/>
  <c r="AD52" i="1"/>
  <c r="AD67" i="1" s="1"/>
  <c r="AD71" i="1" s="1"/>
  <c r="BH52" i="1"/>
  <c r="BH67" i="1" s="1"/>
  <c r="BH71" i="1" s="1"/>
  <c r="C636" i="1" s="1"/>
  <c r="Z52" i="1"/>
  <c r="Z67" i="1" s="1"/>
  <c r="Z71" i="1" s="1"/>
  <c r="E117" i="9" s="1"/>
  <c r="C52" i="1"/>
  <c r="BC52" i="1"/>
  <c r="BC67" i="1" s="1"/>
  <c r="BC71" i="1" s="1"/>
  <c r="C633" i="1" s="1"/>
  <c r="Y52" i="1"/>
  <c r="Y67" i="1" s="1"/>
  <c r="Y71" i="1" s="1"/>
  <c r="U52" i="1"/>
  <c r="U67" i="1" s="1"/>
  <c r="U71" i="1" s="1"/>
  <c r="G85" i="9" s="1"/>
  <c r="S52" i="1"/>
  <c r="S67" i="1" s="1"/>
  <c r="S71" i="1" s="1"/>
  <c r="E85" i="9" s="1"/>
  <c r="R52" i="1"/>
  <c r="R67" i="1" s="1"/>
  <c r="R71" i="1" s="1"/>
  <c r="P52" i="1"/>
  <c r="P67" i="1" s="1"/>
  <c r="P71" i="1" s="1"/>
  <c r="I53" i="9" s="1"/>
  <c r="G52" i="1"/>
  <c r="G67" i="1" s="1"/>
  <c r="G17" i="9" s="1"/>
  <c r="D52" i="1"/>
  <c r="D67" i="1" s="1"/>
  <c r="BN52" i="1"/>
  <c r="BN67" i="1" s="1"/>
  <c r="C305" i="9" s="1"/>
  <c r="BM52" i="1"/>
  <c r="BM67" i="1" s="1"/>
  <c r="I273" i="9" s="1"/>
  <c r="BQ52" i="1"/>
  <c r="BQ67" i="1" s="1"/>
  <c r="F305" i="9" s="1"/>
  <c r="BG52" i="1"/>
  <c r="BG67" i="1" s="1"/>
  <c r="BG71" i="1" s="1"/>
  <c r="AE52" i="1"/>
  <c r="AE67" i="1" s="1"/>
  <c r="AE71" i="1" s="1"/>
  <c r="E52" i="1"/>
  <c r="E67" i="1" s="1"/>
  <c r="E71" i="1" s="1"/>
  <c r="AC52" i="1"/>
  <c r="AC67" i="1" s="1"/>
  <c r="AC71" i="1" s="1"/>
  <c r="H117" i="9" s="1"/>
  <c r="AU52" i="1"/>
  <c r="AU67" i="1" s="1"/>
  <c r="AU71" i="1" s="1"/>
  <c r="AP52" i="1"/>
  <c r="AP67" i="1" s="1"/>
  <c r="AP71" i="1" s="1"/>
  <c r="C535" i="1" s="1"/>
  <c r="G535" i="1" s="1"/>
  <c r="AN52" i="1"/>
  <c r="AN67" i="1" s="1"/>
  <c r="AN71" i="1" s="1"/>
  <c r="BI52" i="1"/>
  <c r="BI67" i="1" s="1"/>
  <c r="BI71" i="1" s="1"/>
  <c r="AQ52" i="1"/>
  <c r="AQ67" i="1" s="1"/>
  <c r="AQ71" i="1" s="1"/>
  <c r="C536" i="1" s="1"/>
  <c r="G536" i="1" s="1"/>
  <c r="AH52" i="1"/>
  <c r="AH67" i="1" s="1"/>
  <c r="AH71" i="1" s="1"/>
  <c r="BK52" i="1"/>
  <c r="BK67" i="1" s="1"/>
  <c r="BK71" i="1" s="1"/>
  <c r="G277" i="9" s="1"/>
  <c r="BS52" i="1"/>
  <c r="BS67" i="1" s="1"/>
  <c r="BS71" i="1" s="1"/>
  <c r="BJ52" i="1"/>
  <c r="BJ67" i="1" s="1"/>
  <c r="BJ71" i="1" s="1"/>
  <c r="AZ52" i="1"/>
  <c r="AZ67" i="1" s="1"/>
  <c r="AZ71" i="1" s="1"/>
  <c r="D49" i="9"/>
  <c r="Q52" i="1"/>
  <c r="Q67" i="1" s="1"/>
  <c r="Q71" i="1" s="1"/>
  <c r="N52" i="1"/>
  <c r="N67" i="1" s="1"/>
  <c r="N71" i="1" s="1"/>
  <c r="AL52" i="1"/>
  <c r="AL67" i="1" s="1"/>
  <c r="AL71" i="1" s="1"/>
  <c r="BW52" i="1"/>
  <c r="BW67" i="1" s="1"/>
  <c r="BA52" i="1"/>
  <c r="BA67" i="1" s="1"/>
  <c r="BA71" i="1" s="1"/>
  <c r="C546" i="1" s="1"/>
  <c r="G546" i="1" s="1"/>
  <c r="CA52" i="1"/>
  <c r="CA67" i="1" s="1"/>
  <c r="CA71" i="1" s="1"/>
  <c r="C572" i="1" s="1"/>
  <c r="BR52" i="1"/>
  <c r="BR67" i="1" s="1"/>
  <c r="G305" i="9" s="1"/>
  <c r="M52" i="1"/>
  <c r="M67" i="1" s="1"/>
  <c r="F49" i="9" s="1"/>
  <c r="CB52" i="1"/>
  <c r="CB67" i="1" s="1"/>
  <c r="BD52" i="1"/>
  <c r="BD67" i="1" s="1"/>
  <c r="BL52" i="1"/>
  <c r="BL67" i="1" s="1"/>
  <c r="BL71" i="1" s="1"/>
  <c r="H277" i="9" s="1"/>
  <c r="BP52" i="1"/>
  <c r="BP67" i="1" s="1"/>
  <c r="BP71" i="1" s="1"/>
  <c r="AB52" i="1"/>
  <c r="AB67" i="1" s="1"/>
  <c r="AB71" i="1" s="1"/>
  <c r="AX52" i="1"/>
  <c r="AX67" i="1" s="1"/>
  <c r="BV52" i="1"/>
  <c r="BV67" i="1" s="1"/>
  <c r="T52" i="1"/>
  <c r="T67" i="1" s="1"/>
  <c r="F81" i="9" s="1"/>
  <c r="AY52" i="1"/>
  <c r="AY67" i="1" s="1"/>
  <c r="BF52" i="1"/>
  <c r="BF67" i="1" s="1"/>
  <c r="I241" i="9" s="1"/>
  <c r="BX52" i="1"/>
  <c r="BX67" i="1" s="1"/>
  <c r="BX71" i="1" s="1"/>
  <c r="AT52" i="1"/>
  <c r="AT67" i="1" s="1"/>
  <c r="AT71" i="1" s="1"/>
  <c r="C539" i="1" s="1"/>
  <c r="G539" i="1" s="1"/>
  <c r="J52" i="1"/>
  <c r="J67" i="1" s="1"/>
  <c r="J71" i="1" s="1"/>
  <c r="L52" i="1"/>
  <c r="L67" i="1" s="1"/>
  <c r="L71" i="1" s="1"/>
  <c r="W52" i="1"/>
  <c r="W67" i="1" s="1"/>
  <c r="W71" i="1" s="1"/>
  <c r="C516" i="1" s="1"/>
  <c r="G516" i="1" s="1"/>
  <c r="V52" i="1"/>
  <c r="V67" i="1" s="1"/>
  <c r="V71" i="1" s="1"/>
  <c r="AV52" i="1"/>
  <c r="AV67" i="1" s="1"/>
  <c r="AV71" i="1" s="1"/>
  <c r="BU52" i="1"/>
  <c r="BU67" i="1" s="1"/>
  <c r="BU71" i="1" s="1"/>
  <c r="C641" i="1" s="1"/>
  <c r="BT52" i="1"/>
  <c r="BT67" i="1" s="1"/>
  <c r="BT71" i="1" s="1"/>
  <c r="AF52" i="1"/>
  <c r="AF67" i="1" s="1"/>
  <c r="AF71" i="1" s="1"/>
  <c r="I52" i="1"/>
  <c r="I67" i="1" s="1"/>
  <c r="I71" i="1" s="1"/>
  <c r="AI52" i="1"/>
  <c r="AI67" i="1" s="1"/>
  <c r="AI71" i="1" s="1"/>
  <c r="C528" i="1" s="1"/>
  <c r="G528" i="1" s="1"/>
  <c r="AJ52" i="1"/>
  <c r="AJ67" i="1" s="1"/>
  <c r="AJ71" i="1" s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37" i="9"/>
  <c r="I378" i="9"/>
  <c r="K612" i="1"/>
  <c r="C465" i="1"/>
  <c r="C126" i="8"/>
  <c r="F32" i="6"/>
  <c r="C478" i="1"/>
  <c r="C102" i="8"/>
  <c r="C482" i="1"/>
  <c r="F498" i="1"/>
  <c r="H241" i="9"/>
  <c r="G337" i="9"/>
  <c r="D177" i="9"/>
  <c r="F516" i="1"/>
  <c r="C699" i="1"/>
  <c r="C527" i="1"/>
  <c r="G527" i="1" s="1"/>
  <c r="F149" i="9"/>
  <c r="F540" i="1"/>
  <c r="H540" i="1"/>
  <c r="F532" i="1"/>
  <c r="H532" i="1"/>
  <c r="F524" i="1"/>
  <c r="F550" i="1"/>
  <c r="F17" i="9"/>
  <c r="C501" i="1" l="1"/>
  <c r="G501" i="1" s="1"/>
  <c r="C673" i="1"/>
  <c r="C523" i="1"/>
  <c r="G523" i="1" s="1"/>
  <c r="I117" i="9"/>
  <c r="C541" i="1"/>
  <c r="F213" i="9"/>
  <c r="BM71" i="1"/>
  <c r="C614" i="1"/>
  <c r="D615" i="1" s="1"/>
  <c r="D672" i="1" s="1"/>
  <c r="AX71" i="1"/>
  <c r="C543" i="1" s="1"/>
  <c r="M71" i="1"/>
  <c r="D17" i="9"/>
  <c r="AW71" i="1"/>
  <c r="C635" i="1"/>
  <c r="C550" i="1"/>
  <c r="G550" i="1" s="1"/>
  <c r="CB71" i="1"/>
  <c r="C573" i="1" s="1"/>
  <c r="C574" i="1"/>
  <c r="C620" i="1"/>
  <c r="C555" i="1"/>
  <c r="F277" i="9"/>
  <c r="C617" i="1"/>
  <c r="E213" i="9"/>
  <c r="C712" i="1"/>
  <c r="C540" i="1"/>
  <c r="G540" i="1" s="1"/>
  <c r="C117" i="9"/>
  <c r="C689" i="1"/>
  <c r="C517" i="1"/>
  <c r="G517" i="1" s="1"/>
  <c r="C525" i="1"/>
  <c r="G525" i="1" s="1"/>
  <c r="C697" i="1"/>
  <c r="C515" i="1"/>
  <c r="G515" i="1" s="1"/>
  <c r="H85" i="9"/>
  <c r="C687" i="1"/>
  <c r="C639" i="1"/>
  <c r="C564" i="1"/>
  <c r="C569" i="1"/>
  <c r="F341" i="9"/>
  <c r="C644" i="1"/>
  <c r="C181" i="9"/>
  <c r="C703" i="1"/>
  <c r="C531" i="1"/>
  <c r="G531" i="1" s="1"/>
  <c r="C670" i="1"/>
  <c r="C498" i="1"/>
  <c r="G498" i="1" s="1"/>
  <c r="E21" i="9"/>
  <c r="C518" i="1"/>
  <c r="G518" i="1" s="1"/>
  <c r="C690" i="1"/>
  <c r="D117" i="9"/>
  <c r="C679" i="1"/>
  <c r="G53" i="9"/>
  <c r="C507" i="1"/>
  <c r="G507" i="1" s="1"/>
  <c r="BR71" i="1"/>
  <c r="C563" i="1" s="1"/>
  <c r="BB71" i="1"/>
  <c r="E245" i="9" s="1"/>
  <c r="E341" i="9"/>
  <c r="H21" i="9"/>
  <c r="C637" i="1"/>
  <c r="BV71" i="1"/>
  <c r="C695" i="1"/>
  <c r="C643" i="1"/>
  <c r="T71" i="1"/>
  <c r="C513" i="1" s="1"/>
  <c r="BQ71" i="1"/>
  <c r="C623" i="1" s="1"/>
  <c r="C557" i="1"/>
  <c r="AY71" i="1"/>
  <c r="C625" i="1" s="1"/>
  <c r="AK71" i="1"/>
  <c r="G71" i="1"/>
  <c r="G21" i="9" s="1"/>
  <c r="BF71" i="1"/>
  <c r="C551" i="1" s="1"/>
  <c r="C713" i="1"/>
  <c r="C678" i="1"/>
  <c r="D305" i="9"/>
  <c r="BD71" i="1"/>
  <c r="G245" i="9" s="1"/>
  <c r="C556" i="1"/>
  <c r="AA71" i="1"/>
  <c r="C692" i="1" s="1"/>
  <c r="BO71" i="1"/>
  <c r="C627" i="1" s="1"/>
  <c r="BN71" i="1"/>
  <c r="C309" i="9" s="1"/>
  <c r="E204" i="1"/>
  <c r="F7" i="6"/>
  <c r="C468" i="1"/>
  <c r="H550" i="1"/>
  <c r="F245" i="9"/>
  <c r="C548" i="1"/>
  <c r="C671" i="1"/>
  <c r="C616" i="1"/>
  <c r="C684" i="1"/>
  <c r="H181" i="9"/>
  <c r="D149" i="9"/>
  <c r="C547" i="1"/>
  <c r="D213" i="9"/>
  <c r="H309" i="9"/>
  <c r="C708" i="1"/>
  <c r="C512" i="1"/>
  <c r="G512" i="1" s="1"/>
  <c r="I245" i="9"/>
  <c r="H341" i="9"/>
  <c r="I341" i="9"/>
  <c r="H213" i="9"/>
  <c r="C646" i="1"/>
  <c r="C499" i="1"/>
  <c r="G499" i="1" s="1"/>
  <c r="C514" i="1"/>
  <c r="G514" i="1" s="1"/>
  <c r="C537" i="1"/>
  <c r="G537" i="1" s="1"/>
  <c r="C522" i="1"/>
  <c r="G522" i="1" s="1"/>
  <c r="C694" i="1"/>
  <c r="C532" i="1"/>
  <c r="G532" i="1" s="1"/>
  <c r="D245" i="9"/>
  <c r="H517" i="1"/>
  <c r="C647" i="1"/>
  <c r="C704" i="1"/>
  <c r="C630" i="1"/>
  <c r="C686" i="1"/>
  <c r="C544" i="1"/>
  <c r="G544" i="1" s="1"/>
  <c r="C341" i="9"/>
  <c r="C566" i="1"/>
  <c r="C626" i="1"/>
  <c r="G181" i="9"/>
  <c r="D277" i="9"/>
  <c r="C553" i="1"/>
  <c r="C688" i="1"/>
  <c r="I85" i="9"/>
  <c r="C519" i="1"/>
  <c r="G519" i="1" s="1"/>
  <c r="C711" i="1"/>
  <c r="C509" i="1"/>
  <c r="G509" i="1" s="1"/>
  <c r="C681" i="1"/>
  <c r="C534" i="1"/>
  <c r="G534" i="1" s="1"/>
  <c r="I181" i="9"/>
  <c r="C706" i="1"/>
  <c r="C691" i="1"/>
  <c r="E53" i="9"/>
  <c r="C677" i="1"/>
  <c r="C505" i="1"/>
  <c r="G505" i="1" s="1"/>
  <c r="H505" i="1" s="1"/>
  <c r="G341" i="9"/>
  <c r="C508" i="1"/>
  <c r="G508" i="1" s="1"/>
  <c r="C680" i="1"/>
  <c r="C707" i="1"/>
  <c r="C700" i="1"/>
  <c r="C645" i="1"/>
  <c r="G149" i="9"/>
  <c r="C638" i="1"/>
  <c r="C558" i="1"/>
  <c r="I277" i="9"/>
  <c r="C710" i="1"/>
  <c r="C213" i="9"/>
  <c r="C538" i="1"/>
  <c r="G538" i="1" s="1"/>
  <c r="C521" i="1"/>
  <c r="G521" i="1" s="1"/>
  <c r="C693" i="1"/>
  <c r="G117" i="9"/>
  <c r="C53" i="9"/>
  <c r="C503" i="1"/>
  <c r="G503" i="1" s="1"/>
  <c r="C675" i="1"/>
  <c r="C701" i="1"/>
  <c r="H149" i="9"/>
  <c r="C529" i="1"/>
  <c r="G529" i="1" s="1"/>
  <c r="C618" i="1"/>
  <c r="C552" i="1"/>
  <c r="C277" i="9"/>
  <c r="G213" i="9"/>
  <c r="C542" i="1"/>
  <c r="C631" i="1"/>
  <c r="F85" i="9"/>
  <c r="F309" i="9"/>
  <c r="C562" i="1"/>
  <c r="C524" i="1"/>
  <c r="C696" i="1"/>
  <c r="C149" i="9"/>
  <c r="C554" i="1"/>
  <c r="C634" i="1"/>
  <c r="E277" i="9"/>
  <c r="C549" i="1"/>
  <c r="C640" i="1"/>
  <c r="C565" i="1"/>
  <c r="I309" i="9"/>
  <c r="C698" i="1"/>
  <c r="C526" i="1"/>
  <c r="G526" i="1" s="1"/>
  <c r="E149" i="9"/>
  <c r="C502" i="1"/>
  <c r="G502" i="1" s="1"/>
  <c r="I21" i="9"/>
  <c r="C674" i="1"/>
  <c r="C85" i="9"/>
  <c r="C682" i="1"/>
  <c r="C510" i="1"/>
  <c r="G510" i="1" s="1"/>
  <c r="C561" i="1"/>
  <c r="E309" i="9"/>
  <c r="C621" i="1"/>
  <c r="C245" i="9"/>
  <c r="C545" i="1"/>
  <c r="G545" i="1" s="1"/>
  <c r="C628" i="1"/>
  <c r="C705" i="1"/>
  <c r="C533" i="1"/>
  <c r="G533" i="1" s="1"/>
  <c r="E181" i="9"/>
  <c r="C511" i="1"/>
  <c r="G511" i="1" s="1"/>
  <c r="C683" i="1"/>
  <c r="D85" i="9"/>
  <c r="D53" i="9"/>
  <c r="C676" i="1"/>
  <c r="C504" i="1"/>
  <c r="G504" i="1" s="1"/>
  <c r="C530" i="1"/>
  <c r="G530" i="1" s="1"/>
  <c r="C702" i="1"/>
  <c r="I149" i="9"/>
  <c r="CE62" i="1"/>
  <c r="D71" i="1"/>
  <c r="D12" i="9"/>
  <c r="D629" i="1"/>
  <c r="D623" i="1"/>
  <c r="I145" i="9"/>
  <c r="G241" i="9"/>
  <c r="H209" i="9"/>
  <c r="D688" i="1"/>
  <c r="H49" i="9"/>
  <c r="H81" i="9"/>
  <c r="H177" i="9"/>
  <c r="C273" i="9"/>
  <c r="E81" i="9"/>
  <c r="C67" i="1"/>
  <c r="C71" i="1" s="1"/>
  <c r="C21" i="9" s="1"/>
  <c r="CE52" i="1"/>
  <c r="H337" i="9"/>
  <c r="I209" i="9"/>
  <c r="H145" i="9"/>
  <c r="I81" i="9"/>
  <c r="G49" i="9"/>
  <c r="E273" i="9"/>
  <c r="G81" i="9"/>
  <c r="I177" i="9"/>
  <c r="C369" i="9"/>
  <c r="H498" i="1"/>
  <c r="I17" i="9"/>
  <c r="F209" i="9"/>
  <c r="C49" i="9"/>
  <c r="E337" i="9"/>
  <c r="C241" i="9"/>
  <c r="F145" i="9"/>
  <c r="G177" i="9"/>
  <c r="C145" i="9"/>
  <c r="D81" i="9"/>
  <c r="F241" i="9"/>
  <c r="I113" i="9"/>
  <c r="D369" i="9"/>
  <c r="D145" i="9"/>
  <c r="D209" i="9"/>
  <c r="G113" i="9"/>
  <c r="C177" i="9"/>
  <c r="F273" i="9"/>
  <c r="E209" i="9"/>
  <c r="C113" i="9"/>
  <c r="F177" i="9"/>
  <c r="I305" i="9"/>
  <c r="F337" i="9"/>
  <c r="E305" i="9"/>
  <c r="I337" i="9"/>
  <c r="H305" i="9"/>
  <c r="H113" i="9"/>
  <c r="E113" i="9"/>
  <c r="E145" i="9"/>
  <c r="H516" i="1"/>
  <c r="G145" i="9"/>
  <c r="C337" i="9"/>
  <c r="E49" i="9"/>
  <c r="H273" i="9"/>
  <c r="D241" i="9"/>
  <c r="C81" i="9"/>
  <c r="G273" i="9"/>
  <c r="E177" i="9"/>
  <c r="E17" i="9"/>
  <c r="I49" i="9"/>
  <c r="D113" i="9"/>
  <c r="D273" i="9"/>
  <c r="H17" i="9"/>
  <c r="F522" i="1"/>
  <c r="H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F504" i="1"/>
  <c r="F530" i="1"/>
  <c r="F512" i="1"/>
  <c r="F526" i="1"/>
  <c r="F503" i="1"/>
  <c r="H503" i="1"/>
  <c r="H508" i="1"/>
  <c r="F508" i="1"/>
  <c r="F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D679" i="1" l="1"/>
  <c r="D637" i="1"/>
  <c r="D674" i="1"/>
  <c r="D698" i="1"/>
  <c r="D618" i="1"/>
  <c r="D630" i="1"/>
  <c r="D707" i="1"/>
  <c r="D675" i="1"/>
  <c r="D705" i="1"/>
  <c r="D635" i="1"/>
  <c r="D696" i="1"/>
  <c r="D631" i="1"/>
  <c r="D682" i="1"/>
  <c r="D712" i="1"/>
  <c r="D626" i="1"/>
  <c r="D669" i="1"/>
  <c r="D616" i="1"/>
  <c r="D641" i="1"/>
  <c r="D709" i="1"/>
  <c r="D671" i="1"/>
  <c r="D633" i="1"/>
  <c r="D620" i="1"/>
  <c r="D627" i="1"/>
  <c r="D708" i="1"/>
  <c r="D697" i="1"/>
  <c r="D676" i="1"/>
  <c r="C619" i="1"/>
  <c r="D668" i="1"/>
  <c r="D695" i="1"/>
  <c r="D681" i="1"/>
  <c r="D622" i="1"/>
  <c r="D689" i="1"/>
  <c r="D716" i="1"/>
  <c r="D711" i="1"/>
  <c r="D678" i="1"/>
  <c r="C685" i="1"/>
  <c r="D713" i="1"/>
  <c r="D628" i="1"/>
  <c r="D692" i="1"/>
  <c r="D680" i="1"/>
  <c r="D683" i="1"/>
  <c r="D691" i="1"/>
  <c r="D647" i="1"/>
  <c r="D686" i="1"/>
  <c r="D642" i="1"/>
  <c r="D701" i="1"/>
  <c r="D702" i="1"/>
  <c r="C500" i="1"/>
  <c r="G500" i="1" s="1"/>
  <c r="I213" i="9"/>
  <c r="C622" i="1"/>
  <c r="D621" i="1"/>
  <c r="D684" i="1"/>
  <c r="D638" i="1"/>
  <c r="F53" i="9"/>
  <c r="C506" i="1"/>
  <c r="G506" i="1" s="1"/>
  <c r="D646" i="1"/>
  <c r="D693" i="1"/>
  <c r="D687" i="1"/>
  <c r="D677" i="1"/>
  <c r="D644" i="1"/>
  <c r="D694" i="1"/>
  <c r="D703" i="1"/>
  <c r="D639" i="1"/>
  <c r="C624" i="1"/>
  <c r="D634" i="1"/>
  <c r="D640" i="1"/>
  <c r="D643" i="1"/>
  <c r="D624" i="1"/>
  <c r="D690" i="1"/>
  <c r="D700" i="1"/>
  <c r="D617" i="1"/>
  <c r="E623" i="1" s="1"/>
  <c r="E716" i="1" s="1"/>
  <c r="D704" i="1"/>
  <c r="C373" i="9"/>
  <c r="D710" i="1"/>
  <c r="D619" i="1"/>
  <c r="D625" i="1"/>
  <c r="D632" i="1"/>
  <c r="D699" i="1"/>
  <c r="D645" i="1"/>
  <c r="D706" i="1"/>
  <c r="D670" i="1"/>
  <c r="D636" i="1"/>
  <c r="D685" i="1"/>
  <c r="D673" i="1"/>
  <c r="C672" i="1"/>
  <c r="C632" i="1"/>
  <c r="C559" i="1"/>
  <c r="C629" i="1"/>
  <c r="C496" i="1"/>
  <c r="G496" i="1" s="1"/>
  <c r="C520" i="1"/>
  <c r="G520" i="1" s="1"/>
  <c r="D309" i="9"/>
  <c r="D341" i="9"/>
  <c r="C567" i="1"/>
  <c r="C642" i="1"/>
  <c r="G309" i="9"/>
  <c r="C668" i="1"/>
  <c r="F117" i="9"/>
  <c r="C560" i="1"/>
  <c r="F16" i="6"/>
  <c r="C476" i="1"/>
  <c r="H512" i="1"/>
  <c r="H514" i="1"/>
  <c r="H544" i="1"/>
  <c r="H504" i="1"/>
  <c r="H526" i="1"/>
  <c r="H530" i="1"/>
  <c r="C669" i="1"/>
  <c r="D21" i="9"/>
  <c r="C497" i="1"/>
  <c r="G497" i="1" s="1"/>
  <c r="G513" i="1"/>
  <c r="H513" i="1"/>
  <c r="G524" i="1"/>
  <c r="H524" i="1" s="1"/>
  <c r="I364" i="9"/>
  <c r="C428" i="1"/>
  <c r="CE67" i="1"/>
  <c r="CE71" i="1" s="1"/>
  <c r="C17" i="9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C648" i="1" l="1"/>
  <c r="M716" i="1" s="1"/>
  <c r="D715" i="1"/>
  <c r="C715" i="1"/>
  <c r="E612" i="1"/>
  <c r="C716" i="1"/>
  <c r="I373" i="9"/>
  <c r="C433" i="1"/>
  <c r="C441" i="1" s="1"/>
  <c r="I369" i="9"/>
  <c r="E634" i="1" l="1"/>
  <c r="E706" i="1"/>
  <c r="E690" i="1"/>
  <c r="E674" i="1"/>
  <c r="E710" i="1"/>
  <c r="E713" i="1"/>
  <c r="E671" i="1"/>
  <c r="E675" i="1"/>
  <c r="E687" i="1"/>
  <c r="E673" i="1"/>
  <c r="E628" i="1"/>
  <c r="E694" i="1"/>
  <c r="E703" i="1"/>
  <c r="E631" i="1"/>
  <c r="E624" i="1"/>
  <c r="E639" i="1"/>
  <c r="E689" i="1"/>
  <c r="E700" i="1"/>
  <c r="E704" i="1"/>
  <c r="E708" i="1"/>
  <c r="E627" i="1"/>
  <c r="E640" i="1"/>
  <c r="E626" i="1"/>
  <c r="E688" i="1"/>
  <c r="E698" i="1"/>
  <c r="E693" i="1"/>
  <c r="E679" i="1"/>
  <c r="E695" i="1"/>
  <c r="E701" i="1"/>
  <c r="E707" i="1"/>
  <c r="E676" i="1"/>
  <c r="E685" i="1"/>
  <c r="E630" i="1"/>
  <c r="E696" i="1"/>
  <c r="E686" i="1"/>
  <c r="E691" i="1"/>
  <c r="E680" i="1"/>
  <c r="E709" i="1"/>
  <c r="E670" i="1"/>
  <c r="E646" i="1"/>
  <c r="E637" i="1"/>
  <c r="E682" i="1"/>
  <c r="E641" i="1"/>
  <c r="E647" i="1"/>
  <c r="E683" i="1"/>
  <c r="E669" i="1"/>
  <c r="E702" i="1"/>
  <c r="E632" i="1"/>
  <c r="E633" i="1"/>
  <c r="E668" i="1"/>
  <c r="E678" i="1"/>
  <c r="E712" i="1"/>
  <c r="E644" i="1"/>
  <c r="E699" i="1"/>
  <c r="E635" i="1"/>
  <c r="E638" i="1"/>
  <c r="E645" i="1"/>
  <c r="E643" i="1"/>
  <c r="E705" i="1"/>
  <c r="E629" i="1"/>
  <c r="E692" i="1"/>
  <c r="E625" i="1"/>
  <c r="E711" i="1"/>
  <c r="E681" i="1"/>
  <c r="E677" i="1"/>
  <c r="E636" i="1"/>
  <c r="E642" i="1"/>
  <c r="E672" i="1"/>
  <c r="E684" i="1"/>
  <c r="E697" i="1"/>
  <c r="F624" i="1" l="1"/>
  <c r="E715" i="1"/>
  <c r="F707" i="1" l="1"/>
  <c r="F671" i="1"/>
  <c r="F688" i="1"/>
  <c r="F678" i="1"/>
  <c r="F629" i="1"/>
  <c r="F642" i="1"/>
  <c r="F626" i="1"/>
  <c r="F672" i="1"/>
  <c r="F706" i="1"/>
  <c r="F683" i="1"/>
  <c r="F700" i="1"/>
  <c r="F670" i="1"/>
  <c r="F713" i="1"/>
  <c r="F628" i="1"/>
  <c r="F716" i="1"/>
  <c r="F698" i="1"/>
  <c r="F647" i="1"/>
  <c r="F669" i="1"/>
  <c r="F632" i="1"/>
  <c r="F641" i="1"/>
  <c r="F693" i="1"/>
  <c r="F711" i="1"/>
  <c r="F634" i="1"/>
  <c r="F676" i="1"/>
  <c r="F704" i="1"/>
  <c r="F627" i="1"/>
  <c r="F644" i="1"/>
  <c r="F637" i="1"/>
  <c r="F712" i="1"/>
  <c r="F638" i="1"/>
  <c r="F639" i="1"/>
  <c r="F673" i="1"/>
  <c r="F680" i="1"/>
  <c r="F635" i="1"/>
  <c r="F697" i="1"/>
  <c r="F703" i="1"/>
  <c r="F675" i="1"/>
  <c r="F696" i="1"/>
  <c r="F646" i="1"/>
  <c r="F695" i="1"/>
  <c r="F636" i="1"/>
  <c r="F677" i="1"/>
  <c r="F699" i="1"/>
  <c r="F643" i="1"/>
  <c r="F687" i="1"/>
  <c r="F708" i="1"/>
  <c r="F682" i="1"/>
  <c r="F701" i="1"/>
  <c r="F625" i="1"/>
  <c r="F710" i="1"/>
  <c r="F681" i="1"/>
  <c r="F684" i="1"/>
  <c r="F690" i="1"/>
  <c r="F630" i="1"/>
  <c r="F691" i="1"/>
  <c r="F685" i="1"/>
  <c r="F679" i="1"/>
  <c r="F692" i="1"/>
  <c r="F694" i="1"/>
  <c r="F645" i="1"/>
  <c r="F674" i="1"/>
  <c r="F689" i="1"/>
  <c r="F640" i="1"/>
  <c r="F709" i="1"/>
  <c r="F633" i="1"/>
  <c r="F702" i="1"/>
  <c r="F631" i="1"/>
  <c r="F686" i="1"/>
  <c r="F705" i="1"/>
  <c r="F668" i="1"/>
  <c r="F715" i="1" l="1"/>
  <c r="G62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679" i="1"/>
  <c r="G684" i="1"/>
  <c r="G696" i="1"/>
  <c r="G670" i="1"/>
  <c r="G678" i="1"/>
  <c r="G705" i="1"/>
  <c r="G631" i="1"/>
  <c r="G716" i="1"/>
  <c r="G671" i="1"/>
  <c r="G701" i="1"/>
  <c r="G697" i="1"/>
  <c r="G681" i="1"/>
  <c r="G712" i="1"/>
  <c r="G668" i="1"/>
  <c r="G676" i="1"/>
  <c r="G693" i="1"/>
  <c r="G704" i="1"/>
  <c r="G639" i="1"/>
  <c r="G691" i="1"/>
  <c r="G713" i="1"/>
  <c r="G700" i="1"/>
  <c r="G692" i="1"/>
  <c r="G641" i="1"/>
  <c r="G694" i="1"/>
  <c r="G683" i="1"/>
  <c r="G647" i="1"/>
  <c r="G680" i="1"/>
  <c r="G632" i="1"/>
  <c r="G685" i="1"/>
  <c r="G703" i="1"/>
  <c r="G629" i="1"/>
  <c r="G699" i="1"/>
  <c r="G698" i="1"/>
  <c r="G627" i="1"/>
  <c r="G635" i="1"/>
  <c r="G682" i="1"/>
  <c r="G707" i="1"/>
  <c r="G675" i="1"/>
  <c r="G630" i="1"/>
  <c r="G687" i="1"/>
  <c r="G643" i="1"/>
  <c r="G677" i="1"/>
  <c r="G672" i="1"/>
  <c r="G674" i="1"/>
  <c r="G637" i="1"/>
  <c r="G686" i="1"/>
  <c r="G633" i="1"/>
  <c r="G642" i="1"/>
  <c r="G709" i="1"/>
  <c r="G673" i="1"/>
  <c r="G708" i="1"/>
  <c r="H628" i="1" l="1"/>
  <c r="H701" i="1" s="1"/>
  <c r="G715" i="1"/>
  <c r="H638" i="1" l="1"/>
  <c r="H668" i="1"/>
  <c r="H672" i="1"/>
  <c r="H639" i="1"/>
  <c r="H632" i="1"/>
  <c r="H693" i="1"/>
  <c r="H629" i="1"/>
  <c r="H710" i="1"/>
  <c r="H641" i="1"/>
  <c r="H644" i="1"/>
  <c r="H647" i="1"/>
  <c r="H680" i="1"/>
  <c r="H683" i="1"/>
  <c r="H678" i="1"/>
  <c r="H646" i="1"/>
  <c r="H705" i="1"/>
  <c r="H643" i="1"/>
  <c r="H695" i="1"/>
  <c r="H696" i="1"/>
  <c r="H674" i="1"/>
  <c r="H706" i="1"/>
  <c r="H634" i="1"/>
  <c r="H698" i="1"/>
  <c r="H688" i="1"/>
  <c r="H673" i="1"/>
  <c r="H702" i="1"/>
  <c r="H713" i="1"/>
  <c r="H697" i="1"/>
  <c r="H700" i="1"/>
  <c r="H716" i="1"/>
  <c r="H694" i="1"/>
  <c r="H670" i="1"/>
  <c r="H699" i="1"/>
  <c r="H645" i="1"/>
  <c r="H637" i="1"/>
  <c r="H642" i="1"/>
  <c r="H687" i="1"/>
  <c r="H703" i="1"/>
  <c r="H682" i="1"/>
  <c r="H675" i="1"/>
  <c r="H712" i="1"/>
  <c r="H635" i="1"/>
  <c r="H708" i="1"/>
  <c r="H631" i="1"/>
  <c r="H630" i="1"/>
  <c r="H669" i="1"/>
  <c r="H676" i="1"/>
  <c r="H633" i="1"/>
  <c r="H690" i="1"/>
  <c r="H684" i="1"/>
  <c r="H709" i="1"/>
  <c r="H636" i="1"/>
  <c r="H691" i="1"/>
  <c r="H686" i="1"/>
  <c r="H689" i="1"/>
  <c r="H685" i="1"/>
  <c r="H707" i="1"/>
  <c r="H681" i="1"/>
  <c r="H704" i="1"/>
  <c r="H671" i="1"/>
  <c r="H711" i="1"/>
  <c r="H677" i="1"/>
  <c r="H640" i="1"/>
  <c r="H692" i="1"/>
  <c r="H679" i="1"/>
  <c r="H715" i="1" l="1"/>
  <c r="I629" i="1"/>
  <c r="I669" i="1" l="1"/>
  <c r="I699" i="1"/>
  <c r="I716" i="1"/>
  <c r="I691" i="1"/>
  <c r="I672" i="1"/>
  <c r="I681" i="1"/>
  <c r="I700" i="1"/>
  <c r="I670" i="1"/>
  <c r="I675" i="1"/>
  <c r="I630" i="1"/>
  <c r="I673" i="1"/>
  <c r="I696" i="1"/>
  <c r="I697" i="1"/>
  <c r="I710" i="1"/>
  <c r="I687" i="1"/>
  <c r="I694" i="1"/>
  <c r="I692" i="1"/>
  <c r="I698" i="1"/>
  <c r="I704" i="1"/>
  <c r="I706" i="1"/>
  <c r="I668" i="1"/>
  <c r="I640" i="1"/>
  <c r="I684" i="1"/>
  <c r="I634" i="1"/>
  <c r="I688" i="1"/>
  <c r="I682" i="1"/>
  <c r="I637" i="1"/>
  <c r="I632" i="1"/>
  <c r="I680" i="1"/>
  <c r="I645" i="1"/>
  <c r="I708" i="1"/>
  <c r="I635" i="1"/>
  <c r="I709" i="1"/>
  <c r="I702" i="1"/>
  <c r="I683" i="1"/>
  <c r="I685" i="1"/>
  <c r="I631" i="1"/>
  <c r="I711" i="1"/>
  <c r="I712" i="1"/>
  <c r="I686" i="1"/>
  <c r="I693" i="1"/>
  <c r="I646" i="1"/>
  <c r="I644" i="1"/>
  <c r="I705" i="1"/>
  <c r="I639" i="1"/>
  <c r="I641" i="1"/>
  <c r="I636" i="1"/>
  <c r="I633" i="1"/>
  <c r="I713" i="1"/>
  <c r="I678" i="1"/>
  <c r="I674" i="1"/>
  <c r="I703" i="1"/>
  <c r="I707" i="1"/>
  <c r="I642" i="1"/>
  <c r="I695" i="1"/>
  <c r="I647" i="1"/>
  <c r="I679" i="1"/>
  <c r="I701" i="1"/>
  <c r="I671" i="1"/>
  <c r="I677" i="1"/>
  <c r="I689" i="1"/>
  <c r="I643" i="1"/>
  <c r="I638" i="1"/>
  <c r="I676" i="1"/>
  <c r="I690" i="1"/>
  <c r="I715" i="1" l="1"/>
  <c r="J630" i="1"/>
  <c r="J709" i="1" l="1"/>
  <c r="J711" i="1"/>
  <c r="J672" i="1"/>
  <c r="J688" i="1"/>
  <c r="J706" i="1"/>
  <c r="J680" i="1"/>
  <c r="J638" i="1"/>
  <c r="J682" i="1"/>
  <c r="J633" i="1"/>
  <c r="J686" i="1"/>
  <c r="J683" i="1"/>
  <c r="J681" i="1"/>
  <c r="J702" i="1"/>
  <c r="J647" i="1"/>
  <c r="J692" i="1"/>
  <c r="J637" i="1"/>
  <c r="J639" i="1"/>
  <c r="J696" i="1"/>
  <c r="J636" i="1"/>
  <c r="J691" i="1"/>
  <c r="J678" i="1"/>
  <c r="J641" i="1"/>
  <c r="J670" i="1"/>
  <c r="J644" i="1"/>
  <c r="J689" i="1"/>
  <c r="J643" i="1"/>
  <c r="J676" i="1"/>
  <c r="J703" i="1"/>
  <c r="J673" i="1"/>
  <c r="J631" i="1"/>
  <c r="J669" i="1"/>
  <c r="J716" i="1"/>
  <c r="J679" i="1"/>
  <c r="J632" i="1"/>
  <c r="J674" i="1"/>
  <c r="J675" i="1"/>
  <c r="J708" i="1"/>
  <c r="J693" i="1"/>
  <c r="J712" i="1"/>
  <c r="J701" i="1"/>
  <c r="J705" i="1"/>
  <c r="J710" i="1"/>
  <c r="J671" i="1"/>
  <c r="J700" i="1"/>
  <c r="J640" i="1"/>
  <c r="J645" i="1"/>
  <c r="J704" i="1"/>
  <c r="J642" i="1"/>
  <c r="J694" i="1"/>
  <c r="J635" i="1"/>
  <c r="J677" i="1"/>
  <c r="J699" i="1"/>
  <c r="J634" i="1"/>
  <c r="J698" i="1"/>
  <c r="J646" i="1"/>
  <c r="J687" i="1"/>
  <c r="J707" i="1"/>
  <c r="J684" i="1"/>
  <c r="J697" i="1"/>
  <c r="J695" i="1"/>
  <c r="J690" i="1"/>
  <c r="J713" i="1"/>
  <c r="J668" i="1"/>
  <c r="J685" i="1"/>
  <c r="K644" i="1" l="1"/>
  <c r="K702" i="1" s="1"/>
  <c r="L647" i="1"/>
  <c r="L669" i="1" s="1"/>
  <c r="J715" i="1"/>
  <c r="K688" i="1" l="1"/>
  <c r="K693" i="1"/>
  <c r="K698" i="1"/>
  <c r="K681" i="1"/>
  <c r="K683" i="1"/>
  <c r="K712" i="1"/>
  <c r="K684" i="1"/>
  <c r="K716" i="1"/>
  <c r="K713" i="1"/>
  <c r="K679" i="1"/>
  <c r="K671" i="1"/>
  <c r="K677" i="1"/>
  <c r="K675" i="1"/>
  <c r="L689" i="1"/>
  <c r="K709" i="1"/>
  <c r="K708" i="1"/>
  <c r="K694" i="1"/>
  <c r="K687" i="1"/>
  <c r="K707" i="1"/>
  <c r="K678" i="1"/>
  <c r="K673" i="1"/>
  <c r="K711" i="1"/>
  <c r="K668" i="1"/>
  <c r="K695" i="1"/>
  <c r="K690" i="1"/>
  <c r="K699" i="1"/>
  <c r="K710" i="1"/>
  <c r="K686" i="1"/>
  <c r="K672" i="1"/>
  <c r="K676" i="1"/>
  <c r="K697" i="1"/>
  <c r="K701" i="1"/>
  <c r="K703" i="1"/>
  <c r="K669" i="1"/>
  <c r="M669" i="1" s="1"/>
  <c r="D23" i="9" s="1"/>
  <c r="K692" i="1"/>
  <c r="K680" i="1"/>
  <c r="L670" i="1"/>
  <c r="K691" i="1"/>
  <c r="K700" i="1"/>
  <c r="K685" i="1"/>
  <c r="K705" i="1"/>
  <c r="K674" i="1"/>
  <c r="K682" i="1"/>
  <c r="K670" i="1"/>
  <c r="K696" i="1"/>
  <c r="K706" i="1"/>
  <c r="K704" i="1"/>
  <c r="K689" i="1"/>
  <c r="L684" i="1"/>
  <c r="L687" i="1"/>
  <c r="M687" i="1" s="1"/>
  <c r="L697" i="1"/>
  <c r="L713" i="1"/>
  <c r="L671" i="1"/>
  <c r="L676" i="1"/>
  <c r="L710" i="1"/>
  <c r="L674" i="1"/>
  <c r="L695" i="1"/>
  <c r="L680" i="1"/>
  <c r="L696" i="1"/>
  <c r="L704" i="1"/>
  <c r="L702" i="1"/>
  <c r="M702" i="1" s="1"/>
  <c r="L677" i="1"/>
  <c r="L716" i="1"/>
  <c r="L700" i="1"/>
  <c r="L699" i="1"/>
  <c r="L701" i="1"/>
  <c r="L703" i="1"/>
  <c r="L679" i="1"/>
  <c r="L691" i="1"/>
  <c r="L690" i="1"/>
  <c r="L708" i="1"/>
  <c r="L675" i="1"/>
  <c r="L672" i="1"/>
  <c r="L681" i="1"/>
  <c r="L678" i="1"/>
  <c r="L698" i="1"/>
  <c r="L692" i="1"/>
  <c r="L706" i="1"/>
  <c r="L673" i="1"/>
  <c r="L707" i="1"/>
  <c r="L709" i="1"/>
  <c r="L693" i="1"/>
  <c r="M693" i="1" s="1"/>
  <c r="L668" i="1"/>
  <c r="L683" i="1"/>
  <c r="L705" i="1"/>
  <c r="L711" i="1"/>
  <c r="L694" i="1"/>
  <c r="L686" i="1"/>
  <c r="L688" i="1"/>
  <c r="M688" i="1" s="1"/>
  <c r="L682" i="1"/>
  <c r="L712" i="1"/>
  <c r="L685" i="1"/>
  <c r="L715" i="1" l="1"/>
  <c r="M681" i="1"/>
  <c r="I55" i="9" s="1"/>
  <c r="M695" i="1"/>
  <c r="M707" i="1"/>
  <c r="M698" i="1"/>
  <c r="E151" i="9" s="1"/>
  <c r="M709" i="1"/>
  <c r="M671" i="1"/>
  <c r="F23" i="9" s="1"/>
  <c r="M684" i="1"/>
  <c r="M690" i="1"/>
  <c r="M701" i="1"/>
  <c r="H151" i="9" s="1"/>
  <c r="M677" i="1"/>
  <c r="E55" i="9" s="1"/>
  <c r="M680" i="1"/>
  <c r="H55" i="9" s="1"/>
  <c r="M679" i="1"/>
  <c r="M689" i="1"/>
  <c r="C119" i="9" s="1"/>
  <c r="M712" i="1"/>
  <c r="M672" i="1"/>
  <c r="M694" i="1"/>
  <c r="M673" i="1"/>
  <c r="H23" i="9" s="1"/>
  <c r="M678" i="1"/>
  <c r="M708" i="1"/>
  <c r="H183" i="9" s="1"/>
  <c r="M703" i="1"/>
  <c r="C183" i="9" s="1"/>
  <c r="M682" i="1"/>
  <c r="M711" i="1"/>
  <c r="M686" i="1"/>
  <c r="G87" i="9" s="1"/>
  <c r="M683" i="1"/>
  <c r="D87" i="9" s="1"/>
  <c r="M675" i="1"/>
  <c r="C55" i="9" s="1"/>
  <c r="M713" i="1"/>
  <c r="F215" i="9" s="1"/>
  <c r="M670" i="1"/>
  <c r="M692" i="1"/>
  <c r="M697" i="1"/>
  <c r="M676" i="1"/>
  <c r="D55" i="9" s="1"/>
  <c r="M710" i="1"/>
  <c r="M699" i="1"/>
  <c r="M691" i="1"/>
  <c r="I87" i="9"/>
  <c r="H87" i="9"/>
  <c r="M685" i="1"/>
  <c r="K715" i="1"/>
  <c r="M704" i="1"/>
  <c r="M700" i="1"/>
  <c r="I151" i="9"/>
  <c r="G119" i="9"/>
  <c r="M706" i="1"/>
  <c r="M674" i="1"/>
  <c r="M696" i="1"/>
  <c r="M705" i="1"/>
  <c r="M668" i="1"/>
  <c r="I183" i="9" l="1"/>
  <c r="I119" i="9"/>
  <c r="D119" i="9"/>
  <c r="G183" i="9"/>
  <c r="E87" i="9"/>
  <c r="G55" i="9"/>
  <c r="E23" i="9"/>
  <c r="H119" i="9"/>
  <c r="C87" i="9"/>
  <c r="G23" i="9"/>
  <c r="E119" i="9"/>
  <c r="F55" i="9"/>
  <c r="D215" i="9"/>
  <c r="E215" i="9"/>
  <c r="F119" i="9"/>
  <c r="F151" i="9"/>
  <c r="D151" i="9"/>
  <c r="C215" i="9"/>
  <c r="F183" i="9"/>
  <c r="D183" i="9"/>
  <c r="E183" i="9"/>
  <c r="I23" i="9"/>
  <c r="C151" i="9"/>
  <c r="F87" i="9"/>
  <c r="G151" i="9"/>
  <c r="C23" i="9"/>
  <c r="M715" i="1"/>
  <c r="C33" i="5" l="1"/>
  <c r="D186" i="1"/>
  <c r="D436" i="1" s="1"/>
  <c r="D438" i="1" l="1"/>
  <c r="C34" i="5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<sst xmlns="http://schemas.openxmlformats.org/spreadsheetml/2006/main" count="4670" uniqueCount="1279">
  <si>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</si>
  <si>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</si>
  <si>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</si>
  <si>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</si>
  <si>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</si>
  <si>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</si>
  <si>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</si>
  <si>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</si>
  <si>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</si>
  <si>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</si>
  <si>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</si>
  <si>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</si>
  <si>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</si>
  <si>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</si>
  <si>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</si>
  <si>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</si>
  <si>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</si>
  <si>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</si>
  <si>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</si>
  <si>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</si>
  <si>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</si>
  <si>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</si>
  <si>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</si>
  <si>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</si>
  <si>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</si>
  <si>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</si>
  <si>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</si>
  <si>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</si>
  <si>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</si>
  <si>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</si>
  <si>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</si>
  <si>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</si>
  <si>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</si>
  <si>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</si>
  <si>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</si>
  <si>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</si>
  <si>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</si>
  <si>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</si>
  <si>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</si>
  <si>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</si>
  <si>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</si>
  <si>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</si>
  <si>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</si>
  <si>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</si>
  <si>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</si>
  <si>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</si>
  <si>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</si>
  <si>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</si>
  <si>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</si>
  <si>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</si>
  <si>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</si>
  <si>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</si>
  <si>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</si>
  <si>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</si>
  <si>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</si>
  <si>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</si>
  <si>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</si>
  <si>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</si>
  <si>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</si>
  <si>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</si>
  <si>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</si>
  <si>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</si>
  <si>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</si>
  <si>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</si>
  <si>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</si>
  <si>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</si>
  <si>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</si>
  <si>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</si>
  <si>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</si>
  <si>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</si>
  <si>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</si>
  <si>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</si>
  <si>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</si>
  <si>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</si>
  <si>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</si>
  <si>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</si>
  <si>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</si>
  <si>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</si>
  <si>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</si>
  <si>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</si>
  <si>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</si>
  <si>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</si>
  <si>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</si>
  <si>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</si>
  <si>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</si>
  <si>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</si>
  <si>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</si>
  <si>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</si>
  <si>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</si>
  <si>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</si>
  <si>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</si>
  <si>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</si>
  <si>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</si>
  <si>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</si>
  <si>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</si>
  <si>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</si>
  <si>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</si>
  <si>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</si>
  <si>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</si>
  <si>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</si>
  <si>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</si>
  <si>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</si>
  <si>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</si>
  <si>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</si>
  <si>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</si>
  <si>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</si>
  <si>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</si>
  <si>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</si>
  <si>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</si>
  <si>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</si>
  <si>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</si>
  <si>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</si>
  <si>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</si>
  <si>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</si>
  <si>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</si>
  <si>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</si>
  <si>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</si>
  <si>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</si>
  <si>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</si>
  <si>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</si>
  <si>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</si>
  <si>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</si>
  <si>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</si>
  <si>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</si>
  <si>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</si>
  <si>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</si>
  <si>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</si>
  <si>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</si>
  <si>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</si>
  <si>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</si>
  <si>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</si>
  <si>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</si>
  <si>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</si>
  <si>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</si>
  <si>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</si>
  <si>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</si>
  <si>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</si>
  <si>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</si>
  <si>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</si>
  <si>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</si>
  <si>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</si>
  <si>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</si>
  <si>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</si>
  <si>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</si>
  <si>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</si>
  <si>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</si>
  <si>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</si>
  <si>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</si>
  <si>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</si>
  <si>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</si>
  <si>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</si>
  <si>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</si>
  <si>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</si>
  <si>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</si>
  <si>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</si>
  <si>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</si>
  <si>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</si>
  <si>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</si>
  <si>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</si>
  <si>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</si>
  <si>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</si>
  <si>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</si>
  <si>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</si>
  <si>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</si>
  <si>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</si>
  <si>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</si>
  <si>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</si>
  <si>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</si>
  <si>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</si>
  <si>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</si>
  <si>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</si>
  <si>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</si>
  <si>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</si>
  <si>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</si>
  <si>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</si>
  <si>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</si>
  <si>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</si>
  <si>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</si>
  <si>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</si>
  <si>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</si>
  <si>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</si>
  <si>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</si>
  <si>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</si>
  <si>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</si>
  <si>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</si>
  <si>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</si>
  <si>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</si>
  <si>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</si>
  <si>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</si>
  <si>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</si>
  <si>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</si>
  <si>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</si>
  <si>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</si>
  <si>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</si>
  <si>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</si>
  <si>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</si>
  <si>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</si>
  <si>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</si>
  <si>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</si>
  <si>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</si>
  <si>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</si>
  <si>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</si>
  <si>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</si>
  <si>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</si>
  <si>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</si>
  <si>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</si>
  <si>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</si>
  <si>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</si>
  <si>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</si>
  <si>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</si>
  <si>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</si>
  <si>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</si>
  <si>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</si>
  <si>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</si>
  <si>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</si>
  <si>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</si>
  <si>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</si>
  <si>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</si>
  <si>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</si>
  <si>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</si>
  <si>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</si>
  <si>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</si>
  <si>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</si>
  <si>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</si>
  <si>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</si>
  <si>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</si>
  <si>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</si>
  <si>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</si>
  <si>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</si>
  <si>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</si>
  <si>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</si>
  <si>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</si>
  <si>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</si>
  <si>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</si>
  <si>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</si>
  <si>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</si>
  <si>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</si>
  <si>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</si>
  <si>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</si>
  <si>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</si>
  <si>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</si>
  <si>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</si>
  <si>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</si>
  <si>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</si>
  <si>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</si>
  <si>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</si>
  <si>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</si>
  <si>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</si>
  <si>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</si>
  <si>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</si>
  <si>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</si>
  <si>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</si>
  <si>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</si>
  <si>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</si>
  <si>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</si>
  <si>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</si>
  <si>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</si>
  <si>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</si>
  <si>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</si>
  <si>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</si>
  <si>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</si>
  <si>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</si>
  <si>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</si>
  <si>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</si>
  <si>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</si>
  <si>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</si>
  <si>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</si>
  <si>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</si>
  <si>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</si>
  <si>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</si>
  <si>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</si>
  <si>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</si>
  <si>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</si>
  <si>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</si>
  <si>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</si>
  <si>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</si>
  <si>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</si>
  <si>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</si>
  <si>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</si>
  <si>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</si>
  <si>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</si>
  <si>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</si>
  <si>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</si>
  <si>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</si>
  <si>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</si>
  <si>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</si>
  <si>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</si>
  <si>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</si>
  <si>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</si>
  <si>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</si>
  <si>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</si>
  <si>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</si>
  <si>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</si>
  <si>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</si>
  <si>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</si>
  <si>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</si>
  <si>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</si>
  <si>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</si>
  <si>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</si>
  <si>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</si>
  <si>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</si>
  <si>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</si>
  <si>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</si>
  <si>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</si>
  <si>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</si>
  <si>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</si>
  <si>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</si>
  <si>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</si>
  <si>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</si>
  <si>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</si>
  <si>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</si>
  <si>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</si>
  <si>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</si>
  <si>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</si>
  <si>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</si>
  <si>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</si>
  <si>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</si>
  <si>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</si>
  <si>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</si>
  <si>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</si>
  <si>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</si>
  <si>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</si>
  <si>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</si>
  <si>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</si>
  <si>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</si>
  <si>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</si>
  <si>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</si>
  <si>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</si>
  <si>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</si>
  <si>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</si>
  <si>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</si>
  <si>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</si>
  <si>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</si>
  <si>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</si>
  <si>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</si>
  <si>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</si>
  <si>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</si>
  <si>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</si>
  <si>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</si>
  <si>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</si>
  <si>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</si>
  <si>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</si>
  <si>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</si>
  <si>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</si>
  <si>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</si>
  <si>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</si>
  <si>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</si>
  <si>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</si>
  <si>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</si>
  <si>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</si>
  <si>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</si>
  <si>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</si>
  <si>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</si>
  <si>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</si>
  <si>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</si>
  <si>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</si>
  <si>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</si>
  <si>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</si>
  <si>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</si>
  <si>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</si>
  <si>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</si>
  <si>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</si>
  <si>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</si>
  <si>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</si>
  <si>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</si>
  <si>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</si>
  <si>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</si>
  <si>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</si>
  <si>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</si>
  <si>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</si>
  <si>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</si>
  <si>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</si>
  <si>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</si>
  <si>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</si>
  <si>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</si>
  <si>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</si>
  <si>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</si>
  <si>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</si>
  <si>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</si>
  <si>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</si>
  <si>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</si>
  <si>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</si>
  <si>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</si>
  <si>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</si>
  <si>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</si>
  <si>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</si>
  <si>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</si>
  <si>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</si>
  <si>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</si>
  <si>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</si>
  <si>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</si>
  <si>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</si>
  <si>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</si>
  <si>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</si>
  <si>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</si>
  <si>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</si>
  <si>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</si>
  <si>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</si>
  <si>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</si>
  <si>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</si>
  <si>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</si>
  <si>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</si>
  <si>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</si>
  <si>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</si>
  <si>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</si>
  <si>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</si>
  <si>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</si>
  <si>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</si>
  <si>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</si>
  <si>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</si>
  <si>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</si>
  <si>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</si>
  <si>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</si>
  <si>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</si>
  <si>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</si>
  <si>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</si>
  <si>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</si>
  <si>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</si>
  <si>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</si>
  <si>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</si>
  <si>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</si>
  <si>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</si>
  <si>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</si>
  <si>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</si>
  <si>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</si>
  <si>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</si>
  <si>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</si>
  <si>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</si>
  <si>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</si>
  <si>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</si>
  <si>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</si>
  <si>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</si>
  <si>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</si>
  <si>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</si>
  <si>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</si>
  <si>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</si>
  <si>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</si>
  <si>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</si>
  <si>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</si>
  <si>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</si>
  <si>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</si>
  <si>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</si>
  <si>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</si>
  <si>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</si>
  <si>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</si>
  <si>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</si>
  <si>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</si>
  <si>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</si>
  <si>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</si>
  <si>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</si>
  <si>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</si>
  <si>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</si>
  <si>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</si>
  <si>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</si>
  <si>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</si>
  <si>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</si>
  <si>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</si>
  <si>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</si>
  <si>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</si>
  <si>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</si>
  <si>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</si>
  <si>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</si>
  <si>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</si>
  <si>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</si>
  <si>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</si>
  <si>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</si>
  <si>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</si>
  <si>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</si>
  <si>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</si>
  <si>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</si>
  <si>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</si>
  <si>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</si>
  <si>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</si>
  <si>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</si>
  <si>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</si>
  <si>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</si>
  <si>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</si>
  <si>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</si>
  <si>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</si>
  <si>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</si>
  <si>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</si>
  <si>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</si>
  <si>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</si>
  <si>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</si>
  <si>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</si>
  <si>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</si>
  <si>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</si>
  <si>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</si>
  <si>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</si>
  <si>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</si>
  <si>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</si>
  <si>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</si>
  <si>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</si>
  <si>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</si>
  <si>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</si>
  <si>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</si>
  <si>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</si>
  <si>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</si>
  <si>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</si>
  <si>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</si>
  <si>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</si>
  <si>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</si>
  <si>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</si>
  <si>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</si>
  <si>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</si>
  <si>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</si>
  <si>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</si>
  <si>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</si>
  <si>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</si>
  <si>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</si>
  <si>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</si>
  <si>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</si>
  <si>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</si>
  <si>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</si>
  <si>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</si>
  <si>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</si>
  <si>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</si>
  <si>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</si>
  <si>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</si>
  <si>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</si>
  <si>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</si>
  <si>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</si>
  <si>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</si>
  <si>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</si>
  <si>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</si>
  <si>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</si>
  <si>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</si>
  <si>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</si>
  <si>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</si>
  <si>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</si>
  <si>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</si>
  <si>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</si>
  <si>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</si>
  <si>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</si>
  <si>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</si>
  <si>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</si>
  <si>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</si>
  <si>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</si>
  <si>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</si>
  <si>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</si>
  <si>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</si>
  <si>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</si>
  <si>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</si>
  <si>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</si>
  <si>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</si>
  <si>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</si>
  <si>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</si>
  <si>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</si>
  <si>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</si>
  <si>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</si>
  <si>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</si>
  <si>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</si>
  <si>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</si>
  <si>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</si>
  <si>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</si>
  <si>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</si>
  <si>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</si>
  <si>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</si>
  <si>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</si>
  <si>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</si>
  <si>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</si>
  <si>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</si>
  <si>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</si>
  <si>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</si>
  <si>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</si>
  <si>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</si>
  <si>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</si>
  <si>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</si>
  <si>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</si>
  <si>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</si>
  <si>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</si>
  <si>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</si>
  <si>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</si>
  <si>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</si>
  <si>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</si>
  <si>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</si>
  <si>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</si>
  <si>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</si>
  <si>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</si>
  <si>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</si>
  <si>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</si>
  <si>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</si>
  <si>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</si>
  <si>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</si>
  <si>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</si>
  <si>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</si>
  <si>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</si>
  <si>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</si>
  <si>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</si>
  <si>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</si>
  <si>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</si>
  <si>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</si>
  <si>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</si>
  <si>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</si>
  <si>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</si>
  <si>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</si>
  <si>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</si>
  <si>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</si>
  <si>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</si>
  <si>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</si>
  <si>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</si>
  <si>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</si>
  <si>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</si>
  <si>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</si>
  <si>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</si>
  <si>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</si>
  <si>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</si>
  <si>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</si>
  <si>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</si>
  <si>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</si>
  <si>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</si>
  <si>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</si>
  <si>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</si>
  <si>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</si>
  <si>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</si>
  <si>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</si>
  <si>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</si>
  <si>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</si>
  <si>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</si>
  <si>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</si>
  <si>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</si>
  <si>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</si>
  <si>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</si>
  <si>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</si>
  <si>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</si>
  <si>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</si>
  <si>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</si>
  <si>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</si>
  <si>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</si>
  <si>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</si>
  <si>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</si>
  <si>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</si>
  <si>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</si>
  <si>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</si>
  <si>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</si>
  <si>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</si>
  <si>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</si>
  <si>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</si>
  <si>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</si>
  <si>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</si>
  <si>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</si>
  <si>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</si>
  <si>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</si>
  <si>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</si>
  <si>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</si>
  <si>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</si>
  <si>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</si>
  <si>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</si>
  <si>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</si>
  <si>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</si>
  <si>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</si>
  <si>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</si>
  <si>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</si>
  <si>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</si>
  <si>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</si>
  <si>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</si>
  <si>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</si>
  <si>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</si>
  <si>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</si>
  <si>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</si>
  <si>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</si>
  <si>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</si>
  <si>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</si>
  <si>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</si>
  <si>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</si>
  <si>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</si>
  <si>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</si>
  <si>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</si>
  <si>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</si>
  <si>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</si>
  <si>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</si>
  <si>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</si>
  <si>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</si>
  <si>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</si>
  <si>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</si>
  <si>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</si>
  <si>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</si>
  <si>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</si>
  <si>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</si>
  <si>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</si>
  <si>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</si>
  <si>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</si>
  <si>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</si>
  <si>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</si>
  <si>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</si>
  <si>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</si>
  <si>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</si>
  <si>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</si>
  <si>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</si>
  <si>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</si>
  <si>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</si>
  <si>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</si>
  <si>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</si>
  <si>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</si>
  <si>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</si>
  <si>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</si>
  <si>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</si>
  <si>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</si>
  <si>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</si>
  <si>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</si>
  <si>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</si>
  <si>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</si>
  <si>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</si>
  <si>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</si>
  <si>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</si>
  <si>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</si>
  <si>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</si>
  <si>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</si>
  <si>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</si>
  <si>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</si>
  <si>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</si>
  <si>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</si>
  <si>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</si>
  <si>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</si>
  <si>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</si>
  <si>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</si>
  <si>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</si>
  <si>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</si>
  <si>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</si>
  <si>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</si>
  <si>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</si>
  <si>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</si>
  <si>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</si>
  <si>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</si>
  <si>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</si>
  <si>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</si>
  <si>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</si>
  <si>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</si>
  <si>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</si>
  <si>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</si>
  <si>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</si>
  <si>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</si>
  <si>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</si>
  <si>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</si>
  <si>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</si>
  <si>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</si>
  <si>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</si>
  <si>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</si>
  <si>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</si>
  <si>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</si>
  <si>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</si>
  <si>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</si>
  <si>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</si>
  <si>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</si>
  <si>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</si>
  <si>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</si>
  <si>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</si>
  <si>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</si>
  <si>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</si>
  <si>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</si>
  <si>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</si>
  <si>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</si>
  <si>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</si>
  <si>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</si>
  <si>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</si>
  <si>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</si>
  <si>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</si>
  <si>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</si>
  <si>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</si>
  <si>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</si>
  <si>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</si>
  <si>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</si>
  <si>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</si>
  <si>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</si>
  <si>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</si>
  <si>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</si>
  <si>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</si>
  <si>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</si>
  <si>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</si>
  <si>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</si>
  <si>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</si>
  <si>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</si>
  <si>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</si>
  <si>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</si>
  <si>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</si>
  <si>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</si>
  <si>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</si>
  <si>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</si>
  <si>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</si>
  <si>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</si>
  <si>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</si>
  <si>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</si>
  <si>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</si>
  <si>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</si>
  <si>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</si>
  <si>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</si>
  <si>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</si>
  <si>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</si>
  <si>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</si>
  <si>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</si>
  <si>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</si>
  <si>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</si>
  <si>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</si>
  <si>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</si>
  <si>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</si>
  <si>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</si>
  <si>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</si>
  <si>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</si>
  <si>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</si>
  <si>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</si>
  <si>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</si>
  <si>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</si>
  <si>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</si>
  <si>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</si>
  <si>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</si>
  <si>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</si>
  <si>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</si>
  <si>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</si>
  <si>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</si>
  <si>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</si>
  <si>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</si>
  <si>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</si>
  <si>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</si>
  <si>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</si>
  <si>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</si>
  <si>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</si>
  <si>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</si>
  <si>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</si>
  <si>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</si>
  <si>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</si>
  <si>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</si>
  <si>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</si>
  <si>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</si>
  <si>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</si>
  <si>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</si>
  <si>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</si>
  <si>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</si>
  <si>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</si>
  <si>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</si>
  <si>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</si>
  <si>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</si>
  <si>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</si>
  <si>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</si>
  <si>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</si>
  <si>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</si>
  <si>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</si>
  <si>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</si>
  <si>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</si>
  <si>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</si>
  <si>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</si>
  <si>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</si>
  <si>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</si>
  <si>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</si>
  <si>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</si>
  <si>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</si>
  <si>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</si>
  <si>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</si>
  <si>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</si>
  <si>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</si>
  <si>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</si>
  <si>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</si>
  <si>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</si>
  <si>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</si>
  <si>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</si>
  <si>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</si>
  <si>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</si>
  <si>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</si>
  <si>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</si>
  <si>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</si>
  <si>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</si>
  <si>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</si>
  <si>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</si>
  <si>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</si>
  <si>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</si>
  <si>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</si>
  <si>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</si>
  <si>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</si>
  <si>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</si>
  <si>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</si>
  <si>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</si>
  <si>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</si>
  <si>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</si>
  <si>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</si>
  <si>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</si>
  <si>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</si>
  <si>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</si>
  <si>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</si>
  <si>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</si>
  <si>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</si>
  <si>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</si>
  <si>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</si>
  <si>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</si>
  <si>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</si>
  <si>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</si>
  <si>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</si>
  <si>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</si>
  <si>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</si>
  <si>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</si>
  <si>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</si>
  <si>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</si>
  <si>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</si>
  <si>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</si>
  <si>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</si>
  <si>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</si>
  <si>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</si>
  <si>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</si>
  <si>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</si>
  <si>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</si>
  <si>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</si>
  <si>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</si>
  <si>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</si>
  <si>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</si>
  <si>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</si>
  <si>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</si>
  <si>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</si>
  <si>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</si>
  <si>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</si>
  <si>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</si>
  <si>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</si>
  <si>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</si>
  <si>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</si>
  <si>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</si>
  <si>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</si>
  <si>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</si>
  <si>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</si>
  <si>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</si>
  <si>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</si>
  <si>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</si>
  <si>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</si>
  <si>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</si>
  <si>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</si>
  <si>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</si>
  <si>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</si>
  <si>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</si>
  <si>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</si>
  <si>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</si>
  <si>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</si>
  <si>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</si>
  <si>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</si>
  <si>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</si>
  <si>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</si>
  <si>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</si>
  <si>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</si>
  <si>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</si>
  <si>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</si>
  <si>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</si>
  <si>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</si>
  <si>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</si>
  <si>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</si>
  <si>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</si>
  <si>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</si>
  <si>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</si>
  <si>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</si>
  <si>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</si>
  <si>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</si>
  <si>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</si>
  <si>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</si>
  <si>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</si>
  <si>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</si>
  <si>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</si>
  <si>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</si>
  <si>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</si>
  <si>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</si>
  <si>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</si>
  <si>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</si>
  <si>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</si>
  <si>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</si>
  <si>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</si>
  <si>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</si>
  <si>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</si>
  <si>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</si>
  <si>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</si>
  <si>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</si>
  <si>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</si>
  <si>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</si>
  <si>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</si>
  <si>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</si>
  <si>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</si>
  <si>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</si>
  <si>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</si>
  <si>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</si>
  <si>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</si>
  <si>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</si>
  <si>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</si>
  <si>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</si>
  <si>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</si>
  <si>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</si>
  <si>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</si>
  <si>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</si>
  <si>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</si>
  <si>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</si>
  <si>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</si>
  <si>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</si>
  <si>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</si>
  <si>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</si>
  <si>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</si>
  <si>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</si>
  <si>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</si>
  <si>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</si>
  <si>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</si>
  <si>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</si>
  <si>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</si>
  <si>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</si>
  <si>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</si>
  <si>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</si>
  <si>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</si>
  <si>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</si>
  <si>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</si>
  <si>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</si>
  <si>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</si>
  <si>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</si>
  <si>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</si>
  <si>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</si>
  <si>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</si>
  <si>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</si>
  <si>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</si>
  <si>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</si>
  <si>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</si>
  <si>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</si>
  <si>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</si>
  <si>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</si>
  <si>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</si>
  <si>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</si>
  <si>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</si>
  <si>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</si>
  <si>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</si>
  <si>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</si>
  <si>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</si>
  <si>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</si>
  <si>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</si>
  <si>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</si>
  <si>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</si>
  <si>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</si>
  <si>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</si>
  <si>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</si>
  <si>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</si>
  <si>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</si>
  <si>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</si>
  <si>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</si>
  <si>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</si>
  <si>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</si>
  <si>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</si>
  <si>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</si>
  <si>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</si>
  <si>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</si>
  <si>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</si>
  <si>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</si>
  <si>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</si>
  <si>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</si>
  <si>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</si>
  <si>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</si>
  <si>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</si>
  <si>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</si>
  <si>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</si>
  <si>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</si>
  <si>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</si>
  <si>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</si>
  <si>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</si>
  <si>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</si>
  <si>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</si>
  <si>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</si>
  <si>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</si>
  <si>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</si>
  <si>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</si>
  <si>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</si>
  <si>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</si>
  <si>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</si>
  <si>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</si>
  <si>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</si>
  <si>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</si>
  <si>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</si>
  <si>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</si>
  <si>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</si>
  <si>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</si>
  <si>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</si>
  <si>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</si>
  <si>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</si>
  <si>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</si>
  <si>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</si>
  <si>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</si>
  <si>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</si>
  <si>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</si>
  <si>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</si>
  <si>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</si>
  <si>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</si>
  <si>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</si>
  <si>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</si>
  <si>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</si>
  <si>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</si>
  <si>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</si>
  <si>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</si>
  <si>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</si>
  <si>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</si>
  <si>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</si>
  <si>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</si>
  <si>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</si>
  <si>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</si>
  <si>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</si>
  <si>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</si>
  <si>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</si>
  <si>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</si>
  <si>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</si>
  <si>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</si>
  <si>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</si>
  <si>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</si>
  <si>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</si>
  <si>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</si>
  <si>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</si>
  <si>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</si>
  <si>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</si>
  <si>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</si>
  <si>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</si>
  <si>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</si>
  <si>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</si>
  <si>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</si>
  <si>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</si>
  <si>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</si>
  <si>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</si>
  <si>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</si>
  <si>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</si>
  <si>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</si>
  <si>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</si>
  <si>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</si>
  <si>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</si>
  <si>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</si>
  <si>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</si>
  <si>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</si>
  <si>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</si>
  <si>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</si>
  <si>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</si>
  <si>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</si>
  <si>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</si>
  <si>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</si>
  <si>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</si>
  <si>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</si>
  <si>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</si>
  <si>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</si>
  <si>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</si>
  <si>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</si>
  <si>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</si>
  <si>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</si>
  <si>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</si>
  <si>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</si>
  <si>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</si>
  <si>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</si>
  <si>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</si>
  <si>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</si>
  <si>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</si>
  <si>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</si>
  <si>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</si>
  <si>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</si>
  <si>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</si>
  <si>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</si>
  <si>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</si>
  <si>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</si>
  <si>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</si>
  <si>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</si>
  <si>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</si>
  <si>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</si>
  <si>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</si>
  <si>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</si>
  <si>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</si>
  <si>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</si>
  <si>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</si>
  <si>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</si>
  <si>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</si>
  <si>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</si>
  <si>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</si>
  <si>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</si>
  <si>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</si>
  <si>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</si>
  <si>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</si>
  <si>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</si>
  <si>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</si>
  <si>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</si>
  <si>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</si>
  <si>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</si>
  <si>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</si>
  <si>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</si>
  <si>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</si>
  <si>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</si>
  <si>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</si>
  <si>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</si>
  <si>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</si>
  <si>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</si>
  <si>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</si>
  <si>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</si>
  <si>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</si>
  <si>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</si>
  <si>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</si>
  <si>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</si>
  <si>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</si>
  <si>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</si>
  <si>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</si>
  <si>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</si>
  <si>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</si>
  <si>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</si>
  <si>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</si>
  <si>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</si>
  <si>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</si>
  <si>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</si>
  <si>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</si>
  <si>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</si>
  <si>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</si>
  <si>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</si>
  <si>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</si>
  <si>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</si>
  <si>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</si>
  <si>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</si>
  <si>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</si>
  <si>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</si>
  <si>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</si>
  <si>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</si>
  <si>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</si>
  <si>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</si>
  <si>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</si>
  <si>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</si>
  <si>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</si>
  <si>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</si>
  <si>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</si>
  <si>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</si>
  <si>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</si>
  <si>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</si>
  <si>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</si>
  <si>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</si>
  <si>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</si>
  <si>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</si>
  <si>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</si>
  <si>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</si>
  <si>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</si>
  <si>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</si>
  <si>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</si>
  <si>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</si>
  <si>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</si>
  <si>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</si>
  <si>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</si>
  <si>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</si>
  <si>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</si>
  <si>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</si>
  <si>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</si>
  <si>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</si>
  <si>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</si>
  <si>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</si>
  <si>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</si>
  <si>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</si>
  <si>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</si>
  <si>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</si>
  <si>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</si>
  <si>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</si>
  <si>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</si>
  <si>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</si>
  <si>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</si>
  <si>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</si>
  <si>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</si>
  <si>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</si>
  <si>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</si>
  <si>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</si>
  <si>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</si>
  <si>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</si>
  <si>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</si>
  <si>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</si>
  <si>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</si>
  <si>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</si>
  <si>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</si>
  <si>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</si>
  <si>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</si>
  <si>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</si>
  <si>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</si>
  <si>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</si>
  <si>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</si>
  <si>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</si>
  <si>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</si>
  <si>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</si>
  <si>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</si>
  <si>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</si>
  <si>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</si>
  <si>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</si>
  <si>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</si>
  <si>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045</t>
  </si>
  <si>
    <t>Columbia Basin Hospital</t>
  </si>
  <si>
    <t>200 Nat Washington Way</t>
  </si>
  <si>
    <t>Ephrata, WA 98823</t>
  </si>
  <si>
    <t>Grant</t>
  </si>
  <si>
    <t>Rosalinda Kibby, Administrator</t>
  </si>
  <si>
    <t>Rhonda Handly, Director of Finance</t>
  </si>
  <si>
    <t>Amy Paynter</t>
  </si>
  <si>
    <t>509-754-4631</t>
  </si>
  <si>
    <t>509-754-6356</t>
  </si>
  <si>
    <t>Ephrata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</si>
</sst>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0" fontId="1" fillId="0" borderId="0"/>
  </cellStyleXfs>
  <cellXfs count="29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7" fontId="9" fillId="0" borderId="1" xfId="4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10 2 3" xfId="4"/>
    <cellStyle name="Normal 5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1858186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264674</v>
      </c>
      <c r="L48" s="195">
        <f>ROUND(((B48/CE61)*L61),0)</f>
        <v>250089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11957</v>
      </c>
      <c r="T48" s="195">
        <f>ROUND(((B48/CE61)*T61),0)</f>
        <v>0</v>
      </c>
      <c r="U48" s="195">
        <f>ROUND(((B48/CE61)*U61),0)</f>
        <v>83967</v>
      </c>
      <c r="V48" s="195">
        <f>ROUND(((B48/CE61)*V61),0)</f>
        <v>0</v>
      </c>
      <c r="W48" s="195">
        <f>ROUND(((B48/CE61)*W61),0)</f>
        <v>460</v>
      </c>
      <c r="X48" s="195">
        <f>ROUND(((B48/CE61)*X61),0)</f>
        <v>9947</v>
      </c>
      <c r="Y48" s="195">
        <f>ROUND(((B48/CE61)*Y61),0)</f>
        <v>73060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133554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356781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23435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96342</v>
      </c>
      <c r="AZ48" s="195">
        <f>ROUND(((B48/CE61)*AZ61),0)</f>
        <v>0</v>
      </c>
      <c r="BA48" s="195">
        <f>ROUND(((B48/CE61)*BA61),0)</f>
        <v>17953</v>
      </c>
      <c r="BB48" s="195">
        <f>ROUND(((B48/CE61)*BB61),0)</f>
        <v>27415</v>
      </c>
      <c r="BC48" s="195">
        <f>ROUND(((B48/CE61)*BC61),0)</f>
        <v>0</v>
      </c>
      <c r="BD48" s="195">
        <f>ROUND(((B48/CE61)*BD61),0)</f>
        <v>10135</v>
      </c>
      <c r="BE48" s="195">
        <f>ROUND(((B48/CE61)*BE61),0)</f>
        <v>36226</v>
      </c>
      <c r="BF48" s="195">
        <f>ROUND(((B48/CE61)*BF61),0)</f>
        <v>72699</v>
      </c>
      <c r="BG48" s="195">
        <f>ROUND(((B48/CE61)*BG61),0)</f>
        <v>0</v>
      </c>
      <c r="BH48" s="195">
        <f>ROUND(((B48/CE61)*BH61),0)</f>
        <v>39969</v>
      </c>
      <c r="BI48" s="195">
        <f>ROUND(((B48/CE61)*BI61),0)</f>
        <v>0</v>
      </c>
      <c r="BJ48" s="195">
        <f>ROUND(((B48/CE61)*BJ61),0)</f>
        <v>43029</v>
      </c>
      <c r="BK48" s="195">
        <f>ROUND(((B48/CE61)*BK61),0)</f>
        <v>74410</v>
      </c>
      <c r="BL48" s="195">
        <f>ROUND(((B48/CE61)*BL61),0)</f>
        <v>33903</v>
      </c>
      <c r="BM48" s="195">
        <f>ROUND(((B48/CE61)*BM61),0)</f>
        <v>0</v>
      </c>
      <c r="BN48" s="195">
        <f>ROUND(((B48/CE61)*BN61),0)</f>
        <v>46744</v>
      </c>
      <c r="BO48" s="195">
        <f>ROUND(((B48/CE61)*BO61),0)</f>
        <v>0</v>
      </c>
      <c r="BP48" s="195">
        <f>ROUND(((B48/CE61)*BP61),0)</f>
        <v>12946</v>
      </c>
      <c r="BQ48" s="195">
        <f>ROUND(((B48/CE61)*BQ61),0)</f>
        <v>0</v>
      </c>
      <c r="BR48" s="195">
        <f>ROUND(((B48/CE61)*BR61),0)</f>
        <v>22937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34158</v>
      </c>
      <c r="BW48" s="195">
        <f>ROUND(((B48/CE61)*BW61),0)</f>
        <v>0</v>
      </c>
      <c r="BX48" s="195">
        <f>ROUND(((B48/CE61)*BX61),0)</f>
        <v>13187</v>
      </c>
      <c r="BY48" s="195">
        <f>ROUND(((B48/CE61)*BY61),0)</f>
        <v>46212</v>
      </c>
      <c r="BZ48" s="195">
        <f>ROUND(((B48/CE61)*BZ61),0)</f>
        <v>0</v>
      </c>
      <c r="CA48" s="195">
        <f>ROUND(((B48/CE61)*CA61),0)</f>
        <v>21995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1858184</v>
      </c>
    </row>
    <row r="49" spans="1:84" ht="12.6" customHeight="1" x14ac:dyDescent="0.25">
      <c r="A49" s="175" t="s">
        <v>206</v>
      </c>
      <c r="B49" s="195">
        <f>B47+B48</f>
        <v>1858186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1534903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271986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336848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14833</v>
      </c>
      <c r="T52" s="195">
        <f>ROUND((B52/(CE76+CF76)*T76),0)</f>
        <v>0</v>
      </c>
      <c r="U52" s="195">
        <f>ROUND((B52/(CE76+CF76)*U76),0)</f>
        <v>23365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10093</v>
      </c>
      <c r="Y52" s="195">
        <f>ROUND((B52/(CE76+CF76)*Y76),0)</f>
        <v>27434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7327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56862</v>
      </c>
      <c r="AF52" s="195">
        <f>ROUND((B52/(CE76+CF76)*AF76),0)</f>
        <v>0</v>
      </c>
      <c r="AG52" s="195">
        <f>ROUND((B52/(CE76+CF76)*AG76),0)</f>
        <v>57356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109478</v>
      </c>
      <c r="AK52" s="195">
        <f>ROUND((B52/(CE76+CF76)*AK76),0)</f>
        <v>13035</v>
      </c>
      <c r="AL52" s="195">
        <f>ROUND((B52/(CE76+CF76)*AL76),0)</f>
        <v>1778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37171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26663</v>
      </c>
      <c r="AZ52" s="195">
        <f>ROUND((B52/(CE76+CF76)*AZ76),0)</f>
        <v>58561</v>
      </c>
      <c r="BA52" s="195">
        <f>ROUND((B52/(CE76+CF76)*BA76),0)</f>
        <v>27651</v>
      </c>
      <c r="BB52" s="195">
        <f>ROUND((B52/(CE76+CF76)*BB76),0)</f>
        <v>1778</v>
      </c>
      <c r="BC52" s="195">
        <f>ROUND((B52/(CE76+CF76)*BC76),0)</f>
        <v>0</v>
      </c>
      <c r="BD52" s="195">
        <f>ROUND((B52/(CE76+CF76)*BD76),0)</f>
        <v>48152</v>
      </c>
      <c r="BE52" s="195">
        <f>ROUND((B52/(CE76+CF76)*BE76),0)</f>
        <v>71181</v>
      </c>
      <c r="BF52" s="195">
        <f>ROUND((B52/(CE76+CF76)*BF76),0)</f>
        <v>30219</v>
      </c>
      <c r="BG52" s="195">
        <f>ROUND((B52/(CE76+CF76)*BG76),0)</f>
        <v>0</v>
      </c>
      <c r="BH52" s="195">
        <f>ROUND((B52/(CE76+CF76)*BH76),0)</f>
        <v>10626</v>
      </c>
      <c r="BI52" s="195">
        <f>ROUND((B52/(CE76+CF76)*BI76),0)</f>
        <v>0</v>
      </c>
      <c r="BJ52" s="195">
        <f>ROUND((B52/(CE76+CF76)*BJ76),0)</f>
        <v>14872</v>
      </c>
      <c r="BK52" s="195">
        <f>ROUND((B52/(CE76+CF76)*BK76),0)</f>
        <v>41812</v>
      </c>
      <c r="BL52" s="195">
        <f>ROUND((B52/(CE76+CF76)*BL76),0)</f>
        <v>77541</v>
      </c>
      <c r="BM52" s="195">
        <f>ROUND((B52/(CE76+CF76)*BM76),0)</f>
        <v>0</v>
      </c>
      <c r="BN52" s="195">
        <f>ROUND((B52/(CE76+CF76)*BN76),0)</f>
        <v>116963</v>
      </c>
      <c r="BO52" s="195">
        <f>ROUND((B52/(CE76+CF76)*BO76),0)</f>
        <v>0</v>
      </c>
      <c r="BP52" s="195">
        <f>ROUND((B52/(CE76+CF76)*BP76),0)</f>
        <v>1995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27829</v>
      </c>
      <c r="BW52" s="195">
        <f>ROUND((B52/(CE76+CF76)*BW76),0)</f>
        <v>0</v>
      </c>
      <c r="BX52" s="195">
        <f>ROUND((B52/(CE76+CF76)*BX76),0)</f>
        <v>1699</v>
      </c>
      <c r="BY52" s="195">
        <f>ROUND((B52/(CE76+CF76)*BY76),0)</f>
        <v>5115</v>
      </c>
      <c r="BZ52" s="195">
        <f>ROUND((B52/(CE76+CF76)*BZ76),0)</f>
        <v>0</v>
      </c>
      <c r="CA52" s="195">
        <f>ROUND((B52/(CE76+CF76)*CA76),0)</f>
        <v>4681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1534904</v>
      </c>
    </row>
    <row r="53" spans="1:84" ht="12.6" customHeight="1" x14ac:dyDescent="0.25">
      <c r="A53" s="175" t="s">
        <v>206</v>
      </c>
      <c r="B53" s="195">
        <f>B51+B52</f>
        <v>1534903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470</v>
      </c>
      <c r="F59" s="184"/>
      <c r="G59" s="184"/>
      <c r="H59" s="184"/>
      <c r="I59" s="184"/>
      <c r="J59" s="184"/>
      <c r="K59" s="184">
        <f>4256+10167</f>
        <v>14423</v>
      </c>
      <c r="L59" s="184">
        <v>5013</v>
      </c>
      <c r="M59" s="184"/>
      <c r="N59" s="184"/>
      <c r="O59" s="184"/>
      <c r="P59" s="185"/>
      <c r="Q59" s="185"/>
      <c r="R59" s="185"/>
      <c r="S59" s="248"/>
      <c r="T59" s="248"/>
      <c r="U59" s="224">
        <v>129073</v>
      </c>
      <c r="V59" s="185"/>
      <c r="W59" s="185">
        <v>2639.2</v>
      </c>
      <c r="X59" s="185">
        <v>9840.42</v>
      </c>
      <c r="Y59" s="185">
        <v>6398</v>
      </c>
      <c r="Z59" s="185"/>
      <c r="AA59" s="185"/>
      <c r="AB59" s="248"/>
      <c r="AC59" s="185"/>
      <c r="AD59" s="185"/>
      <c r="AE59" s="185">
        <v>23685</v>
      </c>
      <c r="AF59" s="185"/>
      <c r="AG59" s="185">
        <v>5032</v>
      </c>
      <c r="AH59" s="185"/>
      <c r="AI59" s="185">
        <v>168</v>
      </c>
      <c r="AJ59" s="185">
        <f>10911+1535</f>
        <v>12446</v>
      </c>
      <c r="AK59" s="185">
        <v>9278</v>
      </c>
      <c r="AL59" s="185">
        <v>1710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72463</v>
      </c>
      <c r="AZ59" s="185"/>
      <c r="BA59" s="248"/>
      <c r="BB59" s="248"/>
      <c r="BC59" s="248"/>
      <c r="BD59" s="248"/>
      <c r="BE59" s="185">
        <v>77714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>
        <f>12.8+9.08</f>
        <v>21.880000000000003</v>
      </c>
      <c r="L60" s="187">
        <v>19.399999999999999</v>
      </c>
      <c r="M60" s="187"/>
      <c r="N60" s="187"/>
      <c r="O60" s="187"/>
      <c r="P60" s="221"/>
      <c r="Q60" s="221"/>
      <c r="R60" s="221"/>
      <c r="S60" s="221">
        <v>1.23</v>
      </c>
      <c r="T60" s="221"/>
      <c r="U60" s="221">
        <v>6.16</v>
      </c>
      <c r="V60" s="221"/>
      <c r="W60" s="221">
        <v>0.03</v>
      </c>
      <c r="X60" s="221">
        <v>0.52</v>
      </c>
      <c r="Y60" s="221">
        <v>4.07</v>
      </c>
      <c r="Z60" s="221"/>
      <c r="AA60" s="221"/>
      <c r="AB60" s="221"/>
      <c r="AC60" s="221"/>
      <c r="AD60" s="221"/>
      <c r="AE60" s="221"/>
      <c r="AF60" s="221"/>
      <c r="AG60" s="221">
        <v>9.2100000000000009</v>
      </c>
      <c r="AH60" s="221"/>
      <c r="AI60" s="221"/>
      <c r="AJ60" s="221">
        <v>17.510000000000002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3.09</v>
      </c>
      <c r="AW60" s="221"/>
      <c r="AX60" s="221"/>
      <c r="AY60" s="221">
        <v>11.85</v>
      </c>
      <c r="AZ60" s="221"/>
      <c r="BA60" s="221">
        <v>2.48</v>
      </c>
      <c r="BB60" s="221">
        <v>2.04</v>
      </c>
      <c r="BC60" s="221"/>
      <c r="BD60" s="221">
        <v>0.81</v>
      </c>
      <c r="BE60" s="221">
        <v>3.23</v>
      </c>
      <c r="BF60" s="221">
        <v>9.5299999999999994</v>
      </c>
      <c r="BG60" s="221"/>
      <c r="BH60" s="221">
        <v>2.27</v>
      </c>
      <c r="BI60" s="221"/>
      <c r="BJ60" s="221">
        <v>2.2000000000000002</v>
      </c>
      <c r="BK60" s="221">
        <v>5.96</v>
      </c>
      <c r="BL60" s="221">
        <v>4.01</v>
      </c>
      <c r="BM60" s="221"/>
      <c r="BN60" s="221">
        <v>2</v>
      </c>
      <c r="BO60" s="221"/>
      <c r="BP60" s="221">
        <v>0.85</v>
      </c>
      <c r="BQ60" s="221"/>
      <c r="BR60" s="221">
        <v>1.19</v>
      </c>
      <c r="BS60" s="221"/>
      <c r="BT60" s="221"/>
      <c r="BU60" s="221"/>
      <c r="BV60" s="221">
        <v>2.9</v>
      </c>
      <c r="BW60" s="221"/>
      <c r="BX60" s="221">
        <v>0.7</v>
      </c>
      <c r="BY60" s="221">
        <v>2.5099999999999998</v>
      </c>
      <c r="BZ60" s="221"/>
      <c r="CA60" s="221">
        <v>1.01</v>
      </c>
      <c r="CB60" s="221"/>
      <c r="CC60" s="221"/>
      <c r="CD60" s="249" t="s">
        <v>221</v>
      </c>
      <c r="CE60" s="251">
        <f t="shared" ref="CE60:CE70" si="0">SUM(C60:CD60)</f>
        <v>138.63999999999999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>
        <f>667726+449646</f>
        <v>1117372</v>
      </c>
      <c r="L61" s="185">
        <v>1055800</v>
      </c>
      <c r="M61" s="184"/>
      <c r="N61" s="184"/>
      <c r="O61" s="184"/>
      <c r="P61" s="185"/>
      <c r="Q61" s="185"/>
      <c r="R61" s="185"/>
      <c r="S61" s="185">
        <v>50479</v>
      </c>
      <c r="T61" s="185"/>
      <c r="U61" s="185">
        <v>354484</v>
      </c>
      <c r="V61" s="185"/>
      <c r="W61" s="185">
        <v>1942</v>
      </c>
      <c r="X61" s="185">
        <v>41994</v>
      </c>
      <c r="Y61" s="185">
        <v>308437</v>
      </c>
      <c r="Z61" s="185"/>
      <c r="AA61" s="185"/>
      <c r="AB61" s="185"/>
      <c r="AC61" s="185"/>
      <c r="AD61" s="185"/>
      <c r="AE61" s="185"/>
      <c r="AF61" s="185"/>
      <c r="AG61" s="185">
        <v>563825</v>
      </c>
      <c r="AH61" s="185"/>
      <c r="AI61" s="185"/>
      <c r="AJ61" s="185">
        <v>1506219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98936</v>
      </c>
      <c r="AW61" s="185"/>
      <c r="AX61" s="185"/>
      <c r="AY61" s="185">
        <f>406728-1</f>
        <v>406727</v>
      </c>
      <c r="AZ61" s="185"/>
      <c r="BA61" s="185">
        <v>75793</v>
      </c>
      <c r="BB61" s="185">
        <v>115736</v>
      </c>
      <c r="BC61" s="185"/>
      <c r="BD61" s="185">
        <v>42786</v>
      </c>
      <c r="BE61" s="185">
        <v>152935</v>
      </c>
      <c r="BF61" s="185">
        <v>306914</v>
      </c>
      <c r="BG61" s="185"/>
      <c r="BH61" s="185">
        <v>168739</v>
      </c>
      <c r="BI61" s="185"/>
      <c r="BJ61" s="185">
        <v>181655</v>
      </c>
      <c r="BK61" s="185">
        <v>314136</v>
      </c>
      <c r="BL61" s="185">
        <v>143130</v>
      </c>
      <c r="BM61" s="185"/>
      <c r="BN61" s="185">
        <v>197340</v>
      </c>
      <c r="BO61" s="185"/>
      <c r="BP61" s="185">
        <v>54653</v>
      </c>
      <c r="BQ61" s="185"/>
      <c r="BR61" s="185">
        <v>96835</v>
      </c>
      <c r="BS61" s="185"/>
      <c r="BT61" s="185"/>
      <c r="BU61" s="185"/>
      <c r="BV61" s="185">
        <v>144205</v>
      </c>
      <c r="BW61" s="185"/>
      <c r="BX61" s="185">
        <v>55671</v>
      </c>
      <c r="BY61" s="185">
        <v>195095</v>
      </c>
      <c r="BZ61" s="185"/>
      <c r="CA61" s="185">
        <v>92855</v>
      </c>
      <c r="CB61" s="185"/>
      <c r="CC61" s="185"/>
      <c r="CD61" s="249" t="s">
        <v>221</v>
      </c>
      <c r="CE61" s="195">
        <f t="shared" si="0"/>
        <v>7844693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264674</v>
      </c>
      <c r="L62" s="195">
        <f t="shared" si="1"/>
        <v>250089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11957</v>
      </c>
      <c r="T62" s="195">
        <f t="shared" si="1"/>
        <v>0</v>
      </c>
      <c r="U62" s="195">
        <f t="shared" si="1"/>
        <v>83967</v>
      </c>
      <c r="V62" s="195">
        <f t="shared" si="1"/>
        <v>0</v>
      </c>
      <c r="W62" s="195">
        <f t="shared" si="1"/>
        <v>460</v>
      </c>
      <c r="X62" s="195">
        <f t="shared" si="1"/>
        <v>9947</v>
      </c>
      <c r="Y62" s="195">
        <f t="shared" si="1"/>
        <v>73060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133554</v>
      </c>
      <c r="AH62" s="195">
        <f t="shared" si="1"/>
        <v>0</v>
      </c>
      <c r="AI62" s="195">
        <f t="shared" si="1"/>
        <v>0</v>
      </c>
      <c r="AJ62" s="195">
        <f t="shared" si="1"/>
        <v>356781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23435</v>
      </c>
      <c r="AW62" s="195">
        <f t="shared" si="1"/>
        <v>0</v>
      </c>
      <c r="AX62" s="195">
        <f t="shared" si="1"/>
        <v>0</v>
      </c>
      <c r="AY62" s="195">
        <f>ROUND(AY47+AY48,0)</f>
        <v>96342</v>
      </c>
      <c r="AZ62" s="195">
        <f>ROUND(AZ47+AZ48,0)</f>
        <v>0</v>
      </c>
      <c r="BA62" s="195">
        <f>ROUND(BA47+BA48,0)</f>
        <v>17953</v>
      </c>
      <c r="BB62" s="195">
        <f t="shared" si="1"/>
        <v>27415</v>
      </c>
      <c r="BC62" s="195">
        <f t="shared" si="1"/>
        <v>0</v>
      </c>
      <c r="BD62" s="195">
        <f t="shared" si="1"/>
        <v>10135</v>
      </c>
      <c r="BE62" s="195">
        <f t="shared" si="1"/>
        <v>36226</v>
      </c>
      <c r="BF62" s="195">
        <f t="shared" si="1"/>
        <v>72699</v>
      </c>
      <c r="BG62" s="195">
        <f t="shared" si="1"/>
        <v>0</v>
      </c>
      <c r="BH62" s="195">
        <f t="shared" si="1"/>
        <v>39969</v>
      </c>
      <c r="BI62" s="195">
        <f t="shared" si="1"/>
        <v>0</v>
      </c>
      <c r="BJ62" s="195">
        <f t="shared" si="1"/>
        <v>43029</v>
      </c>
      <c r="BK62" s="195">
        <f t="shared" si="1"/>
        <v>74410</v>
      </c>
      <c r="BL62" s="195">
        <f t="shared" si="1"/>
        <v>33903</v>
      </c>
      <c r="BM62" s="195">
        <f t="shared" si="1"/>
        <v>0</v>
      </c>
      <c r="BN62" s="195">
        <f t="shared" si="1"/>
        <v>46744</v>
      </c>
      <c r="BO62" s="195">
        <f t="shared" ref="BO62:CC62" si="2">ROUND(BO47+BO48,0)</f>
        <v>0</v>
      </c>
      <c r="BP62" s="195">
        <f t="shared" si="2"/>
        <v>12946</v>
      </c>
      <c r="BQ62" s="195">
        <f t="shared" si="2"/>
        <v>0</v>
      </c>
      <c r="BR62" s="195">
        <f t="shared" si="2"/>
        <v>22937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34158</v>
      </c>
      <c r="BW62" s="195">
        <f t="shared" si="2"/>
        <v>0</v>
      </c>
      <c r="BX62" s="195">
        <f t="shared" si="2"/>
        <v>13187</v>
      </c>
      <c r="BY62" s="195">
        <f t="shared" si="2"/>
        <v>46212</v>
      </c>
      <c r="BZ62" s="195">
        <f t="shared" si="2"/>
        <v>0</v>
      </c>
      <c r="CA62" s="195">
        <f t="shared" si="2"/>
        <v>21995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1858184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f>65740+37142</f>
        <v>102882</v>
      </c>
      <c r="L63" s="185">
        <v>420409</v>
      </c>
      <c r="M63" s="184"/>
      <c r="N63" s="184"/>
      <c r="O63" s="184"/>
      <c r="P63" s="185"/>
      <c r="Q63" s="185"/>
      <c r="R63" s="185"/>
      <c r="S63" s="185"/>
      <c r="T63" s="185"/>
      <c r="U63" s="185">
        <v>57330</v>
      </c>
      <c r="V63" s="185"/>
      <c r="W63" s="185"/>
      <c r="X63" s="185"/>
      <c r="Y63" s="185">
        <v>282360</v>
      </c>
      <c r="Z63" s="185"/>
      <c r="AA63" s="185"/>
      <c r="AB63" s="185">
        <v>157884</v>
      </c>
      <c r="AC63" s="185"/>
      <c r="AD63" s="185"/>
      <c r="AE63" s="185">
        <v>783007</v>
      </c>
      <c r="AF63" s="185"/>
      <c r="AG63" s="185">
        <f>212066+1344086</f>
        <v>1556152</v>
      </c>
      <c r="AH63" s="185"/>
      <c r="AI63" s="185"/>
      <c r="AJ63" s="185">
        <v>27053</v>
      </c>
      <c r="AK63" s="185">
        <v>316704</v>
      </c>
      <c r="AL63" s="185">
        <v>121516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11977</v>
      </c>
      <c r="AZ63" s="185"/>
      <c r="BA63" s="185"/>
      <c r="BB63" s="185"/>
      <c r="BC63" s="185"/>
      <c r="BD63" s="185"/>
      <c r="BE63" s="185"/>
      <c r="BF63" s="185"/>
      <c r="BG63" s="185"/>
      <c r="BH63" s="185">
        <v>677</v>
      </c>
      <c r="BI63" s="185"/>
      <c r="BJ63" s="185">
        <v>79949</v>
      </c>
      <c r="BK63" s="185">
        <v>59294</v>
      </c>
      <c r="BL63" s="185">
        <v>60</v>
      </c>
      <c r="BM63" s="185"/>
      <c r="BN63" s="185">
        <v>101644</v>
      </c>
      <c r="BO63" s="185"/>
      <c r="BP63" s="185"/>
      <c r="BQ63" s="185"/>
      <c r="BR63" s="185">
        <v>6169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4085067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12284</v>
      </c>
      <c r="F64" s="185"/>
      <c r="G64" s="184"/>
      <c r="H64" s="184"/>
      <c r="I64" s="185"/>
      <c r="J64" s="185"/>
      <c r="K64" s="185">
        <f>17130+13002</f>
        <v>30132</v>
      </c>
      <c r="L64" s="185">
        <v>63404</v>
      </c>
      <c r="M64" s="184"/>
      <c r="N64" s="184"/>
      <c r="O64" s="184"/>
      <c r="P64" s="185"/>
      <c r="Q64" s="185"/>
      <c r="R64" s="185"/>
      <c r="S64" s="185">
        <v>21608</v>
      </c>
      <c r="T64" s="185">
        <v>379</v>
      </c>
      <c r="U64" s="185">
        <f>365773+13220+9</f>
        <v>379002</v>
      </c>
      <c r="V64" s="185"/>
      <c r="W64" s="185"/>
      <c r="X64" s="185">
        <v>18150</v>
      </c>
      <c r="Y64" s="185">
        <v>9040</v>
      </c>
      <c r="Z64" s="185"/>
      <c r="AA64" s="185"/>
      <c r="AB64" s="185">
        <f>152843+125593</f>
        <v>278436</v>
      </c>
      <c r="AC64" s="185"/>
      <c r="AD64" s="185"/>
      <c r="AE64" s="185">
        <v>23292</v>
      </c>
      <c r="AF64" s="185"/>
      <c r="AG64" s="185">
        <v>43253</v>
      </c>
      <c r="AH64" s="185"/>
      <c r="AI64" s="185"/>
      <c r="AJ64" s="185">
        <v>78486</v>
      </c>
      <c r="AK64" s="185">
        <v>7003</v>
      </c>
      <c r="AL64" s="185">
        <v>4427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5352</v>
      </c>
      <c r="AW64" s="185"/>
      <c r="AX64" s="185"/>
      <c r="AY64" s="185">
        <v>244390</v>
      </c>
      <c r="AZ64" s="185"/>
      <c r="BA64" s="185">
        <v>15681</v>
      </c>
      <c r="BB64" s="185">
        <v>159</v>
      </c>
      <c r="BC64" s="185"/>
      <c r="BD64" s="185">
        <v>7059</v>
      </c>
      <c r="BE64" s="185">
        <v>29594</v>
      </c>
      <c r="BF64" s="185">
        <v>25961</v>
      </c>
      <c r="BG64" s="185"/>
      <c r="BH64" s="185">
        <f>33508+33677</f>
        <v>67185</v>
      </c>
      <c r="BI64" s="185"/>
      <c r="BJ64" s="185">
        <v>1669</v>
      </c>
      <c r="BK64" s="185">
        <v>2815</v>
      </c>
      <c r="BL64" s="185">
        <v>1837</v>
      </c>
      <c r="BM64" s="185"/>
      <c r="BN64" s="185">
        <v>120</v>
      </c>
      <c r="BO64" s="185"/>
      <c r="BP64" s="185">
        <v>1321</v>
      </c>
      <c r="BQ64" s="185"/>
      <c r="BR64" s="185">
        <v>672</v>
      </c>
      <c r="BS64" s="185"/>
      <c r="BT64" s="185"/>
      <c r="BU64" s="185"/>
      <c r="BV64" s="185">
        <v>1589</v>
      </c>
      <c r="BW64" s="185"/>
      <c r="BX64" s="185">
        <v>40</v>
      </c>
      <c r="BY64" s="185">
        <v>1687</v>
      </c>
      <c r="BZ64" s="185"/>
      <c r="CA64" s="185">
        <v>5486</v>
      </c>
      <c r="CB64" s="185"/>
      <c r="CC64" s="185"/>
      <c r="CD64" s="249" t="s">
        <v>221</v>
      </c>
      <c r="CE64" s="195">
        <f t="shared" si="0"/>
        <v>1381513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180977</v>
      </c>
      <c r="BF65" s="185"/>
      <c r="BG65" s="185"/>
      <c r="BH65" s="185">
        <v>31960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212937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8329</v>
      </c>
      <c r="F66" s="184"/>
      <c r="G66" s="184"/>
      <c r="H66" s="184"/>
      <c r="I66" s="184"/>
      <c r="J66" s="184"/>
      <c r="K66" s="185">
        <f>3266+4940</f>
        <v>8206</v>
      </c>
      <c r="L66" s="185">
        <v>20103</v>
      </c>
      <c r="M66" s="184"/>
      <c r="N66" s="184"/>
      <c r="O66" s="185"/>
      <c r="P66" s="185"/>
      <c r="Q66" s="185"/>
      <c r="R66" s="185"/>
      <c r="S66" s="184"/>
      <c r="T66" s="184">
        <v>1797</v>
      </c>
      <c r="U66" s="185">
        <f>33095+7313</f>
        <v>40408</v>
      </c>
      <c r="V66" s="185"/>
      <c r="W66" s="185">
        <v>95843</v>
      </c>
      <c r="X66" s="185">
        <v>88979</v>
      </c>
      <c r="Y66" s="185">
        <v>98788</v>
      </c>
      <c r="Z66" s="185"/>
      <c r="AA66" s="185"/>
      <c r="AB66" s="185">
        <f>8304+228903</f>
        <v>237207</v>
      </c>
      <c r="AC66" s="185"/>
      <c r="AD66" s="185"/>
      <c r="AE66" s="185"/>
      <c r="AF66" s="185"/>
      <c r="AG66" s="185">
        <v>2141</v>
      </c>
      <c r="AH66" s="185"/>
      <c r="AI66" s="185"/>
      <c r="AJ66" s="185">
        <v>163035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900</v>
      </c>
      <c r="AZ66" s="185"/>
      <c r="BA66" s="185"/>
      <c r="BB66" s="185"/>
      <c r="BC66" s="185"/>
      <c r="BD66" s="185"/>
      <c r="BE66" s="185">
        <v>42523</v>
      </c>
      <c r="BF66" s="185"/>
      <c r="BG66" s="185"/>
      <c r="BH66" s="185">
        <v>376197</v>
      </c>
      <c r="BI66" s="185"/>
      <c r="BJ66" s="185"/>
      <c r="BK66" s="185">
        <v>45843</v>
      </c>
      <c r="BL66" s="185"/>
      <c r="BM66" s="185"/>
      <c r="BN66" s="185">
        <v>12286</v>
      </c>
      <c r="BO66" s="185"/>
      <c r="BP66" s="185">
        <v>28336</v>
      </c>
      <c r="BQ66" s="185"/>
      <c r="BR66" s="185">
        <v>11675</v>
      </c>
      <c r="BS66" s="185"/>
      <c r="BT66" s="185"/>
      <c r="BU66" s="185"/>
      <c r="BV66" s="185">
        <v>36276</v>
      </c>
      <c r="BW66" s="185"/>
      <c r="BX66" s="185">
        <v>2831</v>
      </c>
      <c r="BY66" s="185"/>
      <c r="BZ66" s="185"/>
      <c r="CA66" s="185"/>
      <c r="CB66" s="185"/>
      <c r="CC66" s="185"/>
      <c r="CD66" s="249" t="s">
        <v>221</v>
      </c>
      <c r="CE66" s="195">
        <f t="shared" si="0"/>
        <v>1321703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271986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336848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14833</v>
      </c>
      <c r="T67" s="195">
        <f t="shared" si="3"/>
        <v>0</v>
      </c>
      <c r="U67" s="195">
        <f t="shared" si="3"/>
        <v>23365</v>
      </c>
      <c r="V67" s="195">
        <f t="shared" si="3"/>
        <v>0</v>
      </c>
      <c r="W67" s="195">
        <f t="shared" si="3"/>
        <v>0</v>
      </c>
      <c r="X67" s="195">
        <f t="shared" si="3"/>
        <v>10093</v>
      </c>
      <c r="Y67" s="195">
        <f t="shared" si="3"/>
        <v>27434</v>
      </c>
      <c r="Z67" s="195">
        <f t="shared" si="3"/>
        <v>0</v>
      </c>
      <c r="AA67" s="195">
        <f t="shared" si="3"/>
        <v>0</v>
      </c>
      <c r="AB67" s="195">
        <f t="shared" si="3"/>
        <v>7327</v>
      </c>
      <c r="AC67" s="195">
        <f t="shared" si="3"/>
        <v>0</v>
      </c>
      <c r="AD67" s="195">
        <f t="shared" si="3"/>
        <v>0</v>
      </c>
      <c r="AE67" s="195">
        <f t="shared" si="3"/>
        <v>56862</v>
      </c>
      <c r="AF67" s="195">
        <f t="shared" si="3"/>
        <v>0</v>
      </c>
      <c r="AG67" s="195">
        <f t="shared" si="3"/>
        <v>57356</v>
      </c>
      <c r="AH67" s="195">
        <f t="shared" si="3"/>
        <v>0</v>
      </c>
      <c r="AI67" s="195">
        <f t="shared" si="3"/>
        <v>0</v>
      </c>
      <c r="AJ67" s="195">
        <f t="shared" si="3"/>
        <v>109478</v>
      </c>
      <c r="AK67" s="195">
        <f t="shared" si="3"/>
        <v>13035</v>
      </c>
      <c r="AL67" s="195">
        <f t="shared" si="3"/>
        <v>1778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37171</v>
      </c>
      <c r="AW67" s="195">
        <f t="shared" si="3"/>
        <v>0</v>
      </c>
      <c r="AX67" s="195">
        <f t="shared" si="3"/>
        <v>0</v>
      </c>
      <c r="AY67" s="195">
        <f t="shared" si="3"/>
        <v>26663</v>
      </c>
      <c r="AZ67" s="195">
        <f>ROUND(AZ51+AZ52,0)</f>
        <v>58561</v>
      </c>
      <c r="BA67" s="195">
        <f>ROUND(BA51+BA52,0)</f>
        <v>27651</v>
      </c>
      <c r="BB67" s="195">
        <f t="shared" si="3"/>
        <v>1778</v>
      </c>
      <c r="BC67" s="195">
        <f t="shared" si="3"/>
        <v>0</v>
      </c>
      <c r="BD67" s="195">
        <f t="shared" si="3"/>
        <v>48152</v>
      </c>
      <c r="BE67" s="195">
        <f t="shared" si="3"/>
        <v>71181</v>
      </c>
      <c r="BF67" s="195">
        <f t="shared" si="3"/>
        <v>30219</v>
      </c>
      <c r="BG67" s="195">
        <f t="shared" si="3"/>
        <v>0</v>
      </c>
      <c r="BH67" s="195">
        <f t="shared" si="3"/>
        <v>10626</v>
      </c>
      <c r="BI67" s="195">
        <f t="shared" si="3"/>
        <v>0</v>
      </c>
      <c r="BJ67" s="195">
        <f t="shared" si="3"/>
        <v>14872</v>
      </c>
      <c r="BK67" s="195">
        <f t="shared" si="3"/>
        <v>41812</v>
      </c>
      <c r="BL67" s="195">
        <f t="shared" si="3"/>
        <v>77541</v>
      </c>
      <c r="BM67" s="195">
        <f t="shared" si="3"/>
        <v>0</v>
      </c>
      <c r="BN67" s="195">
        <f t="shared" si="3"/>
        <v>116963</v>
      </c>
      <c r="BO67" s="195">
        <f t="shared" si="3"/>
        <v>0</v>
      </c>
      <c r="BP67" s="195">
        <f t="shared" si="3"/>
        <v>1995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27829</v>
      </c>
      <c r="BW67" s="195">
        <f t="shared" si="4"/>
        <v>0</v>
      </c>
      <c r="BX67" s="195">
        <f t="shared" si="4"/>
        <v>1699</v>
      </c>
      <c r="BY67" s="195">
        <f t="shared" si="4"/>
        <v>5115</v>
      </c>
      <c r="BZ67" s="195">
        <f t="shared" si="4"/>
        <v>0</v>
      </c>
      <c r="CA67" s="195">
        <f t="shared" si="4"/>
        <v>4681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1534904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8447</v>
      </c>
      <c r="V68" s="185"/>
      <c r="W68" s="185"/>
      <c r="X68" s="185">
        <v>64262</v>
      </c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1546</v>
      </c>
      <c r="BF68" s="185"/>
      <c r="BG68" s="185"/>
      <c r="BH68" s="185">
        <v>43367</v>
      </c>
      <c r="BI68" s="185"/>
      <c r="BJ68" s="185"/>
      <c r="BK68" s="185">
        <v>3716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121338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308</v>
      </c>
      <c r="F69" s="185"/>
      <c r="G69" s="184"/>
      <c r="H69" s="184"/>
      <c r="I69" s="185"/>
      <c r="J69" s="185"/>
      <c r="K69" s="185">
        <f>48+1887</f>
        <v>1935</v>
      </c>
      <c r="L69" s="185">
        <v>867</v>
      </c>
      <c r="M69" s="184"/>
      <c r="N69" s="184"/>
      <c r="O69" s="184"/>
      <c r="P69" s="185"/>
      <c r="Q69" s="185"/>
      <c r="R69" s="224"/>
      <c r="S69" s="185">
        <v>139</v>
      </c>
      <c r="T69" s="184"/>
      <c r="U69" s="185">
        <f>11382+519</f>
        <v>11901</v>
      </c>
      <c r="V69" s="185"/>
      <c r="W69" s="184"/>
      <c r="X69" s="185"/>
      <c r="Y69" s="185">
        <v>617</v>
      </c>
      <c r="Z69" s="185"/>
      <c r="AA69" s="185"/>
      <c r="AB69" s="185">
        <v>663</v>
      </c>
      <c r="AC69" s="185"/>
      <c r="AD69" s="185"/>
      <c r="AE69" s="185"/>
      <c r="AF69" s="185"/>
      <c r="AG69" s="185">
        <v>2947</v>
      </c>
      <c r="AH69" s="185"/>
      <c r="AI69" s="185"/>
      <c r="AJ69" s="185">
        <v>21195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1598</v>
      </c>
      <c r="AW69" s="185"/>
      <c r="AX69" s="185"/>
      <c r="AY69" s="185">
        <v>632</v>
      </c>
      <c r="AZ69" s="185"/>
      <c r="BA69" s="185"/>
      <c r="BB69" s="185">
        <v>506</v>
      </c>
      <c r="BC69" s="185"/>
      <c r="BD69" s="185">
        <v>598</v>
      </c>
      <c r="BE69" s="185">
        <v>817</v>
      </c>
      <c r="BF69" s="185"/>
      <c r="BG69" s="185"/>
      <c r="BH69" s="224">
        <v>1518</v>
      </c>
      <c r="BI69" s="185"/>
      <c r="BJ69" s="185">
        <v>1773</v>
      </c>
      <c r="BK69" s="185">
        <v>44582</v>
      </c>
      <c r="BL69" s="185">
        <v>71</v>
      </c>
      <c r="BM69" s="185"/>
      <c r="BN69" s="185">
        <v>81034</v>
      </c>
      <c r="BO69" s="185"/>
      <c r="BP69" s="185">
        <v>57</v>
      </c>
      <c r="BQ69" s="185"/>
      <c r="BR69" s="185">
        <v>4108</v>
      </c>
      <c r="BS69" s="185"/>
      <c r="BT69" s="185"/>
      <c r="BU69" s="185"/>
      <c r="BV69" s="185">
        <v>1212</v>
      </c>
      <c r="BW69" s="185">
        <v>2333</v>
      </c>
      <c r="BX69" s="185">
        <v>9490</v>
      </c>
      <c r="BY69" s="185">
        <v>482</v>
      </c>
      <c r="BZ69" s="185"/>
      <c r="CA69" s="185">
        <v>1629</v>
      </c>
      <c r="CB69" s="185"/>
      <c r="CC69" s="185">
        <f>193717-193012</f>
        <v>705</v>
      </c>
      <c r="CD69" s="188">
        <v>906156</v>
      </c>
      <c r="CE69" s="195">
        <f t="shared" si="0"/>
        <v>1099873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1356</v>
      </c>
      <c r="T70" s="184"/>
      <c r="U70" s="185">
        <v>26565</v>
      </c>
      <c r="V70" s="184"/>
      <c r="W70" s="184"/>
      <c r="X70" s="185"/>
      <c r="Y70" s="185"/>
      <c r="Z70" s="185"/>
      <c r="AA70" s="185"/>
      <c r="AB70" s="185">
        <v>801683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1453</v>
      </c>
      <c r="AW70" s="185"/>
      <c r="AX70" s="185"/>
      <c r="AY70" s="185">
        <v>72803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33851</v>
      </c>
      <c r="BO70" s="185"/>
      <c r="BP70" s="185"/>
      <c r="BQ70" s="185"/>
      <c r="BR70" s="185"/>
      <c r="BS70" s="185"/>
      <c r="BT70" s="185"/>
      <c r="BU70" s="185"/>
      <c r="BV70" s="185">
        <v>5036</v>
      </c>
      <c r="BW70" s="185"/>
      <c r="BX70" s="185"/>
      <c r="BY70" s="185"/>
      <c r="BZ70" s="185"/>
      <c r="CA70" s="185"/>
      <c r="CB70" s="185"/>
      <c r="CC70" s="185"/>
      <c r="CD70" s="188">
        <f>1303635-942747</f>
        <v>360888</v>
      </c>
      <c r="CE70" s="195">
        <f t="shared" si="0"/>
        <v>1303635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292907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1862049</v>
      </c>
      <c r="L71" s="195">
        <f t="shared" si="5"/>
        <v>1810672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97660</v>
      </c>
      <c r="T71" s="195">
        <f t="shared" si="5"/>
        <v>2176</v>
      </c>
      <c r="U71" s="195">
        <f t="shared" si="5"/>
        <v>932339</v>
      </c>
      <c r="V71" s="195">
        <f t="shared" si="5"/>
        <v>0</v>
      </c>
      <c r="W71" s="195">
        <f t="shared" si="5"/>
        <v>98245</v>
      </c>
      <c r="X71" s="195">
        <f t="shared" si="5"/>
        <v>233425</v>
      </c>
      <c r="Y71" s="195">
        <f t="shared" si="5"/>
        <v>799736</v>
      </c>
      <c r="Z71" s="195">
        <f t="shared" si="5"/>
        <v>0</v>
      </c>
      <c r="AA71" s="195">
        <f t="shared" si="5"/>
        <v>0</v>
      </c>
      <c r="AB71" s="195">
        <f t="shared" si="5"/>
        <v>-120166</v>
      </c>
      <c r="AC71" s="195">
        <f t="shared" si="5"/>
        <v>0</v>
      </c>
      <c r="AD71" s="195">
        <f t="shared" si="5"/>
        <v>0</v>
      </c>
      <c r="AE71" s="195">
        <f t="shared" si="5"/>
        <v>863161</v>
      </c>
      <c r="AF71" s="195">
        <f t="shared" si="5"/>
        <v>0</v>
      </c>
      <c r="AG71" s="195">
        <f t="shared" si="5"/>
        <v>2359228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2262247</v>
      </c>
      <c r="AK71" s="195">
        <f t="shared" si="6"/>
        <v>336742</v>
      </c>
      <c r="AL71" s="195">
        <f t="shared" si="6"/>
        <v>127721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165039</v>
      </c>
      <c r="AW71" s="195">
        <f t="shared" si="6"/>
        <v>0</v>
      </c>
      <c r="AX71" s="195">
        <f t="shared" si="6"/>
        <v>0</v>
      </c>
      <c r="AY71" s="195">
        <f t="shared" si="6"/>
        <v>714828</v>
      </c>
      <c r="AZ71" s="195">
        <f t="shared" si="6"/>
        <v>58561</v>
      </c>
      <c r="BA71" s="195">
        <f t="shared" si="6"/>
        <v>137078</v>
      </c>
      <c r="BB71" s="195">
        <f t="shared" si="6"/>
        <v>145594</v>
      </c>
      <c r="BC71" s="195">
        <f t="shared" si="6"/>
        <v>0</v>
      </c>
      <c r="BD71" s="195">
        <f t="shared" si="6"/>
        <v>108730</v>
      </c>
      <c r="BE71" s="195">
        <f t="shared" si="6"/>
        <v>515799</v>
      </c>
      <c r="BF71" s="195">
        <f t="shared" si="6"/>
        <v>435793</v>
      </c>
      <c r="BG71" s="195">
        <f t="shared" si="6"/>
        <v>0</v>
      </c>
      <c r="BH71" s="195">
        <f t="shared" si="6"/>
        <v>740238</v>
      </c>
      <c r="BI71" s="195">
        <f t="shared" si="6"/>
        <v>0</v>
      </c>
      <c r="BJ71" s="195">
        <f t="shared" si="6"/>
        <v>322947</v>
      </c>
      <c r="BK71" s="195">
        <f t="shared" si="6"/>
        <v>586608</v>
      </c>
      <c r="BL71" s="195">
        <f t="shared" si="6"/>
        <v>256542</v>
      </c>
      <c r="BM71" s="195">
        <f t="shared" si="6"/>
        <v>0</v>
      </c>
      <c r="BN71" s="195">
        <f t="shared" si="6"/>
        <v>522280</v>
      </c>
      <c r="BO71" s="195">
        <f t="shared" si="6"/>
        <v>0</v>
      </c>
      <c r="BP71" s="195">
        <f t="shared" ref="BP71:CC71" si="7">SUM(BP61:BP69)-BP70</f>
        <v>99308</v>
      </c>
      <c r="BQ71" s="195">
        <f t="shared" si="7"/>
        <v>0</v>
      </c>
      <c r="BR71" s="195">
        <f t="shared" si="7"/>
        <v>142396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240233</v>
      </c>
      <c r="BW71" s="195">
        <f t="shared" si="7"/>
        <v>2333</v>
      </c>
      <c r="BX71" s="195">
        <f t="shared" si="7"/>
        <v>82918</v>
      </c>
      <c r="BY71" s="195">
        <f t="shared" si="7"/>
        <v>248591</v>
      </c>
      <c r="BZ71" s="195">
        <f t="shared" si="7"/>
        <v>0</v>
      </c>
      <c r="CA71" s="195">
        <f t="shared" si="7"/>
        <v>126646</v>
      </c>
      <c r="CB71" s="195">
        <f t="shared" si="7"/>
        <v>0</v>
      </c>
      <c r="CC71" s="195">
        <f t="shared" si="7"/>
        <v>705</v>
      </c>
      <c r="CD71" s="245">
        <f>CD69-CD70</f>
        <v>545268</v>
      </c>
      <c r="CE71" s="195">
        <f>SUM(CE61:CE69)-CE70</f>
        <v>18156577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497377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785880</v>
      </c>
      <c r="F73" s="185"/>
      <c r="G73" s="184"/>
      <c r="H73" s="184"/>
      <c r="I73" s="185"/>
      <c r="J73" s="185"/>
      <c r="K73" s="185">
        <f>1041258+995227</f>
        <v>2036485</v>
      </c>
      <c r="L73" s="185">
        <v>1482960</v>
      </c>
      <c r="M73" s="184"/>
      <c r="N73" s="184"/>
      <c r="O73" s="184"/>
      <c r="P73" s="185"/>
      <c r="Q73" s="185"/>
      <c r="R73" s="185"/>
      <c r="S73" s="185">
        <v>14629</v>
      </c>
      <c r="T73" s="185">
        <v>19861</v>
      </c>
      <c r="U73" s="185">
        <f>268570+4990-1</f>
        <v>273559</v>
      </c>
      <c r="V73" s="185">
        <v>4288</v>
      </c>
      <c r="W73" s="185">
        <v>32356</v>
      </c>
      <c r="X73" s="185">
        <v>110232</v>
      </c>
      <c r="Y73" s="185">
        <f>72981+45318</f>
        <v>118299</v>
      </c>
      <c r="Z73" s="185"/>
      <c r="AA73" s="185"/>
      <c r="AB73" s="185">
        <v>522716</v>
      </c>
      <c r="AC73" s="185"/>
      <c r="AD73" s="185"/>
      <c r="AE73" s="185">
        <v>341467</v>
      </c>
      <c r="AF73" s="185"/>
      <c r="AG73" s="185">
        <f>26772+10361</f>
        <v>37133</v>
      </c>
      <c r="AH73" s="185"/>
      <c r="AI73" s="185">
        <v>19213</v>
      </c>
      <c r="AJ73" s="185"/>
      <c r="AK73" s="185">
        <v>486542</v>
      </c>
      <c r="AL73" s="185">
        <v>112911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6398531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-32000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112426</v>
      </c>
      <c r="T74" s="185">
        <v>340723</v>
      </c>
      <c r="U74" s="185">
        <f>2752780+4004+2</f>
        <v>2756786</v>
      </c>
      <c r="V74" s="185">
        <v>89728</v>
      </c>
      <c r="W74" s="185">
        <v>417477</v>
      </c>
      <c r="X74" s="185">
        <v>1729491</v>
      </c>
      <c r="Y74" s="185">
        <f>1057588+720391</f>
        <v>1777979</v>
      </c>
      <c r="Z74" s="185"/>
      <c r="AA74" s="185"/>
      <c r="AB74" s="185">
        <v>304418</v>
      </c>
      <c r="AC74" s="185"/>
      <c r="AD74" s="185"/>
      <c r="AE74" s="185">
        <v>1376988</v>
      </c>
      <c r="AF74" s="185"/>
      <c r="AG74" s="185">
        <f>2760549+1911723</f>
        <v>4672272</v>
      </c>
      <c r="AH74" s="185"/>
      <c r="AI74" s="185">
        <v>460322</v>
      </c>
      <c r="AJ74" s="185">
        <f>3578434-3</f>
        <v>3578431</v>
      </c>
      <c r="AK74" s="185">
        <v>208769</v>
      </c>
      <c r="AL74" s="185">
        <v>234053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18027863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753880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2036485</v>
      </c>
      <c r="L75" s="195">
        <f t="shared" si="9"/>
        <v>1482960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127055</v>
      </c>
      <c r="T75" s="195">
        <f t="shared" si="9"/>
        <v>360584</v>
      </c>
      <c r="U75" s="195">
        <f t="shared" si="9"/>
        <v>3030345</v>
      </c>
      <c r="V75" s="195">
        <f t="shared" si="9"/>
        <v>94016</v>
      </c>
      <c r="W75" s="195">
        <f t="shared" si="9"/>
        <v>449833</v>
      </c>
      <c r="X75" s="195">
        <f t="shared" si="9"/>
        <v>1839723</v>
      </c>
      <c r="Y75" s="195">
        <f t="shared" si="9"/>
        <v>1896278</v>
      </c>
      <c r="Z75" s="195">
        <f t="shared" si="9"/>
        <v>0</v>
      </c>
      <c r="AA75" s="195">
        <f t="shared" si="9"/>
        <v>0</v>
      </c>
      <c r="AB75" s="195">
        <f t="shared" si="9"/>
        <v>827134</v>
      </c>
      <c r="AC75" s="195">
        <f t="shared" si="9"/>
        <v>0</v>
      </c>
      <c r="AD75" s="195">
        <f t="shared" si="9"/>
        <v>0</v>
      </c>
      <c r="AE75" s="195">
        <f t="shared" si="9"/>
        <v>1718455</v>
      </c>
      <c r="AF75" s="195">
        <f t="shared" si="9"/>
        <v>0</v>
      </c>
      <c r="AG75" s="195">
        <f t="shared" si="9"/>
        <v>4709405</v>
      </c>
      <c r="AH75" s="195">
        <f t="shared" si="9"/>
        <v>0</v>
      </c>
      <c r="AI75" s="195">
        <f t="shared" si="9"/>
        <v>479535</v>
      </c>
      <c r="AJ75" s="195">
        <f t="shared" si="9"/>
        <v>3578431</v>
      </c>
      <c r="AK75" s="195">
        <f t="shared" si="9"/>
        <v>695311</v>
      </c>
      <c r="AL75" s="195">
        <f t="shared" si="9"/>
        <v>346964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24426394</v>
      </c>
      <c r="CF75" s="252"/>
    </row>
    <row r="76" spans="1:84" ht="12.6" customHeight="1" x14ac:dyDescent="0.25">
      <c r="A76" s="171" t="s">
        <v>248</v>
      </c>
      <c r="B76" s="175"/>
      <c r="C76" s="288"/>
      <c r="D76" s="288"/>
      <c r="E76" s="289">
        <f>9622+4149</f>
        <v>13771</v>
      </c>
      <c r="F76" s="289"/>
      <c r="G76" s="288"/>
      <c r="H76" s="288"/>
      <c r="I76" s="289"/>
      <c r="J76" s="289"/>
      <c r="K76" s="289">
        <v>17055</v>
      </c>
      <c r="L76" s="289"/>
      <c r="M76" s="289"/>
      <c r="N76" s="289"/>
      <c r="O76" s="289"/>
      <c r="P76" s="289"/>
      <c r="Q76" s="289"/>
      <c r="R76" s="289"/>
      <c r="S76" s="289">
        <v>751</v>
      </c>
      <c r="T76" s="289"/>
      <c r="U76" s="289">
        <v>1183</v>
      </c>
      <c r="V76" s="289"/>
      <c r="W76" s="289"/>
      <c r="X76" s="289">
        <v>511</v>
      </c>
      <c r="Y76" s="289">
        <v>1389</v>
      </c>
      <c r="Z76" s="289"/>
      <c r="AA76" s="289"/>
      <c r="AB76" s="289">
        <v>371</v>
      </c>
      <c r="AC76" s="289"/>
      <c r="AD76" s="289"/>
      <c r="AE76" s="289">
        <v>2879</v>
      </c>
      <c r="AF76" s="289"/>
      <c r="AG76" s="289">
        <v>2904</v>
      </c>
      <c r="AH76" s="289"/>
      <c r="AI76" s="289"/>
      <c r="AJ76" s="289">
        <v>5543</v>
      </c>
      <c r="AK76" s="289">
        <v>660</v>
      </c>
      <c r="AL76" s="289">
        <v>90</v>
      </c>
      <c r="AM76" s="289"/>
      <c r="AN76" s="289"/>
      <c r="AO76" s="289"/>
      <c r="AP76" s="289"/>
      <c r="AQ76" s="289"/>
      <c r="AR76" s="289"/>
      <c r="AS76" s="289"/>
      <c r="AT76" s="289"/>
      <c r="AU76" s="289"/>
      <c r="AV76" s="289">
        <f>1897-15</f>
        <v>1882</v>
      </c>
      <c r="AW76" s="289"/>
      <c r="AX76" s="289"/>
      <c r="AY76" s="289">
        <v>1350</v>
      </c>
      <c r="AZ76" s="289">
        <v>2965</v>
      </c>
      <c r="BA76" s="289">
        <v>1400</v>
      </c>
      <c r="BB76" s="289">
        <v>90</v>
      </c>
      <c r="BC76" s="289"/>
      <c r="BD76" s="289">
        <v>2438</v>
      </c>
      <c r="BE76" s="289">
        <v>3604</v>
      </c>
      <c r="BF76" s="289">
        <v>1530</v>
      </c>
      <c r="BG76" s="289"/>
      <c r="BH76" s="289">
        <v>538</v>
      </c>
      <c r="BI76" s="289"/>
      <c r="BJ76" s="289">
        <v>753</v>
      </c>
      <c r="BK76" s="289">
        <v>2117</v>
      </c>
      <c r="BL76" s="289">
        <v>3926</v>
      </c>
      <c r="BM76" s="289"/>
      <c r="BN76" s="289">
        <v>5922</v>
      </c>
      <c r="BO76" s="289"/>
      <c r="BP76" s="289">
        <v>101</v>
      </c>
      <c r="BQ76" s="289"/>
      <c r="BR76" s="289"/>
      <c r="BS76" s="289"/>
      <c r="BT76" s="289"/>
      <c r="BU76" s="289"/>
      <c r="BV76" s="289">
        <v>1409</v>
      </c>
      <c r="BW76" s="289"/>
      <c r="BX76" s="289">
        <v>86</v>
      </c>
      <c r="BY76" s="289">
        <v>259</v>
      </c>
      <c r="BZ76" s="289"/>
      <c r="CA76" s="289">
        <v>237</v>
      </c>
      <c r="CB76" s="289"/>
      <c r="CC76" s="289"/>
      <c r="CD76" s="249" t="s">
        <v>221</v>
      </c>
      <c r="CE76" s="195">
        <f t="shared" si="8"/>
        <v>77714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1811</v>
      </c>
      <c r="F77" s="184"/>
      <c r="G77" s="184"/>
      <c r="H77" s="184"/>
      <c r="I77" s="184"/>
      <c r="J77" s="184"/>
      <c r="K77" s="184">
        <f>12772+29310</f>
        <v>42082</v>
      </c>
      <c r="L77" s="184">
        <v>15084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13486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72463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>
        <f>2027+2638</f>
        <v>4665</v>
      </c>
      <c r="L78" s="184">
        <v>5486</v>
      </c>
      <c r="M78" s="184"/>
      <c r="N78" s="184"/>
      <c r="O78" s="184"/>
      <c r="P78" s="184"/>
      <c r="Q78" s="184"/>
      <c r="R78" s="184"/>
      <c r="S78" s="184">
        <v>161</v>
      </c>
      <c r="T78" s="184"/>
      <c r="U78" s="184">
        <v>368</v>
      </c>
      <c r="V78" s="184"/>
      <c r="W78" s="184"/>
      <c r="X78" s="184">
        <v>524</v>
      </c>
      <c r="Y78" s="184">
        <v>526</v>
      </c>
      <c r="Z78" s="184"/>
      <c r="AA78" s="184"/>
      <c r="AB78" s="184"/>
      <c r="AC78" s="184"/>
      <c r="AD78" s="184"/>
      <c r="AE78" s="184"/>
      <c r="AF78" s="184"/>
      <c r="AG78" s="184">
        <f>1590+333</f>
        <v>1923</v>
      </c>
      <c r="AH78" s="184"/>
      <c r="AI78" s="184"/>
      <c r="AJ78" s="184">
        <v>2021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234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79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f>383+76</f>
        <v>459</v>
      </c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178</v>
      </c>
      <c r="BW78" s="184"/>
      <c r="BX78" s="184">
        <v>23</v>
      </c>
      <c r="BY78" s="184">
        <v>558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17205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>
        <f>22464+12894</f>
        <v>35358</v>
      </c>
      <c r="L79" s="184">
        <v>41299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>
        <v>157</v>
      </c>
      <c r="X79" s="184">
        <v>1185</v>
      </c>
      <c r="Y79" s="184">
        <v>4101</v>
      </c>
      <c r="Z79" s="184"/>
      <c r="AA79" s="184"/>
      <c r="AB79" s="184"/>
      <c r="AC79" s="184"/>
      <c r="AD79" s="184"/>
      <c r="AE79" s="184">
        <v>7486</v>
      </c>
      <c r="AF79" s="184"/>
      <c r="AG79" s="184">
        <f>15055</f>
        <v>15055</v>
      </c>
      <c r="AH79" s="184"/>
      <c r="AI79" s="184"/>
      <c r="AJ79" s="184">
        <v>286</v>
      </c>
      <c r="AK79" s="184">
        <v>2111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107038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>
        <f>K60-1+0.49+0.37</f>
        <v>21.740000000000002</v>
      </c>
      <c r="L80" s="187">
        <f>L60+3.35</f>
        <v>22.75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AG60+1.2</f>
        <v>10.41</v>
      </c>
      <c r="AH80" s="187"/>
      <c r="AI80" s="187"/>
      <c r="AJ80" s="187">
        <f>0.2+5.06+2.4+0.01</f>
        <v>7.67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62.570000000000007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173</v>
      </c>
      <c r="D111" s="174">
        <v>470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f>157+9+21</f>
        <v>187</v>
      </c>
      <c r="D112" s="174">
        <f>5013+4256+10167</f>
        <v>19436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21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32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69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123+23</f>
        <v>146</v>
      </c>
      <c r="C138" s="189">
        <v>17</v>
      </c>
      <c r="D138" s="174">
        <v>10</v>
      </c>
      <c r="E138" s="175">
        <f>SUM(B138:D138)</f>
        <v>173</v>
      </c>
    </row>
    <row r="139" spans="1:6" ht="12.6" customHeight="1" x14ac:dyDescent="0.25">
      <c r="A139" s="173" t="s">
        <v>215</v>
      </c>
      <c r="B139" s="174">
        <f>351+58</f>
        <v>409</v>
      </c>
      <c r="C139" s="189">
        <v>41</v>
      </c>
      <c r="D139" s="174">
        <v>20</v>
      </c>
      <c r="E139" s="175">
        <f>SUM(B139:D139)</f>
        <v>470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183089.76+2475958.66-B147</f>
        <v>2170944.42</v>
      </c>
      <c r="C141" s="189">
        <f>1890126.26-C147+161789.1</f>
        <v>180482.36000000002</v>
      </c>
      <c r="D141" s="174">
        <f>6398531-B141-C141-B147-C147-D147</f>
        <v>527659.2200000002</v>
      </c>
      <c r="E141" s="175">
        <f>SUM(B141:D141)</f>
        <v>2879086</v>
      </c>
      <c r="F141" s="199"/>
    </row>
    <row r="142" spans="1:6" ht="12.6" customHeight="1" x14ac:dyDescent="0.25">
      <c r="A142" s="173" t="s">
        <v>246</v>
      </c>
      <c r="B142" s="174">
        <f>1174399.99+5140284.71</f>
        <v>6314684.7000000002</v>
      </c>
      <c r="C142" s="189">
        <f>182165.69+3955175.74-C147</f>
        <v>2265908.4300000002</v>
      </c>
      <c r="D142" s="174">
        <f>18027863-B142-C142</f>
        <v>9447269.870000001</v>
      </c>
      <c r="E142" s="175">
        <f>SUM(B142:D142)</f>
        <v>18027863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106+27</f>
        <v>133</v>
      </c>
      <c r="C144" s="189">
        <f>6+7+12</f>
        <v>25</v>
      </c>
      <c r="D144" s="174">
        <f>18+2+9</f>
        <v>29</v>
      </c>
      <c r="E144" s="175">
        <f>SUM(B144:D144)</f>
        <v>187</v>
      </c>
    </row>
    <row r="145" spans="1:5" ht="12.6" customHeight="1" x14ac:dyDescent="0.25">
      <c r="A145" s="173" t="s">
        <v>215</v>
      </c>
      <c r="B145" s="174">
        <f>1649+441</f>
        <v>2090</v>
      </c>
      <c r="C145" s="189">
        <f>3515+4240+2018</f>
        <v>9773</v>
      </c>
      <c r="D145" s="174">
        <f>741+5927+905</f>
        <v>7573</v>
      </c>
      <c r="E145" s="175">
        <f>SUM(B145:D145)</f>
        <v>19436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488104</v>
      </c>
      <c r="C147" s="189">
        <f>587264+861490+422679</f>
        <v>1871433</v>
      </c>
      <c r="D147" s="174">
        <f>293040+114552+179768+572548</f>
        <v>1159908</v>
      </c>
      <c r="E147" s="175">
        <f>SUM(B147:D147)</f>
        <v>3519445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568158.24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14632.33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7625.52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910166.85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6703.93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268444.71999999997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57315.43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25139.3-1</f>
        <v>25138.3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1858185.3199999998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1546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8446.7+64262.43+43366.93+3715.7</f>
        <v>119791.76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121337.76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125771.9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35740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161511.9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52177+730</f>
        <v>52907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52907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691737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691737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99457</v>
      </c>
      <c r="C195" s="189"/>
      <c r="D195" s="174"/>
      <c r="E195" s="175">
        <f t="shared" ref="E195:E203" si="10">SUM(B195:C195)-D195</f>
        <v>99457</v>
      </c>
    </row>
    <row r="196" spans="1:8" ht="12.6" customHeight="1" x14ac:dyDescent="0.25">
      <c r="A196" s="173" t="s">
        <v>333</v>
      </c>
      <c r="B196" s="174">
        <v>186843</v>
      </c>
      <c r="C196" s="189"/>
      <c r="D196" s="174"/>
      <c r="E196" s="175">
        <f t="shared" si="10"/>
        <v>186843</v>
      </c>
    </row>
    <row r="197" spans="1:8" ht="12.6" customHeight="1" x14ac:dyDescent="0.25">
      <c r="A197" s="173" t="s">
        <v>334</v>
      </c>
      <c r="B197" s="174">
        <v>22442569</v>
      </c>
      <c r="C197" s="189">
        <v>2040002.9</v>
      </c>
      <c r="D197" s="174">
        <v>8547</v>
      </c>
      <c r="E197" s="175">
        <f t="shared" si="10"/>
        <v>24474024.899999999</v>
      </c>
    </row>
    <row r="198" spans="1:8" ht="12.6" customHeight="1" x14ac:dyDescent="0.25">
      <c r="A198" s="173" t="s">
        <v>335</v>
      </c>
      <c r="B198" s="174">
        <v>1281894</v>
      </c>
      <c r="C198" s="189">
        <v>3233880.96</v>
      </c>
      <c r="D198" s="174"/>
      <c r="E198" s="175">
        <f t="shared" si="10"/>
        <v>4515774.96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2943433</v>
      </c>
      <c r="C200" s="189">
        <v>504703.06</v>
      </c>
      <c r="D200" s="174">
        <v>162228.79</v>
      </c>
      <c r="E200" s="175">
        <f t="shared" si="10"/>
        <v>3285907.27</v>
      </c>
    </row>
    <row r="201" spans="1:8" ht="12.6" customHeight="1" x14ac:dyDescent="0.25">
      <c r="A201" s="173" t="s">
        <v>338</v>
      </c>
      <c r="B201" s="174">
        <v>470635</v>
      </c>
      <c r="C201" s="189"/>
      <c r="D201" s="174"/>
      <c r="E201" s="175">
        <f t="shared" si="10"/>
        <v>470635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4115797</v>
      </c>
      <c r="C203" s="189">
        <v>1671176.15</v>
      </c>
      <c r="D203" s="174">
        <v>5417382.5899999999</v>
      </c>
      <c r="E203" s="175">
        <f t="shared" si="10"/>
        <v>369590.56000000052</v>
      </c>
    </row>
    <row r="204" spans="1:8" ht="12.6" customHeight="1" x14ac:dyDescent="0.25">
      <c r="A204" s="173" t="s">
        <v>203</v>
      </c>
      <c r="B204" s="175">
        <f>SUM(B195:B203)</f>
        <v>31540628</v>
      </c>
      <c r="C204" s="191">
        <f>SUM(C195:C203)</f>
        <v>7449763.0699999984</v>
      </c>
      <c r="D204" s="175">
        <f>SUM(D195:D203)</f>
        <v>5588158.3799999999</v>
      </c>
      <c r="E204" s="175">
        <f>SUM(E195:E203)</f>
        <v>33402232.689999998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101641</v>
      </c>
      <c r="C209" s="189">
        <v>10636.38</v>
      </c>
      <c r="D209" s="174"/>
      <c r="E209" s="175">
        <f t="shared" ref="E209:E216" si="11">SUM(B209:C209)-D209</f>
        <v>112277.38</v>
      </c>
      <c r="H209" s="259"/>
    </row>
    <row r="210" spans="1:8" ht="12.6" customHeight="1" x14ac:dyDescent="0.25">
      <c r="A210" s="173" t="s">
        <v>334</v>
      </c>
      <c r="B210" s="174">
        <v>8073721</v>
      </c>
      <c r="C210" s="189">
        <f>811685.07+17663.49+4942.87+169652.54</f>
        <v>1003943.97</v>
      </c>
      <c r="D210" s="174">
        <v>8546.76</v>
      </c>
      <c r="E210" s="175">
        <f t="shared" si="11"/>
        <v>9069118.2100000009</v>
      </c>
      <c r="H210" s="259"/>
    </row>
    <row r="211" spans="1:8" ht="12.6" customHeight="1" x14ac:dyDescent="0.25">
      <c r="A211" s="173" t="s">
        <v>335</v>
      </c>
      <c r="B211" s="174">
        <v>795870</v>
      </c>
      <c r="C211" s="189">
        <v>237593.63</v>
      </c>
      <c r="D211" s="174"/>
      <c r="E211" s="175">
        <f t="shared" si="11"/>
        <v>1033463.63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2354546</v>
      </c>
      <c r="C213" s="189">
        <f>233710.45+8805.91</f>
        <v>242516.36000000002</v>
      </c>
      <c r="D213" s="174">
        <v>162228.79</v>
      </c>
      <c r="E213" s="175">
        <f t="shared" si="11"/>
        <v>2434833.5699999998</v>
      </c>
      <c r="H213" s="259"/>
    </row>
    <row r="214" spans="1:8" ht="12.6" customHeight="1" x14ac:dyDescent="0.25">
      <c r="A214" s="173" t="s">
        <v>338</v>
      </c>
      <c r="B214" s="174">
        <v>430423</v>
      </c>
      <c r="C214" s="189">
        <v>40212.65</v>
      </c>
      <c r="D214" s="174"/>
      <c r="E214" s="175">
        <f t="shared" si="11"/>
        <v>470635.65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11756201</v>
      </c>
      <c r="C217" s="191">
        <f>SUM(C208:C216)</f>
        <v>1534902.99</v>
      </c>
      <c r="D217" s="175">
        <f>SUM(D208:D216)</f>
        <v>170775.55000000002</v>
      </c>
      <c r="E217" s="175">
        <f>SUM(E208:E216)</f>
        <v>13120328.440000003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510938</v>
      </c>
      <c r="D221" s="172">
        <f>C221</f>
        <v>510938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1655730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2827151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154528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7477416-C233-C234-C238-4637409-C221</f>
        <v>2281116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6918525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29226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3575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32801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15152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15152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7477416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1280459-2</f>
        <v>1280457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3009014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325000+934000</f>
        <v>1259000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370995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158167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107752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170675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3838060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5222955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29627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5252582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94457+5000</f>
        <v>99457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168046+18797</f>
        <v>186843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20610633+142870+353270+3361837+5416-1</f>
        <v>24474025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4515776-1</f>
        <v>4515775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3171648+90324+23935+470635</f>
        <v>3756542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369590+1</f>
        <v>369591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33402233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13120328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20281905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-426040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-426040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28946507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1007453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1003986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439756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f>4060+3140</f>
        <v>7200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68419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2526814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17013000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68419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17081419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68419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17013000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9406694-1</f>
        <v>9406693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28946507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28946507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6398531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18027863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24426394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510938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7477416-510938-32801-15152</f>
        <v>6918525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29226+3575</f>
        <v>32801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15152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7477416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16948978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1801012-C371</f>
        <v>1303635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497377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1801012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18749990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7844693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1858186-1</f>
        <v>1858185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2133855+1951212</f>
        <v>4085067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1381513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212937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1321703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1534903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121338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161512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52907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691737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193717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19460212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-710222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1145867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435645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435645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Columbia Basin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173</v>
      </c>
      <c r="C414" s="194">
        <f>E138</f>
        <v>173</v>
      </c>
      <c r="D414" s="179"/>
    </row>
    <row r="415" spans="1:5" ht="12.6" customHeight="1" x14ac:dyDescent="0.25">
      <c r="A415" s="179" t="s">
        <v>464</v>
      </c>
      <c r="B415" s="179">
        <f>D111</f>
        <v>470</v>
      </c>
      <c r="C415" s="179">
        <f>E139</f>
        <v>470</v>
      </c>
      <c r="D415" s="194">
        <f>SUM(C59:H59)+N59</f>
        <v>470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187</v>
      </c>
      <c r="C417" s="194">
        <f>E144</f>
        <v>187</v>
      </c>
      <c r="D417" s="179"/>
    </row>
    <row r="418" spans="1:7" ht="12.6" customHeight="1" x14ac:dyDescent="0.25">
      <c r="A418" s="179" t="s">
        <v>466</v>
      </c>
      <c r="B418" s="179">
        <f>D112</f>
        <v>19436</v>
      </c>
      <c r="C418" s="179">
        <f>E145</f>
        <v>19436</v>
      </c>
      <c r="D418" s="179">
        <f>K59+L59</f>
        <v>19436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7844693</v>
      </c>
      <c r="C427" s="179">
        <f t="shared" ref="C427:C434" si="13">CE61</f>
        <v>7844693</v>
      </c>
      <c r="D427" s="179"/>
    </row>
    <row r="428" spans="1:7" ht="12.6" customHeight="1" x14ac:dyDescent="0.25">
      <c r="A428" s="179" t="s">
        <v>3</v>
      </c>
      <c r="B428" s="179">
        <f t="shared" si="12"/>
        <v>1858185</v>
      </c>
      <c r="C428" s="179">
        <f t="shared" si="13"/>
        <v>1858184</v>
      </c>
      <c r="D428" s="179">
        <f>D173</f>
        <v>1858185.3199999998</v>
      </c>
    </row>
    <row r="429" spans="1:7" ht="12.6" customHeight="1" x14ac:dyDescent="0.25">
      <c r="A429" s="179" t="s">
        <v>236</v>
      </c>
      <c r="B429" s="179">
        <f t="shared" si="12"/>
        <v>4085067</v>
      </c>
      <c r="C429" s="179">
        <f t="shared" si="13"/>
        <v>4085067</v>
      </c>
      <c r="D429" s="179"/>
    </row>
    <row r="430" spans="1:7" ht="12.6" customHeight="1" x14ac:dyDescent="0.25">
      <c r="A430" s="179" t="s">
        <v>237</v>
      </c>
      <c r="B430" s="179">
        <f t="shared" si="12"/>
        <v>1381513</v>
      </c>
      <c r="C430" s="179">
        <f t="shared" si="13"/>
        <v>1381513</v>
      </c>
      <c r="D430" s="179"/>
    </row>
    <row r="431" spans="1:7" ht="12.6" customHeight="1" x14ac:dyDescent="0.25">
      <c r="A431" s="179" t="s">
        <v>444</v>
      </c>
      <c r="B431" s="179">
        <f t="shared" si="12"/>
        <v>212937</v>
      </c>
      <c r="C431" s="179">
        <f t="shared" si="13"/>
        <v>212937</v>
      </c>
      <c r="D431" s="179"/>
    </row>
    <row r="432" spans="1:7" ht="12.6" customHeight="1" x14ac:dyDescent="0.25">
      <c r="A432" s="179" t="s">
        <v>445</v>
      </c>
      <c r="B432" s="179">
        <f t="shared" si="12"/>
        <v>1321703</v>
      </c>
      <c r="C432" s="179">
        <f t="shared" si="13"/>
        <v>1321703</v>
      </c>
      <c r="D432" s="179"/>
    </row>
    <row r="433" spans="1:7" ht="12.6" customHeight="1" x14ac:dyDescent="0.25">
      <c r="A433" s="179" t="s">
        <v>6</v>
      </c>
      <c r="B433" s="179">
        <f t="shared" si="12"/>
        <v>1534903</v>
      </c>
      <c r="C433" s="179">
        <f t="shared" si="13"/>
        <v>1534904</v>
      </c>
      <c r="D433" s="179">
        <f>C217</f>
        <v>1534902.99</v>
      </c>
    </row>
    <row r="434" spans="1:7" ht="12.6" customHeight="1" x14ac:dyDescent="0.25">
      <c r="A434" s="179" t="s">
        <v>474</v>
      </c>
      <c r="B434" s="179">
        <f t="shared" si="12"/>
        <v>121338</v>
      </c>
      <c r="C434" s="179">
        <f t="shared" si="13"/>
        <v>121338</v>
      </c>
      <c r="D434" s="179">
        <f>D177</f>
        <v>121337.76</v>
      </c>
    </row>
    <row r="435" spans="1:7" ht="12.6" customHeight="1" x14ac:dyDescent="0.25">
      <c r="A435" s="179" t="s">
        <v>447</v>
      </c>
      <c r="B435" s="179">
        <f t="shared" si="12"/>
        <v>161512</v>
      </c>
      <c r="C435" s="179"/>
      <c r="D435" s="179">
        <f>D181</f>
        <v>161511.9</v>
      </c>
    </row>
    <row r="436" spans="1:7" ht="12.6" customHeight="1" x14ac:dyDescent="0.25">
      <c r="A436" s="179" t="s">
        <v>475</v>
      </c>
      <c r="B436" s="179">
        <f t="shared" si="12"/>
        <v>52907</v>
      </c>
      <c r="C436" s="179"/>
      <c r="D436" s="179">
        <f>D186</f>
        <v>52907</v>
      </c>
    </row>
    <row r="437" spans="1:7" ht="12.6" customHeight="1" x14ac:dyDescent="0.25">
      <c r="A437" s="194" t="s">
        <v>449</v>
      </c>
      <c r="B437" s="194">
        <f t="shared" si="12"/>
        <v>691737</v>
      </c>
      <c r="C437" s="194"/>
      <c r="D437" s="194">
        <f>D190</f>
        <v>691737</v>
      </c>
    </row>
    <row r="438" spans="1:7" ht="12.6" customHeight="1" x14ac:dyDescent="0.25">
      <c r="A438" s="194" t="s">
        <v>476</v>
      </c>
      <c r="B438" s="194">
        <f>C386+C387+C388</f>
        <v>906156</v>
      </c>
      <c r="C438" s="194">
        <f>CD69</f>
        <v>906156</v>
      </c>
      <c r="D438" s="194">
        <f>D181+D186+D190</f>
        <v>906155.9</v>
      </c>
    </row>
    <row r="439" spans="1:7" ht="12.6" customHeight="1" x14ac:dyDescent="0.25">
      <c r="A439" s="179" t="s">
        <v>451</v>
      </c>
      <c r="B439" s="194">
        <f>C389</f>
        <v>193717</v>
      </c>
      <c r="C439" s="194">
        <f>SUM(C69:CC69)</f>
        <v>193717</v>
      </c>
      <c r="D439" s="179"/>
    </row>
    <row r="440" spans="1:7" ht="12.6" customHeight="1" x14ac:dyDescent="0.25">
      <c r="A440" s="179" t="s">
        <v>477</v>
      </c>
      <c r="B440" s="194">
        <f>B438+B439</f>
        <v>1099873</v>
      </c>
      <c r="C440" s="194">
        <f>CE69</f>
        <v>1099873</v>
      </c>
      <c r="D440" s="179"/>
    </row>
    <row r="441" spans="1:7" ht="12.6" customHeight="1" x14ac:dyDescent="0.25">
      <c r="A441" s="179" t="s">
        <v>478</v>
      </c>
      <c r="B441" s="179">
        <f>D390</f>
        <v>19460212</v>
      </c>
      <c r="C441" s="179">
        <f>SUM(C427:C437)+C440</f>
        <v>19460212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510938</v>
      </c>
      <c r="C444" s="179">
        <f>C363</f>
        <v>510938</v>
      </c>
      <c r="D444" s="179"/>
    </row>
    <row r="445" spans="1:7" ht="12.6" customHeight="1" x14ac:dyDescent="0.25">
      <c r="A445" s="179" t="s">
        <v>343</v>
      </c>
      <c r="B445" s="179">
        <f>D229</f>
        <v>6918525</v>
      </c>
      <c r="C445" s="179">
        <f>C364</f>
        <v>6918525</v>
      </c>
      <c r="D445" s="179"/>
    </row>
    <row r="446" spans="1:7" ht="12.6" customHeight="1" x14ac:dyDescent="0.25">
      <c r="A446" s="179" t="s">
        <v>351</v>
      </c>
      <c r="B446" s="179">
        <f>D236</f>
        <v>32801</v>
      </c>
      <c r="C446" s="179">
        <f>C365</f>
        <v>32801</v>
      </c>
      <c r="D446" s="179"/>
    </row>
    <row r="447" spans="1:7" ht="12.6" customHeight="1" x14ac:dyDescent="0.25">
      <c r="A447" s="179" t="s">
        <v>356</v>
      </c>
      <c r="B447" s="179">
        <f>D240</f>
        <v>15152</v>
      </c>
      <c r="C447" s="179">
        <f>C366</f>
        <v>15152</v>
      </c>
      <c r="D447" s="179"/>
    </row>
    <row r="448" spans="1:7" ht="12.6" customHeight="1" x14ac:dyDescent="0.25">
      <c r="A448" s="179" t="s">
        <v>358</v>
      </c>
      <c r="B448" s="179">
        <f>D242</f>
        <v>7477416</v>
      </c>
      <c r="C448" s="179">
        <f>D367</f>
        <v>7477416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29226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3575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1303635</v>
      </c>
      <c r="C458" s="194">
        <f>CE70</f>
        <v>1303635</v>
      </c>
      <c r="D458" s="194"/>
    </row>
    <row r="459" spans="1:7" ht="12.6" customHeight="1" x14ac:dyDescent="0.25">
      <c r="A459" s="179" t="s">
        <v>244</v>
      </c>
      <c r="B459" s="194">
        <f>C371</f>
        <v>497377</v>
      </c>
      <c r="C459" s="194">
        <f>CE72</f>
        <v>497377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6398531</v>
      </c>
      <c r="C463" s="194">
        <f>CE73</f>
        <v>6398531</v>
      </c>
      <c r="D463" s="194">
        <f>E141+E147+E153</f>
        <v>6398531</v>
      </c>
    </row>
    <row r="464" spans="1:7" ht="12.6" customHeight="1" x14ac:dyDescent="0.25">
      <c r="A464" s="179" t="s">
        <v>246</v>
      </c>
      <c r="B464" s="194">
        <f>C360</f>
        <v>18027863</v>
      </c>
      <c r="C464" s="194">
        <f>CE74</f>
        <v>18027863</v>
      </c>
      <c r="D464" s="194">
        <f>E142+E148+E154</f>
        <v>18027863</v>
      </c>
    </row>
    <row r="465" spans="1:7" ht="12.6" customHeight="1" x14ac:dyDescent="0.25">
      <c r="A465" s="179" t="s">
        <v>247</v>
      </c>
      <c r="B465" s="194">
        <f>D361</f>
        <v>24426394</v>
      </c>
      <c r="C465" s="194">
        <f>CE75</f>
        <v>24426394</v>
      </c>
      <c r="D465" s="194">
        <f>D463+D464</f>
        <v>24426394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99457</v>
      </c>
      <c r="C468" s="179">
        <f>E195</f>
        <v>99457</v>
      </c>
      <c r="D468" s="179"/>
    </row>
    <row r="469" spans="1:7" ht="12.6" customHeight="1" x14ac:dyDescent="0.25">
      <c r="A469" s="179" t="s">
        <v>333</v>
      </c>
      <c r="B469" s="179">
        <f t="shared" si="14"/>
        <v>186843</v>
      </c>
      <c r="C469" s="179">
        <f>E196</f>
        <v>186843</v>
      </c>
      <c r="D469" s="179"/>
    </row>
    <row r="470" spans="1:7" ht="12.6" customHeight="1" x14ac:dyDescent="0.25">
      <c r="A470" s="179" t="s">
        <v>334</v>
      </c>
      <c r="B470" s="179">
        <f t="shared" si="14"/>
        <v>24474025</v>
      </c>
      <c r="C470" s="179">
        <f>E197</f>
        <v>24474024.899999999</v>
      </c>
      <c r="D470" s="179"/>
    </row>
    <row r="471" spans="1:7" ht="12.6" customHeight="1" x14ac:dyDescent="0.25">
      <c r="A471" s="179" t="s">
        <v>494</v>
      </c>
      <c r="B471" s="179">
        <f t="shared" si="14"/>
        <v>4515775</v>
      </c>
      <c r="C471" s="179">
        <f>E198</f>
        <v>4515774.96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3756542</v>
      </c>
      <c r="C473" s="179">
        <f>SUM(E200:E201)</f>
        <v>3756542.27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369591</v>
      </c>
      <c r="C475" s="179">
        <f>E203</f>
        <v>369590.56000000052</v>
      </c>
      <c r="D475" s="179"/>
    </row>
    <row r="476" spans="1:7" ht="12.6" customHeight="1" x14ac:dyDescent="0.25">
      <c r="A476" s="179" t="s">
        <v>203</v>
      </c>
      <c r="B476" s="179">
        <f>D275</f>
        <v>33402233</v>
      </c>
      <c r="C476" s="179">
        <f>E204</f>
        <v>33402232.689999998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13120328</v>
      </c>
      <c r="C478" s="179">
        <f>E217</f>
        <v>13120328.440000003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28946507</v>
      </c>
    </row>
    <row r="482" spans="1:12" ht="12.6" customHeight="1" x14ac:dyDescent="0.25">
      <c r="A482" s="180" t="s">
        <v>499</v>
      </c>
      <c r="C482" s="180">
        <f>D339</f>
        <v>28946507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045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257644.64</v>
      </c>
      <c r="C498" s="240">
        <f>E71</f>
        <v>292907</v>
      </c>
      <c r="D498" s="240">
        <f>'Prior Year'!E59</f>
        <v>426</v>
      </c>
      <c r="E498" s="180">
        <f>E59</f>
        <v>470</v>
      </c>
      <c r="F498" s="263">
        <f t="shared" si="15"/>
        <v>604.79962441314558</v>
      </c>
      <c r="G498" s="263">
        <f t="shared" si="15"/>
        <v>623.20638297872335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1839707</v>
      </c>
      <c r="C504" s="240">
        <f>K71</f>
        <v>1862049</v>
      </c>
      <c r="D504" s="240">
        <f>'Prior Year'!K59</f>
        <v>14775</v>
      </c>
      <c r="E504" s="180">
        <f>K59</f>
        <v>14423</v>
      </c>
      <c r="F504" s="263">
        <f t="shared" si="15"/>
        <v>124.51485617597292</v>
      </c>
      <c r="G504" s="263">
        <f t="shared" si="15"/>
        <v>129.1027525480136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1853694.6</v>
      </c>
      <c r="C505" s="240">
        <f>L71</f>
        <v>1810672</v>
      </c>
      <c r="D505" s="240">
        <f>'Prior Year'!L59</f>
        <v>5094</v>
      </c>
      <c r="E505" s="180">
        <f>L59</f>
        <v>5013</v>
      </c>
      <c r="F505" s="263">
        <f t="shared" si="15"/>
        <v>363.89764428739693</v>
      </c>
      <c r="G505" s="263">
        <f t="shared" si="15"/>
        <v>361.19529224017555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101698</v>
      </c>
      <c r="C512" s="240">
        <f>S71</f>
        <v>97660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3898.1400000000003</v>
      </c>
      <c r="C513" s="240">
        <f>T71</f>
        <v>2176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781129</v>
      </c>
      <c r="C514" s="240">
        <f>U71</f>
        <v>932339</v>
      </c>
      <c r="D514" s="240">
        <f>'Prior Year'!U59</f>
        <v>119005</v>
      </c>
      <c r="E514" s="180">
        <f>U59</f>
        <v>129073</v>
      </c>
      <c r="F514" s="263">
        <f t="shared" si="17"/>
        <v>6.5638334523759507</v>
      </c>
      <c r="G514" s="263">
        <f t="shared" si="17"/>
        <v>7.2233464783494608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97080</v>
      </c>
      <c r="C516" s="240">
        <f>W71</f>
        <v>98245</v>
      </c>
      <c r="D516" s="240">
        <f>'Prior Year'!W59</f>
        <v>2525.98</v>
      </c>
      <c r="E516" s="180">
        <f>W59</f>
        <v>2639.2</v>
      </c>
      <c r="F516" s="263">
        <f t="shared" si="17"/>
        <v>38.432608334191087</v>
      </c>
      <c r="G516" s="263">
        <f t="shared" si="17"/>
        <v>37.225295544104277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247620</v>
      </c>
      <c r="C517" s="240">
        <f>X71</f>
        <v>233425</v>
      </c>
      <c r="D517" s="240">
        <f>'Prior Year'!X59</f>
        <v>9598</v>
      </c>
      <c r="E517" s="180">
        <f>X59</f>
        <v>9840.42</v>
      </c>
      <c r="F517" s="263">
        <f t="shared" si="17"/>
        <v>25.799124817670346</v>
      </c>
      <c r="G517" s="263">
        <f t="shared" si="17"/>
        <v>23.721040362098364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790176</v>
      </c>
      <c r="C518" s="240">
        <f>Y71</f>
        <v>799736</v>
      </c>
      <c r="D518" s="240">
        <f>'Prior Year'!Y59</f>
        <v>6018</v>
      </c>
      <c r="E518" s="180">
        <f>Y59</f>
        <v>6398</v>
      </c>
      <c r="F518" s="263">
        <f t="shared" si="17"/>
        <v>131.30209371884348</v>
      </c>
      <c r="G518" s="263">
        <f t="shared" si="17"/>
        <v>124.99781181619257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-151741</v>
      </c>
      <c r="C521" s="240">
        <f>AB71</f>
        <v>-120166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680826</v>
      </c>
      <c r="C524" s="240">
        <f>AE71</f>
        <v>863161</v>
      </c>
      <c r="D524" s="240">
        <f>'Prior Year'!AE59</f>
        <v>20218</v>
      </c>
      <c r="E524" s="180">
        <f>AE59</f>
        <v>23685</v>
      </c>
      <c r="F524" s="263">
        <f t="shared" si="17"/>
        <v>33.674250667721829</v>
      </c>
      <c r="G524" s="263">
        <f t="shared" si="17"/>
        <v>36.443360776862995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2068114</v>
      </c>
      <c r="C526" s="240">
        <f>AG71</f>
        <v>2359228</v>
      </c>
      <c r="D526" s="240">
        <f>'Prior Year'!AG59</f>
        <v>5023</v>
      </c>
      <c r="E526" s="180">
        <f>AG59</f>
        <v>5032</v>
      </c>
      <c r="F526" s="263">
        <f t="shared" si="17"/>
        <v>411.72884730240889</v>
      </c>
      <c r="G526" s="263">
        <f t="shared" si="17"/>
        <v>468.8449920508744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172</v>
      </c>
      <c r="E528" s="180">
        <f>AI59</f>
        <v>168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2025146.48</v>
      </c>
      <c r="C529" s="240">
        <f>AJ71</f>
        <v>2262247</v>
      </c>
      <c r="D529" s="240">
        <f>'Prior Year'!AJ59</f>
        <v>10135</v>
      </c>
      <c r="E529" s="180">
        <f>AJ59</f>
        <v>12446</v>
      </c>
      <c r="F529" s="263">
        <f t="shared" si="18"/>
        <v>199.81711692155895</v>
      </c>
      <c r="G529" s="263">
        <f t="shared" si="18"/>
        <v>181.7649847340511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227501</v>
      </c>
      <c r="C530" s="240">
        <f>AK71</f>
        <v>336742</v>
      </c>
      <c r="D530" s="240">
        <f>'Prior Year'!AK59</f>
        <v>6661</v>
      </c>
      <c r="E530" s="180">
        <f>AK59</f>
        <v>9278</v>
      </c>
      <c r="F530" s="263">
        <f t="shared" si="18"/>
        <v>34.154181053895812</v>
      </c>
      <c r="G530" s="263">
        <f t="shared" si="18"/>
        <v>36.294675576632898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118191</v>
      </c>
      <c r="C531" s="240">
        <f>AL71</f>
        <v>127721</v>
      </c>
      <c r="D531" s="240">
        <f>'Prior Year'!AL59</f>
        <v>1658</v>
      </c>
      <c r="E531" s="180">
        <f>AL59</f>
        <v>1710</v>
      </c>
      <c r="F531" s="263">
        <f t="shared" si="18"/>
        <v>71.285283474065139</v>
      </c>
      <c r="G531" s="263">
        <f t="shared" si="18"/>
        <v>74.690643274853798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145142</v>
      </c>
      <c r="C541" s="240">
        <f>AV71</f>
        <v>165039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801402</v>
      </c>
      <c r="C544" s="240">
        <f>AY71</f>
        <v>714828</v>
      </c>
      <c r="D544" s="240">
        <f>'Prior Year'!AY59</f>
        <v>76515</v>
      </c>
      <c r="E544" s="180">
        <f>AY59</f>
        <v>72463</v>
      </c>
      <c r="F544" s="263">
        <f t="shared" ref="F544:G550" si="19">IF(B544=0,"",IF(D544=0,"",B544/D544))</f>
        <v>10.473789453048422</v>
      </c>
      <c r="G544" s="263">
        <f t="shared" si="19"/>
        <v>9.8647309661482403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51017</v>
      </c>
      <c r="C545" s="240">
        <f>AZ71</f>
        <v>58561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119786</v>
      </c>
      <c r="C546" s="240">
        <f>BA71</f>
        <v>137078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123112</v>
      </c>
      <c r="C547" s="240">
        <f>BB71</f>
        <v>145594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98609</v>
      </c>
      <c r="C549" s="240">
        <f>BD71</f>
        <v>108730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557201</v>
      </c>
      <c r="C550" s="240">
        <f>BE71</f>
        <v>515799</v>
      </c>
      <c r="D550" s="240">
        <f>'Prior Year'!BE59</f>
        <v>77730</v>
      </c>
      <c r="E550" s="180">
        <f>BE59</f>
        <v>77714</v>
      </c>
      <c r="F550" s="263">
        <f t="shared" si="19"/>
        <v>7.1684163128779108</v>
      </c>
      <c r="G550" s="263">
        <f t="shared" si="19"/>
        <v>6.6371438865584063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433659</v>
      </c>
      <c r="C551" s="240">
        <f>BF71</f>
        <v>435793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723817</v>
      </c>
      <c r="C553" s="240">
        <f>BH71</f>
        <v>740238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13655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332690</v>
      </c>
      <c r="C555" s="240">
        <f>BJ71</f>
        <v>322947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543053</v>
      </c>
      <c r="C556" s="240">
        <f>BK71</f>
        <v>586608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246500</v>
      </c>
      <c r="C557" s="240">
        <f>BL71</f>
        <v>256542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446994</v>
      </c>
      <c r="C559" s="240">
        <f>BN71</f>
        <v>522280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117598</v>
      </c>
      <c r="C561" s="240">
        <f>BP71</f>
        <v>99308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134679</v>
      </c>
      <c r="C563" s="240">
        <f>BR71</f>
        <v>142396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253020</v>
      </c>
      <c r="C567" s="240">
        <f>BV71</f>
        <v>240233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2055</v>
      </c>
      <c r="C568" s="240">
        <f>BW71</f>
        <v>2333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62808</v>
      </c>
      <c r="C569" s="240">
        <f>BX71</f>
        <v>82918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183812</v>
      </c>
      <c r="C570" s="240">
        <f>BY71</f>
        <v>248591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120486</v>
      </c>
      <c r="C572" s="240">
        <f>CA71</f>
        <v>126646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-504</v>
      </c>
      <c r="C574" s="240">
        <f>CC71</f>
        <v>705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658891</v>
      </c>
      <c r="C575" s="240">
        <f>CD71</f>
        <v>545268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74110</v>
      </c>
      <c r="E612" s="180">
        <f>SUM(C624:D647)+SUM(C668:D713)</f>
        <v>17114321.887437589</v>
      </c>
      <c r="F612" s="180">
        <f>CE64-(AX64+BD64+BE64+BG64+BJ64+BN64+BP64+BQ64+CB64+CC64+CD64)</f>
        <v>1341750</v>
      </c>
      <c r="G612" s="180">
        <f>CE77-(AX77+AY77+BD77+BE77+BG77+BJ77+BN77+BP77+BQ77+CB77+CC77+CD77)</f>
        <v>72463</v>
      </c>
      <c r="H612" s="197">
        <f>CE60-(AX60+AY60+AZ60+BD60+BE60+BG60+BJ60+BN60+BO60+BP60+BQ60+BR60+CB60+CC60+CD60)</f>
        <v>116.50999999999999</v>
      </c>
      <c r="I612" s="180">
        <f>CE78-(AX78+AY78+AZ78+BD78+BE78+BF78+BG78+BJ78+BN78+BO78+BP78+BQ78+BR78+CB78+CC78+CD78)</f>
        <v>17205</v>
      </c>
      <c r="J612" s="180">
        <f>CE79-(AX79+AY79+AZ79+BA79+BD79+BE79+BF79+BG79+BJ79+BN79+BO79+BP79+BQ79+BR79+CB79+CC79+CD79)</f>
        <v>107038</v>
      </c>
      <c r="K612" s="180">
        <f>CE75-(AW75+AX75+AY75+AZ75+BA75+BB75+BC75+BD75+BE75+BF75+BG75+BH75+BI75+BJ75+BK75+BL75+BM75+BN75+BO75+BP75+BQ75+BR75+BS75+BT75+BU75+BV75+BW75+BX75+CB75+CC75+CD75)</f>
        <v>24426394</v>
      </c>
      <c r="L612" s="197">
        <f>CE80-(AW80+AX80+AY80+AZ80+BA80+BB80+BC80+BD80+BE80+BF80+BG80+BH80+BI80+BJ80+BK80+BL80+BM80+BN80+BO80+BP80+BQ80+BR80+BS80+BT80+BU80+BV80+BW80+BX80+BY80+BZ80+CA80+CB80+CC80+CD80)</f>
        <v>62.570000000000007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515799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545268</v>
      </c>
      <c r="D615" s="266">
        <f>SUM(C614:C615)</f>
        <v>1061067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322947</v>
      </c>
      <c r="D617" s="180">
        <f>(D615/D612)*BJ76</f>
        <v>10781.047780326542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522280</v>
      </c>
      <c r="D619" s="180">
        <f>(D615/D612)*BN76</f>
        <v>84788.001268384833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705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99308</v>
      </c>
      <c r="D621" s="180">
        <f>(D615/D612)*BP76</f>
        <v>1446.0635136958574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1042255.1125624073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108730</v>
      </c>
      <c r="D624" s="180">
        <f>(D615/D612)*BD76</f>
        <v>34905.968776143571</v>
      </c>
      <c r="E624" s="180">
        <f>(E623/E612)*SUM(C624:D624)</f>
        <v>8747.3709907652246</v>
      </c>
      <c r="F624" s="180">
        <f>SUM(C624:E624)</f>
        <v>152383.33976690879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714828</v>
      </c>
      <c r="D625" s="180">
        <f>(D615/D612)*AY76</f>
        <v>19328.571717716906</v>
      </c>
      <c r="E625" s="180">
        <f>(E623/E612)*SUM(C625:D625)</f>
        <v>44709.831060016651</v>
      </c>
      <c r="F625" s="180">
        <f>(F624/F612)*AY64</f>
        <v>27755.516605652945</v>
      </c>
      <c r="G625" s="180">
        <f>SUM(C625:F625)</f>
        <v>806621.9193833865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142396</v>
      </c>
      <c r="D626" s="180">
        <f>(D615/D612)*BR76</f>
        <v>0</v>
      </c>
      <c r="E626" s="180">
        <f>(E623/E612)*SUM(C626:D626)</f>
        <v>8671.8574060112751</v>
      </c>
      <c r="F626" s="180">
        <f>(F624/F612)*BR64</f>
        <v>76.319436797736316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58561</v>
      </c>
      <c r="D628" s="180">
        <f>(D615/D612)*AZ76</f>
        <v>42451.270476318983</v>
      </c>
      <c r="E628" s="180">
        <f>(E623/E612)*SUM(C628:D628)</f>
        <v>6151.6054231023409</v>
      </c>
      <c r="F628" s="180">
        <f>(F624/F612)*AZ64</f>
        <v>0</v>
      </c>
      <c r="G628" s="180">
        <f>(G625/G612)*AZ77</f>
        <v>150119.41549210425</v>
      </c>
      <c r="H628" s="180">
        <f>SUM(C626:G628)</f>
        <v>408427.46823433461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435793</v>
      </c>
      <c r="D629" s="180">
        <f>(D615/D612)*BF76</f>
        <v>21905.714613412496</v>
      </c>
      <c r="E629" s="180">
        <f>(E623/E612)*SUM(C629:D629)</f>
        <v>27873.662097546017</v>
      </c>
      <c r="F629" s="180">
        <f>(F624/F612)*BF64</f>
        <v>2948.4060992649297</v>
      </c>
      <c r="G629" s="180">
        <f>(G625/G612)*BF77</f>
        <v>0</v>
      </c>
      <c r="H629" s="180">
        <f>(H628/H612)*BF60</f>
        <v>33407.551045173881</v>
      </c>
      <c r="I629" s="180">
        <f>SUM(C629:H629)</f>
        <v>521928.33385539736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137078</v>
      </c>
      <c r="D630" s="180">
        <f>(D615/D612)*BA76</f>
        <v>20044.444744299013</v>
      </c>
      <c r="E630" s="180">
        <f>(E623/E612)*SUM(C630:D630)</f>
        <v>9568.69178984274</v>
      </c>
      <c r="F630" s="180">
        <f>(F624/F612)*BA64</f>
        <v>1780.9004292043203</v>
      </c>
      <c r="G630" s="180">
        <f>(G625/G612)*BA77</f>
        <v>0</v>
      </c>
      <c r="H630" s="180">
        <f>(H628/H612)*BA60</f>
        <v>8693.6754031512319</v>
      </c>
      <c r="I630" s="180">
        <f>(I629/I612)*BA78</f>
        <v>0</v>
      </c>
      <c r="J630" s="180">
        <f>SUM(C630:I630)</f>
        <v>177165.71236649729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145594</v>
      </c>
      <c r="D632" s="180">
        <f>(D615/D612)*BB76</f>
        <v>1288.5714478477937</v>
      </c>
      <c r="E632" s="180">
        <f>(E623/E612)*SUM(C632:D632)</f>
        <v>8945.0877484198936</v>
      </c>
      <c r="F632" s="180">
        <f>(F624/F612)*BB64</f>
        <v>18.057723885178682</v>
      </c>
      <c r="G632" s="180">
        <f>(G625/G612)*BB77</f>
        <v>0</v>
      </c>
      <c r="H632" s="180">
        <f>(H628/H612)*BB60</f>
        <v>7151.2491219469803</v>
      </c>
      <c r="I632" s="180">
        <f>(I629/I612)*BB78</f>
        <v>2396.5323088972036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586608</v>
      </c>
      <c r="D635" s="180">
        <f>(D615/D612)*BK76</f>
        <v>30310.063945486439</v>
      </c>
      <c r="E635" s="180">
        <f>(E623/E612)*SUM(C635:D635)</f>
        <v>37570.054508046604</v>
      </c>
      <c r="F635" s="180">
        <f>(F624/F612)*BK64</f>
        <v>319.70121218099365</v>
      </c>
      <c r="G635" s="180">
        <f>(G625/G612)*BK77</f>
        <v>0</v>
      </c>
      <c r="H635" s="180">
        <f>(H628/H612)*BK60</f>
        <v>20892.865081766668</v>
      </c>
      <c r="I635" s="180">
        <f>(I629/I612)*BK78</f>
        <v>13924.156073212867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740238</v>
      </c>
      <c r="D636" s="180">
        <f>(D615/D612)*BH76</f>
        <v>7702.7937660234784</v>
      </c>
      <c r="E636" s="180">
        <f>(E623/E612)*SUM(C636:D636)</f>
        <v>45549.284472020583</v>
      </c>
      <c r="F636" s="180">
        <f>(F624/F612)*BH64</f>
        <v>7630.24012091654</v>
      </c>
      <c r="G636" s="180">
        <f>(G625/G612)*BH77</f>
        <v>0</v>
      </c>
      <c r="H636" s="180">
        <f>(H628/H612)*BH60</f>
        <v>7957.5174053037481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256542</v>
      </c>
      <c r="D637" s="180">
        <f>(D615/D612)*BL76</f>
        <v>56210.35004722709</v>
      </c>
      <c r="E637" s="180">
        <f>(E623/E612)*SUM(C637:D637)</f>
        <v>19046.488546058019</v>
      </c>
      <c r="F637" s="180">
        <f>(F624/F612)*BL64</f>
        <v>208.62917469857385</v>
      </c>
      <c r="G637" s="180">
        <f>(G625/G612)*BL77</f>
        <v>0</v>
      </c>
      <c r="H637" s="180">
        <f>(H628/H612)*BL60</f>
        <v>14057.112244611466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240233</v>
      </c>
      <c r="D642" s="180">
        <f>(D615/D612)*BV76</f>
        <v>20173.301889083792</v>
      </c>
      <c r="E642" s="180">
        <f>(E623/E612)*SUM(C642:D642)</f>
        <v>15858.635899947045</v>
      </c>
      <c r="F642" s="180">
        <f>(F624/F612)*BV64</f>
        <v>180.46366826131401</v>
      </c>
      <c r="G642" s="180">
        <f>(G625/G612)*BV77</f>
        <v>0</v>
      </c>
      <c r="H642" s="180">
        <f>(H628/H612)*BV60</f>
        <v>10165.991398846198</v>
      </c>
      <c r="I642" s="180">
        <f>(I629/I612)*BV78</f>
        <v>5399.7816580215476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2333</v>
      </c>
      <c r="D643" s="180">
        <f>(D615/D612)*BW76</f>
        <v>0</v>
      </c>
      <c r="E643" s="180">
        <f>(E623/E612)*SUM(C643:D643)</f>
        <v>142.07873344914398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82918</v>
      </c>
      <c r="D644" s="180">
        <f>(D615/D612)*BX76</f>
        <v>1231.3016057212251</v>
      </c>
      <c r="E644" s="180">
        <f>(E623/E612)*SUM(C644:D644)</f>
        <v>5124.657605131114</v>
      </c>
      <c r="F644" s="180">
        <f>(F624/F612)*BX64</f>
        <v>4.5428236189128759</v>
      </c>
      <c r="G644" s="180">
        <f>(G625/G612)*BX77</f>
        <v>0</v>
      </c>
      <c r="H644" s="180">
        <f>(H628/H612)*BX60</f>
        <v>2453.8599928249441</v>
      </c>
      <c r="I644" s="180">
        <f>(I629/I612)*BX78</f>
        <v>697.72459626121122</v>
      </c>
      <c r="J644" s="180">
        <f>(J630/J612)*BX79</f>
        <v>0</v>
      </c>
      <c r="K644" s="180">
        <f>SUM(C631:J644)</f>
        <v>2397077.0948197162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248591</v>
      </c>
      <c r="D645" s="180">
        <f>(D615/D612)*BY76</f>
        <v>3708.2222776953176</v>
      </c>
      <c r="E645" s="180">
        <f>(E623/E612)*SUM(C645:D645)</f>
        <v>15364.918110338192</v>
      </c>
      <c r="F645" s="180">
        <f>(F624/F612)*BY64</f>
        <v>191.59358612765055</v>
      </c>
      <c r="G645" s="180">
        <f>(G625/G612)*BY77</f>
        <v>0</v>
      </c>
      <c r="H645" s="180">
        <f>(H628/H612)*BY60</f>
        <v>8798.8408314151566</v>
      </c>
      <c r="I645" s="180">
        <f>(I629/I612)*BY78</f>
        <v>16927.405422337211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126646</v>
      </c>
      <c r="D647" s="180">
        <f>(D615/D612)*CA76</f>
        <v>3393.2381459991902</v>
      </c>
      <c r="E647" s="180">
        <f>(E623/E612)*SUM(C647:D647)</f>
        <v>7919.3357284505682</v>
      </c>
      <c r="F647" s="180">
        <f>(F624/F612)*CA64</f>
        <v>623.048259333901</v>
      </c>
      <c r="G647" s="180">
        <f>(G625/G612)*CA77</f>
        <v>0</v>
      </c>
      <c r="H647" s="180">
        <f>(H628/H612)*CA60</f>
        <v>3540.5694182188481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435704.17177991604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6033396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292907</v>
      </c>
      <c r="D670" s="180">
        <f>(D615/D612)*E76</f>
        <v>197165.74898124408</v>
      </c>
      <c r="E670" s="180">
        <f>(E623/E612)*SUM(C670:D670)</f>
        <v>29845.227378137773</v>
      </c>
      <c r="F670" s="180">
        <f>(F624/F612)*E64</f>
        <v>1395.1011333681442</v>
      </c>
      <c r="G670" s="180">
        <f>(G625/G612)*E77</f>
        <v>20159.14737180786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73981.795276154458</v>
      </c>
      <c r="L670" s="180">
        <f>(L647/L612)*E80</f>
        <v>0</v>
      </c>
      <c r="M670" s="180">
        <f t="shared" si="20"/>
        <v>322547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1862049</v>
      </c>
      <c r="D676" s="180">
        <f>(D615/D612)*K76</f>
        <v>244184.28936715692</v>
      </c>
      <c r="E676" s="180">
        <f>(E623/E612)*SUM(C676:D676)</f>
        <v>128268.73471997859</v>
      </c>
      <c r="F676" s="180">
        <f>(F624/F612)*K64</f>
        <v>3422.1090321270694</v>
      </c>
      <c r="G676" s="180">
        <f>(G625/G612)*K77</f>
        <v>468435.80325809959</v>
      </c>
      <c r="H676" s="180">
        <f>(H628/H612)*K60</f>
        <v>76700.652347156836</v>
      </c>
      <c r="I676" s="180">
        <f>(I629/I612)*K78</f>
        <v>141516.74963298044</v>
      </c>
      <c r="J676" s="180">
        <f>(J630/J612)*K79</f>
        <v>58523.377285212831</v>
      </c>
      <c r="K676" s="180">
        <f>(K644/K612)*K75</f>
        <v>199849.86516814271</v>
      </c>
      <c r="L676" s="180">
        <f>(L647/L612)*K80</f>
        <v>151385.78703045187</v>
      </c>
      <c r="M676" s="180">
        <f t="shared" si="20"/>
        <v>1472287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1810672</v>
      </c>
      <c r="D677" s="180">
        <f>(D615/D612)*L76</f>
        <v>0</v>
      </c>
      <c r="E677" s="180">
        <f>(E623/E612)*SUM(C677:D677)</f>
        <v>110269.17464716178</v>
      </c>
      <c r="F677" s="180">
        <f>(F624/F612)*L64</f>
        <v>7200.8297183388004</v>
      </c>
      <c r="G677" s="180">
        <f>(G625/G612)*L77</f>
        <v>167907.55326137479</v>
      </c>
      <c r="H677" s="180">
        <f>(H628/H612)*L60</f>
        <v>68006.976944005597</v>
      </c>
      <c r="I677" s="180">
        <f>(I629/I612)*L78</f>
        <v>166422.48413430454</v>
      </c>
      <c r="J677" s="180">
        <f>(J630/J612)*L79</f>
        <v>68356.721491656892</v>
      </c>
      <c r="K677" s="180">
        <f>(K644/K612)*L75</f>
        <v>145529.84974097472</v>
      </c>
      <c r="L677" s="180">
        <f>(L647/L612)*L80</f>
        <v>158418.88937179302</v>
      </c>
      <c r="M677" s="180">
        <f t="shared" si="20"/>
        <v>892112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97660</v>
      </c>
      <c r="D684" s="180">
        <f>(D615/D612)*S76</f>
        <v>10752.412859263257</v>
      </c>
      <c r="E684" s="180">
        <f>(E623/E612)*SUM(C684:D684)</f>
        <v>6602.2710283796887</v>
      </c>
      <c r="F684" s="180">
        <f>(F624/F612)*S64</f>
        <v>2454.0333189367357</v>
      </c>
      <c r="G684" s="180">
        <f>(G625/G612)*S77</f>
        <v>0</v>
      </c>
      <c r="H684" s="180">
        <f>(H628/H612)*S60</f>
        <v>4311.7825588209735</v>
      </c>
      <c r="I684" s="180">
        <f>(I629/I612)*S78</f>
        <v>4884.0721738284783</v>
      </c>
      <c r="J684" s="180">
        <f>(J630/J612)*S79</f>
        <v>0</v>
      </c>
      <c r="K684" s="180">
        <f>(K644/K612)*S75</f>
        <v>12468.505596131752</v>
      </c>
      <c r="L684" s="180">
        <f>(L647/L612)*S80</f>
        <v>0</v>
      </c>
      <c r="M684" s="180">
        <f t="shared" si="20"/>
        <v>41473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2176</v>
      </c>
      <c r="D685" s="180">
        <f>(D615/D612)*T76</f>
        <v>0</v>
      </c>
      <c r="E685" s="180">
        <f>(E623/E612)*SUM(C685:D685)</f>
        <v>132.51749849350077</v>
      </c>
      <c r="F685" s="180">
        <f>(F624/F612)*T64</f>
        <v>43.043253789199504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35385.806319118266</v>
      </c>
      <c r="L685" s="180">
        <f>(L647/L612)*T80</f>
        <v>0</v>
      </c>
      <c r="M685" s="180">
        <f t="shared" si="20"/>
        <v>35561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932339</v>
      </c>
      <c r="D686" s="180">
        <f>(D615/D612)*U76</f>
        <v>16937.555808932666</v>
      </c>
      <c r="E686" s="180">
        <f>(E623/E612)*SUM(C686:D686)</f>
        <v>57810.54896798062</v>
      </c>
      <c r="F686" s="180">
        <f>(F624/F612)*U64</f>
        <v>43043.48093038045</v>
      </c>
      <c r="G686" s="180">
        <f>(G625/G612)*U77</f>
        <v>0</v>
      </c>
      <c r="H686" s="180">
        <f>(H628/H612)*U60</f>
        <v>21593.96793685951</v>
      </c>
      <c r="I686" s="180">
        <f>(I629/I612)*U78</f>
        <v>11163.593540179379</v>
      </c>
      <c r="J686" s="180">
        <f>(J630/J612)*U79</f>
        <v>0</v>
      </c>
      <c r="K686" s="180">
        <f>(K644/K612)*U75</f>
        <v>297382.02818236098</v>
      </c>
      <c r="L686" s="180">
        <f>(L647/L612)*U80</f>
        <v>0</v>
      </c>
      <c r="M686" s="180">
        <f t="shared" si="20"/>
        <v>447931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9226.2329079998653</v>
      </c>
      <c r="L687" s="180">
        <f>(L647/L612)*V80</f>
        <v>0</v>
      </c>
      <c r="M687" s="180">
        <f t="shared" si="20"/>
        <v>9226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98245</v>
      </c>
      <c r="D688" s="180">
        <f>(D615/D612)*W76</f>
        <v>0</v>
      </c>
      <c r="E688" s="180">
        <f>(E623/E612)*SUM(C688:D688)</f>
        <v>5983.0797975615733</v>
      </c>
      <c r="F688" s="180">
        <f>(F624/F612)*W64</f>
        <v>0</v>
      </c>
      <c r="G688" s="180">
        <f>(G625/G612)*W77</f>
        <v>0</v>
      </c>
      <c r="H688" s="180">
        <f>(H628/H612)*W60</f>
        <v>105.16542826392617</v>
      </c>
      <c r="I688" s="180">
        <f>(I629/I612)*W78</f>
        <v>0</v>
      </c>
      <c r="J688" s="180">
        <f>(J630/J612)*W79</f>
        <v>259.86114129131778</v>
      </c>
      <c r="K688" s="180">
        <f>(K644/K612)*W75</f>
        <v>44144.231063907238</v>
      </c>
      <c r="L688" s="180">
        <f>(L647/L612)*W80</f>
        <v>0</v>
      </c>
      <c r="M688" s="180">
        <f t="shared" si="20"/>
        <v>50492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233425</v>
      </c>
      <c r="D689" s="180">
        <f>(D615/D612)*X76</f>
        <v>7316.2223316691407</v>
      </c>
      <c r="E689" s="180">
        <f>(E623/E612)*SUM(C689:D689)</f>
        <v>14661.040702049862</v>
      </c>
      <c r="F689" s="180">
        <f>(F624/F612)*X64</f>
        <v>2061.3062170817175</v>
      </c>
      <c r="G689" s="180">
        <f>(G625/G612)*X77</f>
        <v>0</v>
      </c>
      <c r="H689" s="180">
        <f>(H628/H612)*X60</f>
        <v>1822.8674232413873</v>
      </c>
      <c r="I689" s="180">
        <f>(I629/I612)*X78</f>
        <v>15895.986453951073</v>
      </c>
      <c r="J689" s="180">
        <f>(J630/J612)*X79</f>
        <v>1961.3723084726851</v>
      </c>
      <c r="K689" s="180">
        <f>(K644/K612)*X75</f>
        <v>180540.68333266929</v>
      </c>
      <c r="L689" s="180">
        <f>(L647/L612)*X80</f>
        <v>0</v>
      </c>
      <c r="M689" s="180">
        <f t="shared" si="20"/>
        <v>224259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799736</v>
      </c>
      <c r="D690" s="180">
        <f>(D615/D612)*Y76</f>
        <v>19886.952678450951</v>
      </c>
      <c r="E690" s="180">
        <f>(E623/E612)*SUM(C690:D690)</f>
        <v>49914.698252208313</v>
      </c>
      <c r="F690" s="180">
        <f>(F624/F612)*Y64</f>
        <v>1026.6781378743101</v>
      </c>
      <c r="G690" s="180">
        <f>(G625/G612)*Y77</f>
        <v>0</v>
      </c>
      <c r="H690" s="180">
        <f>(H628/H612)*Y60</f>
        <v>14267.443101139319</v>
      </c>
      <c r="I690" s="180">
        <f>(I629/I612)*Y78</f>
        <v>15956.658157973787</v>
      </c>
      <c r="J690" s="180">
        <f>(J630/J612)*Y79</f>
        <v>6787.8378371700273</v>
      </c>
      <c r="K690" s="180">
        <f>(K644/K612)*Y75</f>
        <v>186090.69186432275</v>
      </c>
      <c r="L690" s="180">
        <f>(L647/L612)*Y80</f>
        <v>0</v>
      </c>
      <c r="M690" s="180">
        <f t="shared" si="20"/>
        <v>293931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-120166</v>
      </c>
      <c r="D693" s="180">
        <f>(D615/D612)*AB76</f>
        <v>5311.777857239239</v>
      </c>
      <c r="E693" s="180">
        <f>(E623/E612)*SUM(C693:D693)</f>
        <v>-6994.5745449335946</v>
      </c>
      <c r="F693" s="180">
        <f>(F624/F612)*AB64</f>
        <v>31622.14092889064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81170.555332343007</v>
      </c>
      <c r="L693" s="180">
        <f>(L647/L612)*AB80</f>
        <v>0</v>
      </c>
      <c r="M693" s="180">
        <f t="shared" si="20"/>
        <v>111110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863161</v>
      </c>
      <c r="D696" s="180">
        <f>(D615/D612)*AE76</f>
        <v>41219.968870597761</v>
      </c>
      <c r="E696" s="180">
        <f>(E623/E612)*SUM(C696:D696)</f>
        <v>55076.426323465173</v>
      </c>
      <c r="F696" s="180">
        <f>(F624/F612)*AE64</f>
        <v>2645.2861932929677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12390.576456731242</v>
      </c>
      <c r="K696" s="180">
        <f>(K644/K612)*AE75</f>
        <v>168640.08330408557</v>
      </c>
      <c r="L696" s="180">
        <f>(L647/L612)*AE80</f>
        <v>0</v>
      </c>
      <c r="M696" s="180">
        <f t="shared" si="20"/>
        <v>279972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2359228</v>
      </c>
      <c r="D698" s="180">
        <f>(D615/D612)*AG76</f>
        <v>41577.905383888814</v>
      </c>
      <c r="E698" s="180">
        <f>(E623/E612)*SUM(C698:D698)</f>
        <v>146208.08499535717</v>
      </c>
      <c r="F698" s="180">
        <f>(F624/F612)*AG64</f>
        <v>4912.2687497209663</v>
      </c>
      <c r="G698" s="180">
        <f>(G625/G612)*AG77</f>
        <v>0</v>
      </c>
      <c r="H698" s="180">
        <f>(H628/H612)*AG60</f>
        <v>32285.78647702534</v>
      </c>
      <c r="I698" s="180">
        <f>(I629/I612)*AG78</f>
        <v>58335.843417839526</v>
      </c>
      <c r="J698" s="180">
        <f>(J630/J612)*AG79</f>
        <v>24918.531733380823</v>
      </c>
      <c r="K698" s="180">
        <f>(K644/K612)*AG75</f>
        <v>462156.0945807001</v>
      </c>
      <c r="L698" s="180">
        <f>(L647/L612)*AG80</f>
        <v>72489.698389466605</v>
      </c>
      <c r="M698" s="180">
        <f t="shared" si="20"/>
        <v>842884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47059.028224320493</v>
      </c>
      <c r="L700" s="180">
        <f>(L647/L612)*AI80</f>
        <v>0</v>
      </c>
      <c r="M700" s="180">
        <f t="shared" si="20"/>
        <v>47059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2262247</v>
      </c>
      <c r="D701" s="180">
        <f>(D615/D612)*AJ76</f>
        <v>79361.683726892457</v>
      </c>
      <c r="E701" s="180">
        <f>(E623/E612)*SUM(C701:D701)</f>
        <v>142602.99872157481</v>
      </c>
      <c r="F701" s="180">
        <f>(F624/F612)*AJ64</f>
        <v>8913.7013638498993</v>
      </c>
      <c r="G701" s="180">
        <f>(G625/G612)*AJ77</f>
        <v>0</v>
      </c>
      <c r="H701" s="180">
        <f>(H628/H612)*AJ60</f>
        <v>61381.554963378258</v>
      </c>
      <c r="I701" s="180">
        <f>(I629/I612)*AJ78</f>
        <v>61308.756914952515</v>
      </c>
      <c r="J701" s="180">
        <f>(J630/J612)*AJ79</f>
        <v>473.37762044150884</v>
      </c>
      <c r="K701" s="180">
        <f>(K644/K612)*AJ75</f>
        <v>351168.28892110771</v>
      </c>
      <c r="L701" s="180">
        <f>(L647/L612)*AJ80</f>
        <v>53409.7969882045</v>
      </c>
      <c r="M701" s="180">
        <f t="shared" si="20"/>
        <v>758620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336742</v>
      </c>
      <c r="D702" s="180">
        <f>(D615/D612)*AK76</f>
        <v>9449.5239508838204</v>
      </c>
      <c r="E702" s="180">
        <f>(E623/E612)*SUM(C702:D702)</f>
        <v>21082.920383099259</v>
      </c>
      <c r="F702" s="180">
        <f>(F624/F612)*AK64</f>
        <v>795.33484508117181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3494.0564921399482</v>
      </c>
      <c r="K702" s="180">
        <f>(K644/K612)*AK75</f>
        <v>68234.143438290223</v>
      </c>
      <c r="L702" s="180">
        <f>(L647/L612)*AK80</f>
        <v>0</v>
      </c>
      <c r="M702" s="180">
        <f t="shared" si="20"/>
        <v>103056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127721</v>
      </c>
      <c r="D703" s="180">
        <f>(D615/D612)*AL76</f>
        <v>1288.5714478477937</v>
      </c>
      <c r="E703" s="180">
        <f>(E623/E612)*SUM(C703:D703)</f>
        <v>7856.629453119187</v>
      </c>
      <c r="F703" s="180">
        <f>(F624/F612)*AL64</f>
        <v>502.7770040231826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34049.211567087143</v>
      </c>
      <c r="L703" s="180">
        <f>(L647/L612)*AL80</f>
        <v>0</v>
      </c>
      <c r="M703" s="180">
        <f t="shared" si="20"/>
        <v>43697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165039</v>
      </c>
      <c r="D713" s="180">
        <f>(D615/D612)*AV76</f>
        <v>26945.460720550531</v>
      </c>
      <c r="E713" s="180">
        <f>(E623/E612)*SUM(C713:D713)</f>
        <v>11691.77411962827</v>
      </c>
      <c r="F713" s="180">
        <f>(F624/F612)*AV64</f>
        <v>607.82980021054288</v>
      </c>
      <c r="G713" s="180">
        <f>(G625/G612)*AV77</f>
        <v>0</v>
      </c>
      <c r="H713" s="180">
        <f>(H628/H612)*AV60</f>
        <v>10832.039111184396</v>
      </c>
      <c r="I713" s="180">
        <f>(I629/I612)*AV78</f>
        <v>7098.5893706575398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57176</v>
      </c>
      <c r="N713" s="199" t="s">
        <v>741</v>
      </c>
    </row>
    <row r="715" spans="1:15" ht="12.6" customHeight="1" x14ac:dyDescent="0.25">
      <c r="C715" s="180">
        <f>SUM(C614:C647)+SUM(C668:C713)</f>
        <v>18156577</v>
      </c>
      <c r="D715" s="180">
        <f>SUM(D616:D647)+SUM(D668:D713)</f>
        <v>1061066.9999999998</v>
      </c>
      <c r="E715" s="180">
        <f>SUM(E624:E647)+SUM(E668:E713)</f>
        <v>1042255.1125624073</v>
      </c>
      <c r="F715" s="180">
        <f>SUM(F625:F648)+SUM(F668:F713)</f>
        <v>152383.33976690879</v>
      </c>
      <c r="G715" s="180">
        <f>SUM(G626:G647)+SUM(G668:G713)</f>
        <v>806621.9193833865</v>
      </c>
      <c r="H715" s="180">
        <f>SUM(H629:H647)+SUM(H668:H713)</f>
        <v>408427.46823433466</v>
      </c>
      <c r="I715" s="180">
        <f>SUM(I630:I647)+SUM(I668:I713)</f>
        <v>521928.3338553973</v>
      </c>
      <c r="J715" s="180">
        <f>SUM(J631:J647)+SUM(J668:J713)</f>
        <v>177165.71236649729</v>
      </c>
      <c r="K715" s="180">
        <f>SUM(K668:K713)</f>
        <v>2397077.0948197162</v>
      </c>
      <c r="L715" s="180">
        <f>SUM(L668:L713)</f>
        <v>435704.17177991604</v>
      </c>
      <c r="M715" s="180">
        <f>SUM(M668:M713)</f>
        <v>6033393</v>
      </c>
      <c r="N715" s="198" t="s">
        <v>742</v>
      </c>
    </row>
    <row r="716" spans="1:15" ht="12.6" customHeight="1" x14ac:dyDescent="0.25">
      <c r="C716" s="180">
        <f>CE71</f>
        <v>18156577</v>
      </c>
      <c r="D716" s="180">
        <f>D615</f>
        <v>1061067</v>
      </c>
      <c r="E716" s="180">
        <f>E623</f>
        <v>1042255.1125624073</v>
      </c>
      <c r="F716" s="180">
        <f>F624</f>
        <v>152383.33976690879</v>
      </c>
      <c r="G716" s="180">
        <f>G625</f>
        <v>806621.9193833865</v>
      </c>
      <c r="H716" s="180">
        <f>H628</f>
        <v>408427.46823433461</v>
      </c>
      <c r="I716" s="180">
        <f>I629</f>
        <v>521928.33385539736</v>
      </c>
      <c r="J716" s="180">
        <f>J630</f>
        <v>177165.71236649729</v>
      </c>
      <c r="K716" s="180">
        <f>K644</f>
        <v>2397077.0948197162</v>
      </c>
      <c r="L716" s="180">
        <f>L647</f>
        <v>435704.17177991604</v>
      </c>
      <c r="M716" s="180">
        <f>C648</f>
        <v>6033396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2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1792411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253733</v>
      </c>
      <c r="L48" s="195">
        <f>ROUND(((B48/CE61)*L61),0)</f>
        <v>265462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13331</v>
      </c>
      <c r="T48" s="195">
        <f>ROUND(((B48/CE61)*T61),0)</f>
        <v>0</v>
      </c>
      <c r="U48" s="195">
        <f>ROUND(((B48/CE61)*U61),0)</f>
        <v>84865</v>
      </c>
      <c r="V48" s="195">
        <f>ROUND(((B48/CE61)*V61),0)</f>
        <v>0</v>
      </c>
      <c r="W48" s="195">
        <f>ROUND(((B48/CE61)*W61),0)</f>
        <v>326</v>
      </c>
      <c r="X48" s="195">
        <f>ROUND(((B48/CE61)*X61),0)</f>
        <v>10158</v>
      </c>
      <c r="Y48" s="195">
        <f>ROUND(((B48/CE61)*Y61),0)</f>
        <v>74353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105808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307405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21106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113458</v>
      </c>
      <c r="AZ48" s="195">
        <f>ROUND(((B48/CE61)*AZ61),0)</f>
        <v>0</v>
      </c>
      <c r="BA48" s="195">
        <f>ROUND(((B48/CE61)*BA61),0)</f>
        <v>15949</v>
      </c>
      <c r="BB48" s="195">
        <f>ROUND(((B48/CE61)*BB61),0)</f>
        <v>23775</v>
      </c>
      <c r="BC48" s="195">
        <f>ROUND(((B48/CE61)*BC61),0)</f>
        <v>0</v>
      </c>
      <c r="BD48" s="195">
        <f>ROUND(((B48/CE61)*BD61),0)</f>
        <v>9580</v>
      </c>
      <c r="BE48" s="195">
        <f>ROUND(((B48/CE61)*BE61),0)</f>
        <v>43319</v>
      </c>
      <c r="BF48" s="195">
        <f>ROUND(((B48/CE61)*BF61),0)</f>
        <v>74275</v>
      </c>
      <c r="BG48" s="195">
        <f>ROUND(((B48/CE61)*BG61),0)</f>
        <v>0</v>
      </c>
      <c r="BH48" s="195">
        <f>ROUND(((B48/CE61)*BH61),0)</f>
        <v>34741</v>
      </c>
      <c r="BI48" s="195">
        <f>ROUND(((B48/CE61)*BI61),0)</f>
        <v>0</v>
      </c>
      <c r="BJ48" s="195">
        <f>ROUND(((B48/CE61)*BJ61),0)</f>
        <v>45582</v>
      </c>
      <c r="BK48" s="195">
        <f>ROUND(((B48/CE61)*BK61),0)</f>
        <v>72190</v>
      </c>
      <c r="BL48" s="195">
        <f>ROUND(((B48/CE61)*BL61),0)</f>
        <v>34650</v>
      </c>
      <c r="BM48" s="195">
        <f>ROUND(((B48/CE61)*BM61),0)</f>
        <v>0</v>
      </c>
      <c r="BN48" s="195">
        <f>ROUND(((B48/CE61)*BN61),0)</f>
        <v>46440</v>
      </c>
      <c r="BO48" s="195">
        <f>ROUND(((B48/CE61)*BO61),0)</f>
        <v>0</v>
      </c>
      <c r="BP48" s="195">
        <f>ROUND(((B48/CE61)*BP61),0)</f>
        <v>13684</v>
      </c>
      <c r="BQ48" s="195">
        <f>ROUND(((B48/CE61)*BQ61),0)</f>
        <v>0</v>
      </c>
      <c r="BR48" s="195">
        <f>ROUND(((B48/CE61)*BR61),0)</f>
        <v>22365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39284</v>
      </c>
      <c r="BW48" s="195">
        <f>ROUND(((B48/CE61)*BW61),0)</f>
        <v>0</v>
      </c>
      <c r="BX48" s="195">
        <f>ROUND(((B48/CE61)*BX61),0)</f>
        <v>10799</v>
      </c>
      <c r="BY48" s="195">
        <f>ROUND(((B48/CE61)*BY61),0)</f>
        <v>34685</v>
      </c>
      <c r="BZ48" s="195">
        <f>ROUND(((B48/CE61)*BZ61),0)</f>
        <v>0</v>
      </c>
      <c r="CA48" s="195">
        <f>ROUND(((B48/CE61)*CA61),0)</f>
        <v>21088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1792411</v>
      </c>
    </row>
    <row r="49" spans="1:84" ht="12.6" customHeight="1" x14ac:dyDescent="0.25">
      <c r="A49" s="175" t="s">
        <v>206</v>
      </c>
      <c r="B49" s="195">
        <f>B47+B48</f>
        <v>1792411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1337460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236968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293457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12922</v>
      </c>
      <c r="T52" s="195">
        <f>ROUND((B52/(CE76+CF76)*T76),0)</f>
        <v>0</v>
      </c>
      <c r="U52" s="195">
        <f>ROUND((B52/(CE76+CF76)*U76),0)</f>
        <v>20355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8793</v>
      </c>
      <c r="Y52" s="195">
        <f>ROUND((B52/(CE76+CF76)*Y76),0)</f>
        <v>23900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6384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49537</v>
      </c>
      <c r="AF52" s="195">
        <f>ROUND((B52/(CE76+CF76)*AF76),0)</f>
        <v>0</v>
      </c>
      <c r="AG52" s="195">
        <f>ROUND((B52/(CE76+CF76)*AG76),0)</f>
        <v>49968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95376</v>
      </c>
      <c r="AK52" s="195">
        <f>ROUND((B52/(CE76+CF76)*AK76),0)</f>
        <v>11356</v>
      </c>
      <c r="AL52" s="195">
        <f>ROUND((B52/(CE76+CF76)*AL76),0)</f>
        <v>1549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32641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23229</v>
      </c>
      <c r="AZ52" s="195">
        <f>ROUND((B52/(CE76+CF76)*AZ76),0)</f>
        <v>51017</v>
      </c>
      <c r="BA52" s="195">
        <f>ROUND((B52/(CE76+CF76)*BA76),0)</f>
        <v>24089</v>
      </c>
      <c r="BB52" s="195">
        <f>ROUND((B52/(CE76+CF76)*BB76),0)</f>
        <v>1549</v>
      </c>
      <c r="BC52" s="195">
        <f>ROUND((B52/(CE76+CF76)*BC76),0)</f>
        <v>0</v>
      </c>
      <c r="BD52" s="195">
        <f>ROUND((B52/(CE76+CF76)*BD76),0)</f>
        <v>41949</v>
      </c>
      <c r="BE52" s="195">
        <f>ROUND((B52/(CE76+CF76)*BE76),0)</f>
        <v>62012</v>
      </c>
      <c r="BF52" s="195">
        <f>ROUND((B52/(CE76+CF76)*BF76),0)</f>
        <v>26326</v>
      </c>
      <c r="BG52" s="195">
        <f>ROUND((B52/(CE76+CF76)*BG76),0)</f>
        <v>0</v>
      </c>
      <c r="BH52" s="195">
        <f>ROUND((B52/(CE76+CF76)*BH76),0)</f>
        <v>9257</v>
      </c>
      <c r="BI52" s="195">
        <f>ROUND((B52/(CE76+CF76)*BI76),0)</f>
        <v>0</v>
      </c>
      <c r="BJ52" s="195">
        <f>ROUND((B52/(CE76+CF76)*BJ76),0)</f>
        <v>12956</v>
      </c>
      <c r="BK52" s="195">
        <f>ROUND((B52/(CE76+CF76)*BK76),0)</f>
        <v>36426</v>
      </c>
      <c r="BL52" s="195">
        <f>ROUND((B52/(CE76+CF76)*BL76),0)</f>
        <v>67553</v>
      </c>
      <c r="BM52" s="195">
        <f>ROUND((B52/(CE76+CF76)*BM76),0)</f>
        <v>0</v>
      </c>
      <c r="BN52" s="195">
        <f>ROUND((B52/(CE76+CF76)*BN76),0)</f>
        <v>101897</v>
      </c>
      <c r="BO52" s="195">
        <f>ROUND((B52/(CE76+CF76)*BO76),0)</f>
        <v>0</v>
      </c>
      <c r="BP52" s="195">
        <f>ROUND((B52/(CE76+CF76)*BP76),0)</f>
        <v>1738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24244</v>
      </c>
      <c r="BW52" s="195">
        <f>ROUND((B52/(CE76+CF76)*BW76),0)</f>
        <v>0</v>
      </c>
      <c r="BX52" s="195">
        <f>ROUND((B52/(CE76+CF76)*BX76),0)</f>
        <v>1480</v>
      </c>
      <c r="BY52" s="195">
        <f>ROUND((B52/(CE76+CF76)*BY76),0)</f>
        <v>4456</v>
      </c>
      <c r="BZ52" s="195">
        <f>ROUND((B52/(CE76+CF76)*BZ76),0)</f>
        <v>0</v>
      </c>
      <c r="CA52" s="195">
        <f>ROUND((B52/(CE76+CF76)*CA76),0)</f>
        <v>4078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1337462</v>
      </c>
    </row>
    <row r="53" spans="1:84" ht="12.6" customHeight="1" x14ac:dyDescent="0.25">
      <c r="A53" s="175" t="s">
        <v>206</v>
      </c>
      <c r="B53" s="195">
        <f>B51+B52</f>
        <v>1337460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426</v>
      </c>
      <c r="F59" s="184"/>
      <c r="G59" s="184"/>
      <c r="H59" s="184"/>
      <c r="I59" s="184"/>
      <c r="J59" s="184"/>
      <c r="K59" s="184">
        <f>4353+10422</f>
        <v>14775</v>
      </c>
      <c r="L59" s="184">
        <v>5094</v>
      </c>
      <c r="M59" s="184"/>
      <c r="N59" s="184"/>
      <c r="O59" s="184"/>
      <c r="P59" s="185"/>
      <c r="Q59" s="185"/>
      <c r="R59" s="185"/>
      <c r="S59" s="248"/>
      <c r="T59" s="248"/>
      <c r="U59" s="224">
        <v>119005</v>
      </c>
      <c r="V59" s="185"/>
      <c r="W59" s="185">
        <v>2525.98</v>
      </c>
      <c r="X59" s="185">
        <v>9598</v>
      </c>
      <c r="Y59" s="185">
        <v>6018</v>
      </c>
      <c r="Z59" s="185"/>
      <c r="AA59" s="185"/>
      <c r="AB59" s="248"/>
      <c r="AC59" s="185"/>
      <c r="AD59" s="185"/>
      <c r="AE59" s="185">
        <v>20218</v>
      </c>
      <c r="AF59" s="185"/>
      <c r="AG59" s="185">
        <v>5023</v>
      </c>
      <c r="AH59" s="185"/>
      <c r="AI59" s="185">
        <v>172</v>
      </c>
      <c r="AJ59" s="185">
        <v>10135</v>
      </c>
      <c r="AK59" s="185">
        <v>6661</v>
      </c>
      <c r="AL59" s="185">
        <v>1658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76515</v>
      </c>
      <c r="AZ59" s="185"/>
      <c r="BA59" s="248"/>
      <c r="BB59" s="248"/>
      <c r="BC59" s="248"/>
      <c r="BD59" s="248"/>
      <c r="BE59" s="185">
        <v>77730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>
        <f>12.65+9.03</f>
        <v>21.68</v>
      </c>
      <c r="L60" s="187">
        <v>21.13</v>
      </c>
      <c r="M60" s="187"/>
      <c r="N60" s="187"/>
      <c r="O60" s="187"/>
      <c r="P60" s="221"/>
      <c r="Q60" s="221"/>
      <c r="R60" s="221"/>
      <c r="S60" s="221">
        <v>1.32</v>
      </c>
      <c r="T60" s="221"/>
      <c r="U60" s="221">
        <v>6.32</v>
      </c>
      <c r="V60" s="221"/>
      <c r="W60" s="221">
        <v>0.02</v>
      </c>
      <c r="X60" s="221">
        <v>0.55000000000000004</v>
      </c>
      <c r="Y60" s="221">
        <v>4.22</v>
      </c>
      <c r="Z60" s="221"/>
      <c r="AA60" s="221"/>
      <c r="AB60" s="221"/>
      <c r="AC60" s="221"/>
      <c r="AD60" s="221"/>
      <c r="AE60" s="221"/>
      <c r="AF60" s="221"/>
      <c r="AG60" s="221">
        <v>7.38</v>
      </c>
      <c r="AH60" s="221"/>
      <c r="AI60" s="221"/>
      <c r="AJ60" s="221">
        <v>16.34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2.81</v>
      </c>
      <c r="AW60" s="221"/>
      <c r="AX60" s="221"/>
      <c r="AY60" s="221">
        <v>13.7</v>
      </c>
      <c r="AZ60" s="221"/>
      <c r="BA60" s="221">
        <v>2.02</v>
      </c>
      <c r="BB60" s="221">
        <v>1.72</v>
      </c>
      <c r="BC60" s="221"/>
      <c r="BD60" s="221">
        <v>0.77</v>
      </c>
      <c r="BE60" s="221">
        <v>3.03</v>
      </c>
      <c r="BF60" s="221">
        <v>9.64</v>
      </c>
      <c r="BG60" s="221"/>
      <c r="BH60" s="221">
        <v>2.04</v>
      </c>
      <c r="BI60" s="221"/>
      <c r="BJ60" s="221">
        <f>2.18-0.05</f>
        <v>2.1300000000000003</v>
      </c>
      <c r="BK60" s="221">
        <f>5.98-0.02</f>
        <v>5.9600000000000009</v>
      </c>
      <c r="BL60" s="221">
        <v>4.25</v>
      </c>
      <c r="BM60" s="221"/>
      <c r="BN60" s="221">
        <v>2</v>
      </c>
      <c r="BO60" s="221"/>
      <c r="BP60" s="221">
        <v>0.94</v>
      </c>
      <c r="BQ60" s="221"/>
      <c r="BR60" s="221">
        <v>1.1499999999999999</v>
      </c>
      <c r="BS60" s="221"/>
      <c r="BT60" s="221"/>
      <c r="BU60" s="221"/>
      <c r="BV60" s="221">
        <v>3.78</v>
      </c>
      <c r="BW60" s="221"/>
      <c r="BX60" s="221">
        <v>0.56999999999999995</v>
      </c>
      <c r="BY60" s="221">
        <v>2.27</v>
      </c>
      <c r="BZ60" s="221"/>
      <c r="CA60" s="221">
        <v>1</v>
      </c>
      <c r="CB60" s="221"/>
      <c r="CC60" s="221"/>
      <c r="CD60" s="249" t="s">
        <v>221</v>
      </c>
      <c r="CE60" s="251">
        <f t="shared" ref="CE60:CE70" si="0">SUM(C60:CD60)</f>
        <v>138.74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>
        <f>639880+401733</f>
        <v>1041613</v>
      </c>
      <c r="L61" s="185">
        <f>1089765-4</f>
        <v>1089761</v>
      </c>
      <c r="M61" s="184"/>
      <c r="N61" s="184"/>
      <c r="O61" s="184"/>
      <c r="P61" s="185"/>
      <c r="Q61" s="185"/>
      <c r="R61" s="185"/>
      <c r="S61" s="185">
        <v>54726</v>
      </c>
      <c r="T61" s="185"/>
      <c r="U61" s="185">
        <v>348385</v>
      </c>
      <c r="V61" s="185"/>
      <c r="W61" s="185">
        <v>1339</v>
      </c>
      <c r="X61" s="185">
        <v>41701</v>
      </c>
      <c r="Y61" s="185">
        <v>305230</v>
      </c>
      <c r="Z61" s="185"/>
      <c r="AA61" s="185"/>
      <c r="AB61" s="185"/>
      <c r="AC61" s="185"/>
      <c r="AD61" s="185"/>
      <c r="AE61" s="185"/>
      <c r="AF61" s="185"/>
      <c r="AG61" s="185">
        <v>434358</v>
      </c>
      <c r="AH61" s="185"/>
      <c r="AI61" s="185"/>
      <c r="AJ61" s="185">
        <v>1261945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86643</v>
      </c>
      <c r="AW61" s="185"/>
      <c r="AX61" s="185"/>
      <c r="AY61" s="185">
        <v>465764</v>
      </c>
      <c r="AZ61" s="185"/>
      <c r="BA61" s="185">
        <v>65473</v>
      </c>
      <c r="BB61" s="185">
        <v>97600</v>
      </c>
      <c r="BC61" s="185"/>
      <c r="BD61" s="185">
        <v>39327</v>
      </c>
      <c r="BE61" s="185">
        <v>177833</v>
      </c>
      <c r="BF61" s="185">
        <v>304911</v>
      </c>
      <c r="BG61" s="185"/>
      <c r="BH61" s="185">
        <v>142618</v>
      </c>
      <c r="BI61" s="185"/>
      <c r="BJ61" s="185">
        <v>187120</v>
      </c>
      <c r="BK61" s="185">
        <v>296351</v>
      </c>
      <c r="BL61" s="185">
        <v>142242</v>
      </c>
      <c r="BM61" s="185"/>
      <c r="BN61" s="185">
        <v>190642</v>
      </c>
      <c r="BO61" s="185"/>
      <c r="BP61" s="185">
        <v>56175</v>
      </c>
      <c r="BQ61" s="185"/>
      <c r="BR61" s="185">
        <v>91813</v>
      </c>
      <c r="BS61" s="185"/>
      <c r="BT61" s="185"/>
      <c r="BU61" s="185"/>
      <c r="BV61" s="185">
        <v>161267</v>
      </c>
      <c r="BW61" s="185"/>
      <c r="BX61" s="185">
        <v>44331</v>
      </c>
      <c r="BY61" s="185">
        <v>142386</v>
      </c>
      <c r="BZ61" s="185"/>
      <c r="CA61" s="185">
        <v>86569</v>
      </c>
      <c r="CB61" s="185"/>
      <c r="CC61" s="185"/>
      <c r="CD61" s="249" t="s">
        <v>221</v>
      </c>
      <c r="CE61" s="195">
        <f t="shared" si="0"/>
        <v>7358123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253733</v>
      </c>
      <c r="L62" s="195">
        <f t="shared" si="1"/>
        <v>265462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13331</v>
      </c>
      <c r="T62" s="195">
        <f t="shared" si="1"/>
        <v>0</v>
      </c>
      <c r="U62" s="195">
        <f t="shared" si="1"/>
        <v>84865</v>
      </c>
      <c r="V62" s="195">
        <f t="shared" si="1"/>
        <v>0</v>
      </c>
      <c r="W62" s="195">
        <f t="shared" si="1"/>
        <v>326</v>
      </c>
      <c r="X62" s="195">
        <f t="shared" si="1"/>
        <v>10158</v>
      </c>
      <c r="Y62" s="195">
        <f t="shared" si="1"/>
        <v>74353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105808</v>
      </c>
      <c r="AH62" s="195">
        <f t="shared" si="1"/>
        <v>0</v>
      </c>
      <c r="AI62" s="195">
        <f t="shared" si="1"/>
        <v>0</v>
      </c>
      <c r="AJ62" s="195">
        <f t="shared" si="1"/>
        <v>307405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21106</v>
      </c>
      <c r="AW62" s="195">
        <f t="shared" si="1"/>
        <v>0</v>
      </c>
      <c r="AX62" s="195">
        <f t="shared" si="1"/>
        <v>0</v>
      </c>
      <c r="AY62" s="195">
        <f>ROUND(AY47+AY48,0)</f>
        <v>113458</v>
      </c>
      <c r="AZ62" s="195">
        <f>ROUND(AZ47+AZ48,0)</f>
        <v>0</v>
      </c>
      <c r="BA62" s="195">
        <f>ROUND(BA47+BA48,0)</f>
        <v>15949</v>
      </c>
      <c r="BB62" s="195">
        <f t="shared" si="1"/>
        <v>23775</v>
      </c>
      <c r="BC62" s="195">
        <f t="shared" si="1"/>
        <v>0</v>
      </c>
      <c r="BD62" s="195">
        <f t="shared" si="1"/>
        <v>9580</v>
      </c>
      <c r="BE62" s="195">
        <f t="shared" si="1"/>
        <v>43319</v>
      </c>
      <c r="BF62" s="195">
        <f t="shared" si="1"/>
        <v>74275</v>
      </c>
      <c r="BG62" s="195">
        <f t="shared" si="1"/>
        <v>0</v>
      </c>
      <c r="BH62" s="195">
        <f t="shared" si="1"/>
        <v>34741</v>
      </c>
      <c r="BI62" s="195">
        <f t="shared" si="1"/>
        <v>0</v>
      </c>
      <c r="BJ62" s="195">
        <f t="shared" si="1"/>
        <v>45582</v>
      </c>
      <c r="BK62" s="195">
        <f t="shared" si="1"/>
        <v>72190</v>
      </c>
      <c r="BL62" s="195">
        <f t="shared" si="1"/>
        <v>34650</v>
      </c>
      <c r="BM62" s="195">
        <f t="shared" si="1"/>
        <v>0</v>
      </c>
      <c r="BN62" s="195">
        <f t="shared" si="1"/>
        <v>46440</v>
      </c>
      <c r="BO62" s="195">
        <f t="shared" ref="BO62:CC62" si="2">ROUND(BO47+BO48,0)</f>
        <v>0</v>
      </c>
      <c r="BP62" s="195">
        <f t="shared" si="2"/>
        <v>13684</v>
      </c>
      <c r="BQ62" s="195">
        <f t="shared" si="2"/>
        <v>0</v>
      </c>
      <c r="BR62" s="195">
        <f t="shared" si="2"/>
        <v>22365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39284</v>
      </c>
      <c r="BW62" s="195">
        <f t="shared" si="2"/>
        <v>0</v>
      </c>
      <c r="BX62" s="195">
        <f t="shared" si="2"/>
        <v>10799</v>
      </c>
      <c r="BY62" s="195">
        <f t="shared" si="2"/>
        <v>34685</v>
      </c>
      <c r="BZ62" s="195">
        <f t="shared" si="2"/>
        <v>0</v>
      </c>
      <c r="CA62" s="195">
        <f t="shared" si="2"/>
        <v>21088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1792411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f>111989+98403</f>
        <v>210392</v>
      </c>
      <c r="L63" s="185">
        <f>407455-1</f>
        <v>407454</v>
      </c>
      <c r="M63" s="184"/>
      <c r="N63" s="184"/>
      <c r="O63" s="184"/>
      <c r="P63" s="185"/>
      <c r="Q63" s="185"/>
      <c r="R63" s="185"/>
      <c r="S63" s="185"/>
      <c r="T63" s="185"/>
      <c r="U63" s="185">
        <v>7269</v>
      </c>
      <c r="V63" s="185"/>
      <c r="W63" s="185"/>
      <c r="X63" s="185"/>
      <c r="Y63" s="185">
        <v>270955</v>
      </c>
      <c r="Z63" s="185"/>
      <c r="AA63" s="185"/>
      <c r="AB63" s="185">
        <v>170363</v>
      </c>
      <c r="AC63" s="185"/>
      <c r="AD63" s="185"/>
      <c r="AE63" s="185">
        <v>621719</v>
      </c>
      <c r="AF63" s="185"/>
      <c r="AG63" s="185">
        <f>102934+1330679</f>
        <v>1433613</v>
      </c>
      <c r="AH63" s="185"/>
      <c r="AI63" s="185"/>
      <c r="AJ63" s="185">
        <v>130795</v>
      </c>
      <c r="AK63" s="185">
        <v>209299</v>
      </c>
      <c r="AL63" s="185">
        <v>112846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19816</v>
      </c>
      <c r="AZ63" s="185"/>
      <c r="BA63" s="185"/>
      <c r="BB63" s="185"/>
      <c r="BC63" s="185"/>
      <c r="BD63" s="185"/>
      <c r="BE63" s="185">
        <v>7120</v>
      </c>
      <c r="BF63" s="185"/>
      <c r="BG63" s="185"/>
      <c r="BH63" s="185">
        <v>150</v>
      </c>
      <c r="BI63" s="185"/>
      <c r="BJ63" s="185">
        <v>84753</v>
      </c>
      <c r="BK63" s="185">
        <v>54087</v>
      </c>
      <c r="BL63" s="185">
        <v>750</v>
      </c>
      <c r="BM63" s="185"/>
      <c r="BN63" s="185">
        <v>69645</v>
      </c>
      <c r="BO63" s="185"/>
      <c r="BP63" s="185">
        <v>5476</v>
      </c>
      <c r="BQ63" s="185"/>
      <c r="BR63" s="185">
        <v>4468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3820970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14393</v>
      </c>
      <c r="F64" s="185"/>
      <c r="G64" s="184"/>
      <c r="H64" s="184"/>
      <c r="I64" s="185"/>
      <c r="J64" s="185"/>
      <c r="K64" s="185">
        <f>20737+10617</f>
        <v>31354</v>
      </c>
      <c r="L64" s="185">
        <v>73341</v>
      </c>
      <c r="M64" s="184"/>
      <c r="N64" s="184"/>
      <c r="O64" s="184"/>
      <c r="P64" s="185"/>
      <c r="Q64" s="185"/>
      <c r="R64" s="185"/>
      <c r="S64" s="185">
        <v>22775</v>
      </c>
      <c r="T64" s="185">
        <v>738</v>
      </c>
      <c r="U64" s="185">
        <f>278796+4556-1</f>
        <v>283351</v>
      </c>
      <c r="V64" s="185"/>
      <c r="W64" s="185"/>
      <c r="X64" s="185">
        <v>15525</v>
      </c>
      <c r="Y64" s="185">
        <v>6790</v>
      </c>
      <c r="Z64" s="185"/>
      <c r="AA64" s="185"/>
      <c r="AB64" s="185">
        <f>144917+134047</f>
        <v>278964</v>
      </c>
      <c r="AC64" s="185"/>
      <c r="AD64" s="185"/>
      <c r="AE64" s="185">
        <v>9570</v>
      </c>
      <c r="AF64" s="185"/>
      <c r="AG64" s="185">
        <v>39214</v>
      </c>
      <c r="AH64" s="185"/>
      <c r="AI64" s="185"/>
      <c r="AJ64" s="185">
        <v>108003</v>
      </c>
      <c r="AK64" s="185">
        <v>6846</v>
      </c>
      <c r="AL64" s="185">
        <v>2555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3495</v>
      </c>
      <c r="AW64" s="185"/>
      <c r="AX64" s="185"/>
      <c r="AY64" s="185">
        <v>261978</v>
      </c>
      <c r="AZ64" s="185"/>
      <c r="BA64" s="185">
        <v>14275</v>
      </c>
      <c r="BB64" s="185">
        <v>134</v>
      </c>
      <c r="BC64" s="185"/>
      <c r="BD64" s="185">
        <v>7070</v>
      </c>
      <c r="BE64" s="185">
        <v>22028</v>
      </c>
      <c r="BF64" s="185">
        <v>28147</v>
      </c>
      <c r="BG64" s="185"/>
      <c r="BH64" s="185">
        <v>20263</v>
      </c>
      <c r="BI64" s="185">
        <v>13655</v>
      </c>
      <c r="BJ64" s="185">
        <v>855</v>
      </c>
      <c r="BK64" s="185">
        <v>4037</v>
      </c>
      <c r="BL64" s="185">
        <v>1286</v>
      </c>
      <c r="BM64" s="185"/>
      <c r="BN64" s="185">
        <v>217</v>
      </c>
      <c r="BO64" s="185"/>
      <c r="BP64" s="185">
        <v>984</v>
      </c>
      <c r="BQ64" s="185"/>
      <c r="BR64" s="185">
        <v>701</v>
      </c>
      <c r="BS64" s="185"/>
      <c r="BT64" s="185"/>
      <c r="BU64" s="185"/>
      <c r="BV64" s="185">
        <v>1470</v>
      </c>
      <c r="BW64" s="185">
        <v>6</v>
      </c>
      <c r="BX64" s="185">
        <v>22</v>
      </c>
      <c r="BY64" s="185">
        <v>2190</v>
      </c>
      <c r="BZ64" s="185"/>
      <c r="CA64" s="185">
        <v>6712</v>
      </c>
      <c r="CB64" s="185"/>
      <c r="CC64" s="185"/>
      <c r="CD64" s="249" t="s">
        <v>221</v>
      </c>
      <c r="CE64" s="195">
        <f t="shared" si="0"/>
        <v>1282944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184652</v>
      </c>
      <c r="BF65" s="185"/>
      <c r="BG65" s="185"/>
      <c r="BH65" s="185">
        <v>38486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223138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f>430.31+5853.33</f>
        <v>6283.64</v>
      </c>
      <c r="F66" s="184"/>
      <c r="G66" s="184"/>
      <c r="H66" s="184"/>
      <c r="I66" s="184"/>
      <c r="J66" s="184"/>
      <c r="K66" s="185">
        <f>4228+3080</f>
        <v>7308</v>
      </c>
      <c r="L66" s="185">
        <f>11925.81+1195.79</f>
        <v>13121.599999999999</v>
      </c>
      <c r="M66" s="184"/>
      <c r="N66" s="184"/>
      <c r="O66" s="185"/>
      <c r="P66" s="185"/>
      <c r="Q66" s="185"/>
      <c r="R66" s="185"/>
      <c r="S66" s="184"/>
      <c r="T66" s="184">
        <f>1795.2+1364.94</f>
        <v>3160.1400000000003</v>
      </c>
      <c r="U66" s="185">
        <f>33139+5843</f>
        <v>38982</v>
      </c>
      <c r="V66" s="185"/>
      <c r="W66" s="185">
        <v>95415</v>
      </c>
      <c r="X66" s="185">
        <v>25087</v>
      </c>
      <c r="Y66" s="185">
        <v>107817</v>
      </c>
      <c r="Z66" s="185"/>
      <c r="AA66" s="185"/>
      <c r="AB66" s="185">
        <f>7408+235141</f>
        <v>242549</v>
      </c>
      <c r="AC66" s="185"/>
      <c r="AD66" s="185"/>
      <c r="AE66" s="185"/>
      <c r="AF66" s="185"/>
      <c r="AG66" s="185">
        <v>812</v>
      </c>
      <c r="AH66" s="185"/>
      <c r="AI66" s="185"/>
      <c r="AJ66" s="185">
        <v>105466</v>
      </c>
      <c r="AK66" s="185"/>
      <c r="AL66" s="185">
        <v>250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1748</v>
      </c>
      <c r="AZ66" s="185"/>
      <c r="BA66" s="185"/>
      <c r="BB66" s="185"/>
      <c r="BC66" s="185"/>
      <c r="BD66" s="185"/>
      <c r="BE66" s="185">
        <v>58413</v>
      </c>
      <c r="BF66" s="185"/>
      <c r="BG66" s="185"/>
      <c r="BH66" s="185">
        <f>434803+3</f>
        <v>434806</v>
      </c>
      <c r="BI66" s="185"/>
      <c r="BJ66" s="185"/>
      <c r="BK66" s="185">
        <v>43375</v>
      </c>
      <c r="BL66" s="185"/>
      <c r="BM66" s="185"/>
      <c r="BN66" s="185">
        <v>37</v>
      </c>
      <c r="BO66" s="185"/>
      <c r="BP66" s="185">
        <v>28915</v>
      </c>
      <c r="BQ66" s="185"/>
      <c r="BR66" s="185">
        <v>12960</v>
      </c>
      <c r="BS66" s="185"/>
      <c r="BT66" s="185"/>
      <c r="BU66" s="185"/>
      <c r="BV66" s="185">
        <v>31111</v>
      </c>
      <c r="BW66" s="185"/>
      <c r="BX66" s="185">
        <v>3436</v>
      </c>
      <c r="BY66" s="185"/>
      <c r="BZ66" s="185"/>
      <c r="CA66" s="185"/>
      <c r="CB66" s="185"/>
      <c r="CC66" s="185"/>
      <c r="CD66" s="249" t="s">
        <v>221</v>
      </c>
      <c r="CE66" s="195">
        <f t="shared" si="0"/>
        <v>1261052.3799999999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236968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293457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12922</v>
      </c>
      <c r="T67" s="195">
        <f t="shared" si="3"/>
        <v>0</v>
      </c>
      <c r="U67" s="195">
        <f t="shared" si="3"/>
        <v>20355</v>
      </c>
      <c r="V67" s="195">
        <f t="shared" si="3"/>
        <v>0</v>
      </c>
      <c r="W67" s="195">
        <f t="shared" si="3"/>
        <v>0</v>
      </c>
      <c r="X67" s="195">
        <f t="shared" si="3"/>
        <v>8793</v>
      </c>
      <c r="Y67" s="195">
        <f t="shared" si="3"/>
        <v>23900</v>
      </c>
      <c r="Z67" s="195">
        <f t="shared" si="3"/>
        <v>0</v>
      </c>
      <c r="AA67" s="195">
        <f t="shared" si="3"/>
        <v>0</v>
      </c>
      <c r="AB67" s="195">
        <f t="shared" si="3"/>
        <v>6384</v>
      </c>
      <c r="AC67" s="195">
        <f t="shared" si="3"/>
        <v>0</v>
      </c>
      <c r="AD67" s="195">
        <f t="shared" si="3"/>
        <v>0</v>
      </c>
      <c r="AE67" s="195">
        <f t="shared" si="3"/>
        <v>49537</v>
      </c>
      <c r="AF67" s="195">
        <f t="shared" si="3"/>
        <v>0</v>
      </c>
      <c r="AG67" s="195">
        <f t="shared" si="3"/>
        <v>49968</v>
      </c>
      <c r="AH67" s="195">
        <f t="shared" si="3"/>
        <v>0</v>
      </c>
      <c r="AI67" s="195">
        <f t="shared" si="3"/>
        <v>0</v>
      </c>
      <c r="AJ67" s="195">
        <f t="shared" si="3"/>
        <v>95376</v>
      </c>
      <c r="AK67" s="195">
        <f t="shared" si="3"/>
        <v>11356</v>
      </c>
      <c r="AL67" s="195">
        <f t="shared" si="3"/>
        <v>1549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32641</v>
      </c>
      <c r="AW67" s="195">
        <f t="shared" si="3"/>
        <v>0</v>
      </c>
      <c r="AX67" s="195">
        <f t="shared" si="3"/>
        <v>0</v>
      </c>
      <c r="AY67" s="195">
        <f t="shared" si="3"/>
        <v>23229</v>
      </c>
      <c r="AZ67" s="195">
        <f>ROUND(AZ51+AZ52,0)</f>
        <v>51017</v>
      </c>
      <c r="BA67" s="195">
        <f>ROUND(BA51+BA52,0)</f>
        <v>24089</v>
      </c>
      <c r="BB67" s="195">
        <f t="shared" si="3"/>
        <v>1549</v>
      </c>
      <c r="BC67" s="195">
        <f t="shared" si="3"/>
        <v>0</v>
      </c>
      <c r="BD67" s="195">
        <f t="shared" si="3"/>
        <v>41949</v>
      </c>
      <c r="BE67" s="195">
        <f t="shared" si="3"/>
        <v>62012</v>
      </c>
      <c r="BF67" s="195">
        <f t="shared" si="3"/>
        <v>26326</v>
      </c>
      <c r="BG67" s="195">
        <f t="shared" si="3"/>
        <v>0</v>
      </c>
      <c r="BH67" s="195">
        <f t="shared" si="3"/>
        <v>9257</v>
      </c>
      <c r="BI67" s="195">
        <f t="shared" si="3"/>
        <v>0</v>
      </c>
      <c r="BJ67" s="195">
        <f t="shared" si="3"/>
        <v>12956</v>
      </c>
      <c r="BK67" s="195">
        <f t="shared" si="3"/>
        <v>36426</v>
      </c>
      <c r="BL67" s="195">
        <f t="shared" si="3"/>
        <v>67553</v>
      </c>
      <c r="BM67" s="195">
        <f t="shared" si="3"/>
        <v>0</v>
      </c>
      <c r="BN67" s="195">
        <f t="shared" si="3"/>
        <v>101897</v>
      </c>
      <c r="BO67" s="195">
        <f t="shared" si="3"/>
        <v>0</v>
      </c>
      <c r="BP67" s="195">
        <f t="shared" si="3"/>
        <v>1738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24244</v>
      </c>
      <c r="BW67" s="195">
        <f t="shared" si="4"/>
        <v>0</v>
      </c>
      <c r="BX67" s="195">
        <f t="shared" si="4"/>
        <v>1480</v>
      </c>
      <c r="BY67" s="195">
        <f t="shared" si="4"/>
        <v>4456</v>
      </c>
      <c r="BZ67" s="195">
        <f t="shared" si="4"/>
        <v>0</v>
      </c>
      <c r="CA67" s="195">
        <f t="shared" si="4"/>
        <v>4078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1337462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8142</v>
      </c>
      <c r="V68" s="185"/>
      <c r="W68" s="185"/>
      <c r="X68" s="185">
        <f>146357-1</f>
        <v>146356</v>
      </c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1522</v>
      </c>
      <c r="BF68" s="185"/>
      <c r="BG68" s="185"/>
      <c r="BH68" s="185">
        <v>42513</v>
      </c>
      <c r="BI68" s="185"/>
      <c r="BJ68" s="185"/>
      <c r="BK68" s="185">
        <v>2802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201335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>
        <f>265+1585</f>
        <v>1850</v>
      </c>
      <c r="L69" s="185">
        <v>4555</v>
      </c>
      <c r="M69" s="184"/>
      <c r="N69" s="184"/>
      <c r="O69" s="184"/>
      <c r="P69" s="185"/>
      <c r="Q69" s="185"/>
      <c r="R69" s="224"/>
      <c r="S69" s="185">
        <v>100</v>
      </c>
      <c r="T69" s="184"/>
      <c r="U69" s="185">
        <f>12909+1057</f>
        <v>13966</v>
      </c>
      <c r="V69" s="185"/>
      <c r="W69" s="184"/>
      <c r="X69" s="185"/>
      <c r="Y69" s="185">
        <v>1131</v>
      </c>
      <c r="Z69" s="185"/>
      <c r="AA69" s="185"/>
      <c r="AB69" s="185">
        <v>4775</v>
      </c>
      <c r="AC69" s="185"/>
      <c r="AD69" s="185"/>
      <c r="AE69" s="185"/>
      <c r="AF69" s="185"/>
      <c r="AG69" s="185">
        <v>4341</v>
      </c>
      <c r="AH69" s="185"/>
      <c r="AI69" s="185"/>
      <c r="AJ69" s="185">
        <f>6194.28+231.1+8720.6+1010.5</f>
        <v>16156.48</v>
      </c>
      <c r="AK69" s="185"/>
      <c r="AL69" s="185">
        <v>991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1257</v>
      </c>
      <c r="AW69" s="185"/>
      <c r="AX69" s="185"/>
      <c r="AY69" s="185">
        <v>367</v>
      </c>
      <c r="AZ69" s="185"/>
      <c r="BA69" s="185"/>
      <c r="BB69" s="185">
        <v>54</v>
      </c>
      <c r="BC69" s="185"/>
      <c r="BD69" s="185">
        <v>683</v>
      </c>
      <c r="BE69" s="185">
        <v>302</v>
      </c>
      <c r="BF69" s="185"/>
      <c r="BG69" s="185"/>
      <c r="BH69" s="224">
        <v>983</v>
      </c>
      <c r="BI69" s="185"/>
      <c r="BJ69" s="185">
        <v>1424</v>
      </c>
      <c r="BK69" s="185">
        <v>33785</v>
      </c>
      <c r="BL69" s="185">
        <v>19</v>
      </c>
      <c r="BM69" s="185"/>
      <c r="BN69" s="185">
        <v>88431</v>
      </c>
      <c r="BO69" s="185"/>
      <c r="BP69" s="185">
        <v>10626</v>
      </c>
      <c r="BQ69" s="185"/>
      <c r="BR69" s="185">
        <v>2372</v>
      </c>
      <c r="BS69" s="185"/>
      <c r="BT69" s="185"/>
      <c r="BU69" s="185"/>
      <c r="BV69" s="185">
        <v>526</v>
      </c>
      <c r="BW69" s="185">
        <v>2049</v>
      </c>
      <c r="BX69" s="185">
        <v>2740</v>
      </c>
      <c r="BY69" s="185">
        <v>95</v>
      </c>
      <c r="BZ69" s="185"/>
      <c r="CA69" s="185">
        <v>2039</v>
      </c>
      <c r="CB69" s="185"/>
      <c r="CC69" s="185">
        <v>-504</v>
      </c>
      <c r="CD69" s="188">
        <v>943435</v>
      </c>
      <c r="CE69" s="195">
        <f t="shared" si="0"/>
        <v>1138548.48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2156</v>
      </c>
      <c r="T70" s="184"/>
      <c r="U70" s="185">
        <v>24186</v>
      </c>
      <c r="V70" s="184"/>
      <c r="W70" s="184"/>
      <c r="X70" s="185"/>
      <c r="Y70" s="185"/>
      <c r="Z70" s="185"/>
      <c r="AA70" s="185"/>
      <c r="AB70" s="185">
        <v>854776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84958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50315</v>
      </c>
      <c r="BO70" s="185"/>
      <c r="BP70" s="185"/>
      <c r="BQ70" s="185"/>
      <c r="BR70" s="185"/>
      <c r="BS70" s="185"/>
      <c r="BT70" s="185"/>
      <c r="BU70" s="185"/>
      <c r="BV70" s="185">
        <v>4882</v>
      </c>
      <c r="BW70" s="185"/>
      <c r="BX70" s="185"/>
      <c r="BY70" s="185"/>
      <c r="BZ70" s="185"/>
      <c r="CA70" s="185"/>
      <c r="CB70" s="185"/>
      <c r="CC70" s="185"/>
      <c r="CD70" s="188">
        <f>1305817-1021273</f>
        <v>284544</v>
      </c>
      <c r="CE70" s="195">
        <f t="shared" si="0"/>
        <v>1305817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257644.64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1839707</v>
      </c>
      <c r="L71" s="195">
        <f t="shared" si="5"/>
        <v>1853694.6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101698</v>
      </c>
      <c r="T71" s="195">
        <f t="shared" si="5"/>
        <v>3898.1400000000003</v>
      </c>
      <c r="U71" s="195">
        <f t="shared" si="5"/>
        <v>781129</v>
      </c>
      <c r="V71" s="195">
        <f t="shared" si="5"/>
        <v>0</v>
      </c>
      <c r="W71" s="195">
        <f t="shared" si="5"/>
        <v>97080</v>
      </c>
      <c r="X71" s="195">
        <f t="shared" si="5"/>
        <v>247620</v>
      </c>
      <c r="Y71" s="195">
        <f t="shared" si="5"/>
        <v>790176</v>
      </c>
      <c r="Z71" s="195">
        <f t="shared" si="5"/>
        <v>0</v>
      </c>
      <c r="AA71" s="195">
        <f t="shared" si="5"/>
        <v>0</v>
      </c>
      <c r="AB71" s="195">
        <f t="shared" si="5"/>
        <v>-151741</v>
      </c>
      <c r="AC71" s="195">
        <f t="shared" si="5"/>
        <v>0</v>
      </c>
      <c r="AD71" s="195">
        <f t="shared" si="5"/>
        <v>0</v>
      </c>
      <c r="AE71" s="195">
        <f t="shared" si="5"/>
        <v>680826</v>
      </c>
      <c r="AF71" s="195">
        <f t="shared" si="5"/>
        <v>0</v>
      </c>
      <c r="AG71" s="195">
        <f t="shared" si="5"/>
        <v>2068114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2025146.48</v>
      </c>
      <c r="AK71" s="195">
        <f t="shared" si="6"/>
        <v>227501</v>
      </c>
      <c r="AL71" s="195">
        <f t="shared" si="6"/>
        <v>118191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145142</v>
      </c>
      <c r="AW71" s="195">
        <f t="shared" si="6"/>
        <v>0</v>
      </c>
      <c r="AX71" s="195">
        <f t="shared" si="6"/>
        <v>0</v>
      </c>
      <c r="AY71" s="195">
        <f t="shared" si="6"/>
        <v>801402</v>
      </c>
      <c r="AZ71" s="195">
        <f t="shared" si="6"/>
        <v>51017</v>
      </c>
      <c r="BA71" s="195">
        <f t="shared" si="6"/>
        <v>119786</v>
      </c>
      <c r="BB71" s="195">
        <f t="shared" si="6"/>
        <v>123112</v>
      </c>
      <c r="BC71" s="195">
        <f t="shared" si="6"/>
        <v>0</v>
      </c>
      <c r="BD71" s="195">
        <f t="shared" si="6"/>
        <v>98609</v>
      </c>
      <c r="BE71" s="195">
        <f t="shared" si="6"/>
        <v>557201</v>
      </c>
      <c r="BF71" s="195">
        <f t="shared" si="6"/>
        <v>433659</v>
      </c>
      <c r="BG71" s="195">
        <f t="shared" si="6"/>
        <v>0</v>
      </c>
      <c r="BH71" s="195">
        <f t="shared" si="6"/>
        <v>723817</v>
      </c>
      <c r="BI71" s="195">
        <f t="shared" si="6"/>
        <v>13655</v>
      </c>
      <c r="BJ71" s="195">
        <f t="shared" si="6"/>
        <v>332690</v>
      </c>
      <c r="BK71" s="195">
        <f t="shared" si="6"/>
        <v>543053</v>
      </c>
      <c r="BL71" s="195">
        <f t="shared" si="6"/>
        <v>246500</v>
      </c>
      <c r="BM71" s="195">
        <f t="shared" si="6"/>
        <v>0</v>
      </c>
      <c r="BN71" s="195">
        <f t="shared" si="6"/>
        <v>446994</v>
      </c>
      <c r="BO71" s="195">
        <f t="shared" si="6"/>
        <v>0</v>
      </c>
      <c r="BP71" s="195">
        <f t="shared" ref="BP71:CC71" si="7">SUM(BP61:BP69)-BP70</f>
        <v>117598</v>
      </c>
      <c r="BQ71" s="195">
        <f t="shared" si="7"/>
        <v>0</v>
      </c>
      <c r="BR71" s="195">
        <f t="shared" si="7"/>
        <v>134679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253020</v>
      </c>
      <c r="BW71" s="195">
        <f t="shared" si="7"/>
        <v>2055</v>
      </c>
      <c r="BX71" s="195">
        <f t="shared" si="7"/>
        <v>62808</v>
      </c>
      <c r="BY71" s="195">
        <f t="shared" si="7"/>
        <v>183812</v>
      </c>
      <c r="BZ71" s="195">
        <f t="shared" si="7"/>
        <v>0</v>
      </c>
      <c r="CA71" s="195">
        <f t="shared" si="7"/>
        <v>120486</v>
      </c>
      <c r="CB71" s="195">
        <f t="shared" si="7"/>
        <v>0</v>
      </c>
      <c r="CC71" s="195">
        <f t="shared" si="7"/>
        <v>-504</v>
      </c>
      <c r="CD71" s="245">
        <f>CD69-CD70</f>
        <v>658891</v>
      </c>
      <c r="CE71" s="195">
        <f>SUM(CE61:CE69)-CE70</f>
        <v>17110166.859999999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479315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630860</v>
      </c>
      <c r="F73" s="185"/>
      <c r="G73" s="184"/>
      <c r="H73" s="184"/>
      <c r="I73" s="185"/>
      <c r="J73" s="185"/>
      <c r="K73" s="185">
        <f>1034512+1044584</f>
        <v>2079096</v>
      </c>
      <c r="L73" s="185">
        <f>1452623-3</f>
        <v>1452620</v>
      </c>
      <c r="M73" s="184"/>
      <c r="N73" s="184"/>
      <c r="O73" s="184"/>
      <c r="P73" s="185"/>
      <c r="Q73" s="185"/>
      <c r="R73" s="185"/>
      <c r="S73" s="185">
        <v>20412</v>
      </c>
      <c r="T73" s="185">
        <v>21005</v>
      </c>
      <c r="U73" s="185">
        <f>213906+4133</f>
        <v>218039</v>
      </c>
      <c r="V73" s="185">
        <v>3606</v>
      </c>
      <c r="W73" s="185">
        <v>19797</v>
      </c>
      <c r="X73" s="185">
        <v>65874</v>
      </c>
      <c r="Y73" s="185">
        <f>64392+32703</f>
        <v>97095</v>
      </c>
      <c r="Z73" s="185"/>
      <c r="AA73" s="185"/>
      <c r="AB73" s="185">
        <v>478698</v>
      </c>
      <c r="AC73" s="185"/>
      <c r="AD73" s="185"/>
      <c r="AE73" s="185">
        <v>321747</v>
      </c>
      <c r="AF73" s="185"/>
      <c r="AG73" s="185">
        <f>26296+12340</f>
        <v>38636</v>
      </c>
      <c r="AH73" s="185"/>
      <c r="AI73" s="185">
        <v>8996</v>
      </c>
      <c r="AJ73" s="185"/>
      <c r="AK73" s="185">
        <v>378079</v>
      </c>
      <c r="AL73" s="185">
        <v>123309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5957869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-14530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115645</v>
      </c>
      <c r="T74" s="185">
        <v>264416</v>
      </c>
      <c r="U74" s="185">
        <f>2395875+4645</f>
        <v>2400520</v>
      </c>
      <c r="V74" s="185">
        <v>77788</v>
      </c>
      <c r="W74" s="185">
        <v>391577</v>
      </c>
      <c r="X74" s="185">
        <v>1723757</v>
      </c>
      <c r="Y74" s="185">
        <f>999513+680200</f>
        <v>1679713</v>
      </c>
      <c r="Z74" s="185"/>
      <c r="AA74" s="185"/>
      <c r="AB74" s="185">
        <v>278661</v>
      </c>
      <c r="AC74" s="185"/>
      <c r="AD74" s="185"/>
      <c r="AE74" s="185">
        <v>1060217</v>
      </c>
      <c r="AF74" s="185"/>
      <c r="AG74" s="185">
        <f>2515323+1692649</f>
        <v>4207972</v>
      </c>
      <c r="AH74" s="185"/>
      <c r="AI74" s="185">
        <v>405053</v>
      </c>
      <c r="AJ74" s="185">
        <v>3058001</v>
      </c>
      <c r="AK74" s="185">
        <v>93061</v>
      </c>
      <c r="AL74" s="185">
        <v>141959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15883810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616330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2079096</v>
      </c>
      <c r="L75" s="195">
        <f t="shared" si="9"/>
        <v>1452620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136057</v>
      </c>
      <c r="T75" s="195">
        <f t="shared" si="9"/>
        <v>285421</v>
      </c>
      <c r="U75" s="195">
        <f t="shared" si="9"/>
        <v>2618559</v>
      </c>
      <c r="V75" s="195">
        <f t="shared" si="9"/>
        <v>81394</v>
      </c>
      <c r="W75" s="195">
        <f t="shared" si="9"/>
        <v>411374</v>
      </c>
      <c r="X75" s="195">
        <f t="shared" si="9"/>
        <v>1789631</v>
      </c>
      <c r="Y75" s="195">
        <f t="shared" si="9"/>
        <v>1776808</v>
      </c>
      <c r="Z75" s="195">
        <f t="shared" si="9"/>
        <v>0</v>
      </c>
      <c r="AA75" s="195">
        <f t="shared" si="9"/>
        <v>0</v>
      </c>
      <c r="AB75" s="195">
        <f t="shared" si="9"/>
        <v>757359</v>
      </c>
      <c r="AC75" s="195">
        <f t="shared" si="9"/>
        <v>0</v>
      </c>
      <c r="AD75" s="195">
        <f t="shared" si="9"/>
        <v>0</v>
      </c>
      <c r="AE75" s="195">
        <f t="shared" si="9"/>
        <v>1381964</v>
      </c>
      <c r="AF75" s="195">
        <f t="shared" si="9"/>
        <v>0</v>
      </c>
      <c r="AG75" s="195">
        <f t="shared" si="9"/>
        <v>4246608</v>
      </c>
      <c r="AH75" s="195">
        <f t="shared" si="9"/>
        <v>0</v>
      </c>
      <c r="AI75" s="195">
        <f t="shared" si="9"/>
        <v>414049</v>
      </c>
      <c r="AJ75" s="195">
        <f t="shared" si="9"/>
        <v>3058001</v>
      </c>
      <c r="AK75" s="195">
        <f t="shared" si="9"/>
        <v>471140</v>
      </c>
      <c r="AL75" s="195">
        <f t="shared" si="9"/>
        <v>265268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21841679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f>9622+4149+1</f>
        <v>13772</v>
      </c>
      <c r="F76" s="185"/>
      <c r="G76" s="184"/>
      <c r="H76" s="184"/>
      <c r="I76" s="185"/>
      <c r="J76" s="185"/>
      <c r="K76" s="185">
        <f>3804+960+9799+2492</f>
        <v>17055</v>
      </c>
      <c r="L76" s="185"/>
      <c r="M76" s="185"/>
      <c r="N76" s="185"/>
      <c r="O76" s="185"/>
      <c r="P76" s="185"/>
      <c r="Q76" s="185"/>
      <c r="R76" s="185"/>
      <c r="S76" s="185">
        <v>751</v>
      </c>
      <c r="T76" s="185"/>
      <c r="U76" s="185">
        <v>1183</v>
      </c>
      <c r="V76" s="185"/>
      <c r="W76" s="185"/>
      <c r="X76" s="185">
        <v>511</v>
      </c>
      <c r="Y76" s="185">
        <f>1055+188+146</f>
        <v>1389</v>
      </c>
      <c r="Z76" s="185"/>
      <c r="AA76" s="185"/>
      <c r="AB76" s="185">
        <v>371</v>
      </c>
      <c r="AC76" s="185"/>
      <c r="AD76" s="185"/>
      <c r="AE76" s="185">
        <f>2702+177</f>
        <v>2879</v>
      </c>
      <c r="AF76" s="185"/>
      <c r="AG76" s="185">
        <f>1879+1025</f>
        <v>2904</v>
      </c>
      <c r="AH76" s="185"/>
      <c r="AI76" s="185"/>
      <c r="AJ76" s="185">
        <f>5421+122</f>
        <v>5543</v>
      </c>
      <c r="AK76" s="185">
        <v>660</v>
      </c>
      <c r="AL76" s="185">
        <v>90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1897</v>
      </c>
      <c r="AW76" s="185"/>
      <c r="AX76" s="185"/>
      <c r="AY76" s="185">
        <v>1350</v>
      </c>
      <c r="AZ76" s="185">
        <v>2965</v>
      </c>
      <c r="BA76" s="185">
        <v>1400</v>
      </c>
      <c r="BB76" s="185">
        <v>90</v>
      </c>
      <c r="BC76" s="185"/>
      <c r="BD76" s="185">
        <v>2438</v>
      </c>
      <c r="BE76" s="185">
        <v>3604</v>
      </c>
      <c r="BF76" s="185">
        <v>1530</v>
      </c>
      <c r="BG76" s="185"/>
      <c r="BH76" s="185">
        <v>538</v>
      </c>
      <c r="BI76" s="185"/>
      <c r="BJ76" s="185">
        <f>540+213</f>
        <v>753</v>
      </c>
      <c r="BK76" s="185">
        <f>1642+475</f>
        <v>2117</v>
      </c>
      <c r="BL76" s="185">
        <f>1124+2802</f>
        <v>3926</v>
      </c>
      <c r="BM76" s="185"/>
      <c r="BN76" s="185">
        <f>1539+4383</f>
        <v>5922</v>
      </c>
      <c r="BO76" s="185"/>
      <c r="BP76" s="185">
        <v>101</v>
      </c>
      <c r="BQ76" s="185"/>
      <c r="BR76" s="185"/>
      <c r="BS76" s="185"/>
      <c r="BT76" s="185"/>
      <c r="BU76" s="185"/>
      <c r="BV76" s="185">
        <v>1409</v>
      </c>
      <c r="BW76" s="185"/>
      <c r="BX76" s="185">
        <v>86</v>
      </c>
      <c r="BY76" s="185">
        <v>259</v>
      </c>
      <c r="BZ76" s="185"/>
      <c r="CA76" s="185">
        <v>237</v>
      </c>
      <c r="CB76" s="185"/>
      <c r="CC76" s="185"/>
      <c r="CD76" s="249" t="s">
        <v>221</v>
      </c>
      <c r="CE76" s="195">
        <f t="shared" si="8"/>
        <v>77730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1730</v>
      </c>
      <c r="F77" s="184"/>
      <c r="G77" s="184"/>
      <c r="H77" s="184"/>
      <c r="I77" s="184"/>
      <c r="J77" s="184"/>
      <c r="K77" s="184">
        <f>13067+31170</f>
        <v>44237</v>
      </c>
      <c r="L77" s="184">
        <v>15296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193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15059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76515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>
        <f>1909+2455</f>
        <v>4364</v>
      </c>
      <c r="L78" s="184">
        <v>4631</v>
      </c>
      <c r="M78" s="184"/>
      <c r="N78" s="184"/>
      <c r="O78" s="184"/>
      <c r="P78" s="184"/>
      <c r="Q78" s="184"/>
      <c r="R78" s="184"/>
      <c r="S78" s="184">
        <v>245</v>
      </c>
      <c r="T78" s="184"/>
      <c r="U78" s="184">
        <v>263</v>
      </c>
      <c r="V78" s="184"/>
      <c r="W78" s="184"/>
      <c r="X78" s="184">
        <v>504</v>
      </c>
      <c r="Y78" s="184">
        <v>594</v>
      </c>
      <c r="Z78" s="184"/>
      <c r="AA78" s="184"/>
      <c r="AB78" s="184"/>
      <c r="AC78" s="184"/>
      <c r="AD78" s="184"/>
      <c r="AE78" s="184">
        <v>292</v>
      </c>
      <c r="AF78" s="184"/>
      <c r="AG78" s="184">
        <f>300+1604</f>
        <v>1904</v>
      </c>
      <c r="AH78" s="184"/>
      <c r="AI78" s="184"/>
      <c r="AJ78" s="184">
        <v>1813</v>
      </c>
      <c r="AK78" s="184">
        <v>83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226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190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122</v>
      </c>
      <c r="BW78" s="184"/>
      <c r="BX78" s="184">
        <v>17</v>
      </c>
      <c r="BY78" s="184">
        <v>331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15579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>
        <f>28724+17319</f>
        <v>46043</v>
      </c>
      <c r="L79" s="184">
        <v>45198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>
        <v>203</v>
      </c>
      <c r="X79" s="184">
        <v>637</v>
      </c>
      <c r="Y79" s="184">
        <v>4154</v>
      </c>
      <c r="Z79" s="184"/>
      <c r="AA79" s="184"/>
      <c r="AB79" s="184"/>
      <c r="AC79" s="184"/>
      <c r="AD79" s="184"/>
      <c r="AE79" s="184">
        <v>7373</v>
      </c>
      <c r="AF79" s="184"/>
      <c r="AG79" s="184">
        <f>3343+16241</f>
        <v>19584</v>
      </c>
      <c r="AH79" s="184"/>
      <c r="AI79" s="184"/>
      <c r="AJ79" s="184">
        <v>476</v>
      </c>
      <c r="AK79" s="184">
        <v>2080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125748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>
        <f>13.93+9.76</f>
        <v>23.689999999999998</v>
      </c>
      <c r="L80" s="187">
        <v>24.4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8</v>
      </c>
      <c r="AH80" s="187"/>
      <c r="AI80" s="187"/>
      <c r="AJ80" s="187">
        <f>4.79+2.46</f>
        <v>7.25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63.339999999999996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151</v>
      </c>
      <c r="D111" s="174">
        <v>426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f>135+3+6</f>
        <v>144</v>
      </c>
      <c r="D112" s="174">
        <f>5094+4353+10422</f>
        <v>19869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21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32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69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105+15</f>
        <v>120</v>
      </c>
      <c r="C138" s="189">
        <v>18</v>
      </c>
      <c r="D138" s="174">
        <v>13</v>
      </c>
      <c r="E138" s="175">
        <f>SUM(B138:D138)</f>
        <v>151</v>
      </c>
    </row>
    <row r="139" spans="1:6" ht="12.6" customHeight="1" x14ac:dyDescent="0.25">
      <c r="A139" s="173" t="s">
        <v>215</v>
      </c>
      <c r="B139" s="174">
        <f>301+52</f>
        <v>353</v>
      </c>
      <c r="C139" s="189">
        <v>43</v>
      </c>
      <c r="D139" s="174">
        <v>30</v>
      </c>
      <c r="E139" s="175">
        <f>SUM(B139:D139)</f>
        <v>426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121806.94+2273192.68-B147</f>
        <v>1855516.62</v>
      </c>
      <c r="C141" s="189">
        <f>1793669.35+134853.37-C147</f>
        <v>163137.7200000002</v>
      </c>
      <c r="D141" s="174">
        <f>5957869-B141-C141-B147-C147-D147</f>
        <v>407496.08999999985</v>
      </c>
      <c r="E141" s="175">
        <f>SUM(B141:D141)</f>
        <v>2426150.4300000002</v>
      </c>
      <c r="F141" s="199"/>
    </row>
    <row r="142" spans="1:6" ht="12.6" customHeight="1" x14ac:dyDescent="0.25">
      <c r="A142" s="173" t="s">
        <v>246</v>
      </c>
      <c r="B142" s="174">
        <f>1015127.12+4555000.33+248470.38+1103545.14</f>
        <v>6922142.9699999997</v>
      </c>
      <c r="C142" s="189">
        <f>4115.15+131379.94+3589651.47+6913.2+14229.16+111547.34+58220.83+316382.41+561+2384.8+560.5</f>
        <v>4235945.8</v>
      </c>
      <c r="D142" s="174">
        <f>15883810-C142-B142-B148-C148-D148</f>
        <v>4725721.2299999995</v>
      </c>
      <c r="E142" s="175">
        <f>SUM(B142:D142)</f>
        <v>15883810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83+17</f>
        <v>100</v>
      </c>
      <c r="C144" s="189">
        <f>25+1</f>
        <v>26</v>
      </c>
      <c r="D144" s="174">
        <f>10+3+5</f>
        <v>18</v>
      </c>
      <c r="E144" s="175">
        <f>SUM(B144:D144)</f>
        <v>144</v>
      </c>
    </row>
    <row r="145" spans="1:5" ht="12.6" customHeight="1" x14ac:dyDescent="0.25">
      <c r="A145" s="173" t="s">
        <v>215</v>
      </c>
      <c r="B145" s="174">
        <f>1913+309</f>
        <v>2222</v>
      </c>
      <c r="C145" s="189">
        <f>1975+3285+4166</f>
        <v>9426</v>
      </c>
      <c r="D145" s="174">
        <f>5094+4353+10422-B145-C145</f>
        <v>8221</v>
      </c>
      <c r="E145" s="175">
        <f>SUM(B145:D145)</f>
        <v>19869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f>539483</f>
        <v>539483</v>
      </c>
      <c r="C147" s="189">
        <f>573420+784154+407811</f>
        <v>1765385</v>
      </c>
      <c r="D147" s="174">
        <f>1452623+1034512+1044583.57-B147-C147</f>
        <v>1226850.5699999998</v>
      </c>
      <c r="E147" s="175">
        <f>SUM(B147:D147)</f>
        <v>3531718.57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539232.29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764.15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8179.79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850645.88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6974.62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297958.17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55524.88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33131.07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1792410.85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1412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201335.18-C175</f>
        <v>199923.18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201335.18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132561.72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42013.05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174574.77000000002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28089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28089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740771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740771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99457</v>
      </c>
      <c r="C195" s="189"/>
      <c r="D195" s="174"/>
      <c r="E195" s="175">
        <f t="shared" ref="E195:E203" si="10">SUM(B195:C195)-D195</f>
        <v>99457</v>
      </c>
    </row>
    <row r="196" spans="1:8" ht="12.6" customHeight="1" x14ac:dyDescent="0.25">
      <c r="A196" s="173" t="s">
        <v>333</v>
      </c>
      <c r="B196" s="174">
        <v>186843</v>
      </c>
      <c r="C196" s="189"/>
      <c r="D196" s="174"/>
      <c r="E196" s="175">
        <f t="shared" si="10"/>
        <v>186843</v>
      </c>
    </row>
    <row r="197" spans="1:8" ht="12.6" customHeight="1" x14ac:dyDescent="0.25">
      <c r="A197" s="173" t="s">
        <v>334</v>
      </c>
      <c r="B197" s="174">
        <v>22435861</v>
      </c>
      <c r="C197" s="189">
        <v>6707.88</v>
      </c>
      <c r="D197" s="174"/>
      <c r="E197" s="175">
        <f t="shared" si="10"/>
        <v>22442568.879999999</v>
      </c>
    </row>
    <row r="198" spans="1:8" ht="12.6" customHeight="1" x14ac:dyDescent="0.25">
      <c r="A198" s="173" t="s">
        <v>335</v>
      </c>
      <c r="B198" s="174">
        <v>1281894</v>
      </c>
      <c r="C198" s="189"/>
      <c r="D198" s="174"/>
      <c r="E198" s="175">
        <f t="shared" si="10"/>
        <v>1281894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2805974</v>
      </c>
      <c r="C200" s="189">
        <f>120364.78+30701.21</f>
        <v>151065.99</v>
      </c>
      <c r="D200" s="174">
        <v>13606.82</v>
      </c>
      <c r="E200" s="175">
        <f t="shared" si="10"/>
        <v>2943433.1700000004</v>
      </c>
    </row>
    <row r="201" spans="1:8" ht="12.6" customHeight="1" x14ac:dyDescent="0.25">
      <c r="A201" s="173" t="s">
        <v>338</v>
      </c>
      <c r="B201" s="174">
        <v>510819</v>
      </c>
      <c r="C201" s="189"/>
      <c r="D201" s="174">
        <v>40183.65</v>
      </c>
      <c r="E201" s="175">
        <f t="shared" si="10"/>
        <v>470635.35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12558</v>
      </c>
      <c r="C203" s="189">
        <v>4103238.58</v>
      </c>
      <c r="D203" s="174"/>
      <c r="E203" s="175">
        <f t="shared" si="10"/>
        <v>4115796.58</v>
      </c>
    </row>
    <row r="204" spans="1:8" ht="12.6" customHeight="1" x14ac:dyDescent="0.25">
      <c r="A204" s="173" t="s">
        <v>203</v>
      </c>
      <c r="B204" s="175">
        <f>SUM(B195:B203)</f>
        <v>27333406</v>
      </c>
      <c r="C204" s="191">
        <f>SUM(C195:C203)</f>
        <v>4261012.45</v>
      </c>
      <c r="D204" s="175">
        <f>SUM(D195:D203)</f>
        <v>53790.47</v>
      </c>
      <c r="E204" s="175">
        <f>SUM(E195:E203)</f>
        <v>31540627.980000004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71570.89+18797</f>
        <v>90367.89</v>
      </c>
      <c r="C209" s="189">
        <v>11273.08</v>
      </c>
      <c r="D209" s="174"/>
      <c r="E209" s="175">
        <f t="shared" ref="E209:E216" si="11">SUM(B209:C209)-D209</f>
        <v>101640.97</v>
      </c>
      <c r="H209" s="259"/>
    </row>
    <row r="210" spans="1:8" ht="12.6" customHeight="1" x14ac:dyDescent="0.25">
      <c r="A210" s="173" t="s">
        <v>334</v>
      </c>
      <c r="B210" s="174">
        <f>6380209.39+150139.66+118751.78+4819.94+495693.32</f>
        <v>7149614.0900000008</v>
      </c>
      <c r="C210" s="189">
        <f>826013.31+17663.49+4942.87+75487.21</f>
        <v>924106.88</v>
      </c>
      <c r="D210" s="174"/>
      <c r="E210" s="175">
        <f t="shared" si="11"/>
        <v>8073720.9700000007</v>
      </c>
      <c r="H210" s="259"/>
    </row>
    <row r="211" spans="1:8" ht="12.6" customHeight="1" x14ac:dyDescent="0.25">
      <c r="A211" s="173" t="s">
        <v>335</v>
      </c>
      <c r="B211" s="174">
        <f>699231.52</f>
        <v>699231.52</v>
      </c>
      <c r="C211" s="189">
        <v>96638.64</v>
      </c>
      <c r="D211" s="174"/>
      <c r="E211" s="175">
        <f t="shared" si="11"/>
        <v>795870.16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2157276</v>
      </c>
      <c r="C213" s="189">
        <f>191853.42+5416.95+23430-1</f>
        <v>220699.37000000002</v>
      </c>
      <c r="D213" s="174">
        <f>23430-1</f>
        <v>23429</v>
      </c>
      <c r="E213" s="175">
        <f t="shared" si="11"/>
        <v>2354546.37</v>
      </c>
      <c r="H213" s="259"/>
    </row>
    <row r="214" spans="1:8" ht="12.6" customHeight="1" x14ac:dyDescent="0.25">
      <c r="A214" s="173" t="s">
        <v>338</v>
      </c>
      <c r="B214" s="174">
        <f>345679.97+1</f>
        <v>345680.97</v>
      </c>
      <c r="C214" s="189">
        <v>84741.92</v>
      </c>
      <c r="D214" s="174"/>
      <c r="E214" s="175">
        <f t="shared" si="11"/>
        <v>430422.88999999996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10442170.470000001</v>
      </c>
      <c r="C217" s="191">
        <f>SUM(C208:C216)</f>
        <v>1337459.8899999999</v>
      </c>
      <c r="D217" s="175">
        <f>SUM(D208:D216)</f>
        <v>23429</v>
      </c>
      <c r="E217" s="175">
        <f>SUM(E208:E216)</f>
        <v>11756201.359999999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620441</v>
      </c>
      <c r="D221" s="172">
        <f>C221</f>
        <v>620441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974590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2561206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122738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6182059-C221-C223-C224-C225-C233-C234-C238</f>
        <v>1833007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5491541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39531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40791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29286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29286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6182059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3875784</f>
        <v>3875784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2562660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262000+664000</f>
        <v>926000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235945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462498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79538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170873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6461298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f>3165761-C263</f>
        <v>3133169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32592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3165761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94457+5000</f>
        <v>99457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168046+18797</f>
        <v>186843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20610633+142870+353270+1330381+5416-1</f>
        <v>22442569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1281895-1</f>
        <v>1281894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2829173+90324+23935+470635+2</f>
        <v>3414069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4115797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31540629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11756201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19784428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-448864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-448864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28962623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2157443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915187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564759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3673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58546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3699608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16291965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58546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16350511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58546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16291965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8971049+1</f>
        <v>8971050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28962623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28962623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5957869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15883810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21841679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620441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6182059-C365-C366-C363</f>
        <v>5491541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39531+1260</f>
        <v>40791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29286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6182059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15659620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1785132-C371</f>
        <v>1305817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479315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1785132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17444752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7358123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1792411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2193437+1627533</f>
        <v>3820970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1282944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223138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1261052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1337460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201335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174575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28089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740771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195113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18415981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-971229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1041532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70303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70303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Columbia Basin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151</v>
      </c>
      <c r="C414" s="194">
        <f>E138</f>
        <v>151</v>
      </c>
      <c r="D414" s="179"/>
    </row>
    <row r="415" spans="1:5" ht="12.6" customHeight="1" x14ac:dyDescent="0.25">
      <c r="A415" s="179" t="s">
        <v>464</v>
      </c>
      <c r="B415" s="179">
        <f>D111</f>
        <v>426</v>
      </c>
      <c r="C415" s="179">
        <f>E139</f>
        <v>426</v>
      </c>
      <c r="D415" s="194">
        <f>SUM(C59:H59)+N59</f>
        <v>426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144</v>
      </c>
      <c r="C417" s="194">
        <f>E144</f>
        <v>144</v>
      </c>
      <c r="D417" s="179"/>
    </row>
    <row r="418" spans="1:7" ht="12.6" customHeight="1" x14ac:dyDescent="0.25">
      <c r="A418" s="179" t="s">
        <v>466</v>
      </c>
      <c r="B418" s="179">
        <f>D112</f>
        <v>19869</v>
      </c>
      <c r="C418" s="179">
        <f>E145</f>
        <v>19869</v>
      </c>
      <c r="D418" s="179">
        <f>K59+L59</f>
        <v>19869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7358123</v>
      </c>
      <c r="C427" s="179">
        <f t="shared" ref="C427:C434" si="13">CE61</f>
        <v>7358123</v>
      </c>
      <c r="D427" s="179"/>
    </row>
    <row r="428" spans="1:7" ht="12.6" customHeight="1" x14ac:dyDescent="0.25">
      <c r="A428" s="179" t="s">
        <v>3</v>
      </c>
      <c r="B428" s="179">
        <f t="shared" si="12"/>
        <v>1792411</v>
      </c>
      <c r="C428" s="179">
        <f t="shared" si="13"/>
        <v>1792411</v>
      </c>
      <c r="D428" s="179">
        <f>D173</f>
        <v>1792410.85</v>
      </c>
    </row>
    <row r="429" spans="1:7" ht="12.6" customHeight="1" x14ac:dyDescent="0.25">
      <c r="A429" s="179" t="s">
        <v>236</v>
      </c>
      <c r="B429" s="179">
        <f t="shared" si="12"/>
        <v>3820970</v>
      </c>
      <c r="C429" s="179">
        <f t="shared" si="13"/>
        <v>3820970</v>
      </c>
      <c r="D429" s="179"/>
    </row>
    <row r="430" spans="1:7" ht="12.6" customHeight="1" x14ac:dyDescent="0.25">
      <c r="A430" s="179" t="s">
        <v>237</v>
      </c>
      <c r="B430" s="179">
        <f t="shared" si="12"/>
        <v>1282944</v>
      </c>
      <c r="C430" s="179">
        <f t="shared" si="13"/>
        <v>1282944</v>
      </c>
      <c r="D430" s="179"/>
    </row>
    <row r="431" spans="1:7" ht="12.6" customHeight="1" x14ac:dyDescent="0.25">
      <c r="A431" s="179" t="s">
        <v>444</v>
      </c>
      <c r="B431" s="179">
        <f t="shared" si="12"/>
        <v>223138</v>
      </c>
      <c r="C431" s="179">
        <f t="shared" si="13"/>
        <v>223138</v>
      </c>
      <c r="D431" s="179"/>
    </row>
    <row r="432" spans="1:7" ht="12.6" customHeight="1" x14ac:dyDescent="0.25">
      <c r="A432" s="179" t="s">
        <v>445</v>
      </c>
      <c r="B432" s="179">
        <f t="shared" si="12"/>
        <v>1261052</v>
      </c>
      <c r="C432" s="179">
        <f t="shared" si="13"/>
        <v>1261052.3799999999</v>
      </c>
      <c r="D432" s="179"/>
    </row>
    <row r="433" spans="1:7" ht="12.6" customHeight="1" x14ac:dyDescent="0.25">
      <c r="A433" s="179" t="s">
        <v>6</v>
      </c>
      <c r="B433" s="179">
        <f t="shared" si="12"/>
        <v>1337460</v>
      </c>
      <c r="C433" s="179">
        <f t="shared" si="13"/>
        <v>1337462</v>
      </c>
      <c r="D433" s="179">
        <f>C217</f>
        <v>1337459.8899999999</v>
      </c>
    </row>
    <row r="434" spans="1:7" ht="12.6" customHeight="1" x14ac:dyDescent="0.25">
      <c r="A434" s="179" t="s">
        <v>474</v>
      </c>
      <c r="B434" s="179">
        <f t="shared" si="12"/>
        <v>201335</v>
      </c>
      <c r="C434" s="179">
        <f t="shared" si="13"/>
        <v>201335</v>
      </c>
      <c r="D434" s="179">
        <f>D177</f>
        <v>201335.18</v>
      </c>
    </row>
    <row r="435" spans="1:7" ht="12.6" customHeight="1" x14ac:dyDescent="0.25">
      <c r="A435" s="179" t="s">
        <v>447</v>
      </c>
      <c r="B435" s="179">
        <f t="shared" si="12"/>
        <v>174575</v>
      </c>
      <c r="C435" s="179"/>
      <c r="D435" s="179">
        <f>D181</f>
        <v>174574.77000000002</v>
      </c>
    </row>
    <row r="436" spans="1:7" ht="12.6" customHeight="1" x14ac:dyDescent="0.25">
      <c r="A436" s="179" t="s">
        <v>475</v>
      </c>
      <c r="B436" s="179">
        <f t="shared" si="12"/>
        <v>28089</v>
      </c>
      <c r="C436" s="179"/>
      <c r="D436" s="179">
        <f>D186</f>
        <v>28089</v>
      </c>
    </row>
    <row r="437" spans="1:7" ht="12.6" customHeight="1" x14ac:dyDescent="0.25">
      <c r="A437" s="194" t="s">
        <v>449</v>
      </c>
      <c r="B437" s="194">
        <f t="shared" si="12"/>
        <v>740771</v>
      </c>
      <c r="C437" s="194"/>
      <c r="D437" s="194">
        <f>D190</f>
        <v>740771</v>
      </c>
    </row>
    <row r="438" spans="1:7" ht="12.6" customHeight="1" x14ac:dyDescent="0.25">
      <c r="A438" s="194" t="s">
        <v>476</v>
      </c>
      <c r="B438" s="194">
        <f>C386+C387+C388</f>
        <v>943435</v>
      </c>
      <c r="C438" s="194">
        <f>CD69</f>
        <v>943435</v>
      </c>
      <c r="D438" s="194">
        <f>D181+D186+D190</f>
        <v>943434.77</v>
      </c>
    </row>
    <row r="439" spans="1:7" ht="12.6" customHeight="1" x14ac:dyDescent="0.25">
      <c r="A439" s="179" t="s">
        <v>451</v>
      </c>
      <c r="B439" s="194">
        <f>C389</f>
        <v>195113</v>
      </c>
      <c r="C439" s="194">
        <f>SUM(C69:CC69)</f>
        <v>195113.47999999998</v>
      </c>
      <c r="D439" s="179"/>
    </row>
    <row r="440" spans="1:7" ht="12.6" customHeight="1" x14ac:dyDescent="0.25">
      <c r="A440" s="179" t="s">
        <v>477</v>
      </c>
      <c r="B440" s="194">
        <f>B438+B439</f>
        <v>1138548</v>
      </c>
      <c r="C440" s="194">
        <f>CE69</f>
        <v>1138548.48</v>
      </c>
      <c r="D440" s="179"/>
    </row>
    <row r="441" spans="1:7" ht="12.6" customHeight="1" x14ac:dyDescent="0.25">
      <c r="A441" s="179" t="s">
        <v>478</v>
      </c>
      <c r="B441" s="179">
        <f>D390</f>
        <v>18415981</v>
      </c>
      <c r="C441" s="179">
        <f>SUM(C427:C437)+C440</f>
        <v>18415983.859999999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620441</v>
      </c>
      <c r="C444" s="179">
        <f>C363</f>
        <v>620441</v>
      </c>
      <c r="D444" s="179"/>
    </row>
    <row r="445" spans="1:7" ht="12.6" customHeight="1" x14ac:dyDescent="0.25">
      <c r="A445" s="179" t="s">
        <v>343</v>
      </c>
      <c r="B445" s="179">
        <f>D229</f>
        <v>5491541</v>
      </c>
      <c r="C445" s="179">
        <f>C364</f>
        <v>5491541</v>
      </c>
      <c r="D445" s="179"/>
    </row>
    <row r="446" spans="1:7" ht="12.6" customHeight="1" x14ac:dyDescent="0.25">
      <c r="A446" s="179" t="s">
        <v>351</v>
      </c>
      <c r="B446" s="179">
        <f>D236</f>
        <v>40791</v>
      </c>
      <c r="C446" s="179">
        <f>C365</f>
        <v>40791</v>
      </c>
      <c r="D446" s="179"/>
    </row>
    <row r="447" spans="1:7" ht="12.6" customHeight="1" x14ac:dyDescent="0.25">
      <c r="A447" s="179" t="s">
        <v>356</v>
      </c>
      <c r="B447" s="179">
        <f>D240</f>
        <v>29286</v>
      </c>
      <c r="C447" s="179">
        <f>C366</f>
        <v>29286</v>
      </c>
      <c r="D447" s="179"/>
    </row>
    <row r="448" spans="1:7" ht="12.6" customHeight="1" x14ac:dyDescent="0.25">
      <c r="A448" s="179" t="s">
        <v>358</v>
      </c>
      <c r="B448" s="179">
        <f>D242</f>
        <v>6182059</v>
      </c>
      <c r="C448" s="179">
        <f>D367</f>
        <v>6182059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39531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1305817</v>
      </c>
      <c r="C458" s="194">
        <f>CE70</f>
        <v>1305817</v>
      </c>
      <c r="D458" s="194"/>
    </row>
    <row r="459" spans="1:7" ht="12.6" customHeight="1" x14ac:dyDescent="0.25">
      <c r="A459" s="179" t="s">
        <v>244</v>
      </c>
      <c r="B459" s="194">
        <f>C371</f>
        <v>479315</v>
      </c>
      <c r="C459" s="194">
        <f>CE72</f>
        <v>479315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5957869</v>
      </c>
      <c r="C463" s="194">
        <f>CE73</f>
        <v>5957869</v>
      </c>
      <c r="D463" s="194">
        <f>E141+E147+E153</f>
        <v>5957869</v>
      </c>
    </row>
    <row r="464" spans="1:7" ht="12.6" customHeight="1" x14ac:dyDescent="0.25">
      <c r="A464" s="179" t="s">
        <v>246</v>
      </c>
      <c r="B464" s="194">
        <f>C360</f>
        <v>15883810</v>
      </c>
      <c r="C464" s="194">
        <f>CE74</f>
        <v>15883810</v>
      </c>
      <c r="D464" s="194">
        <f>E142+E148+E154</f>
        <v>15883810</v>
      </c>
    </row>
    <row r="465" spans="1:7" ht="12.6" customHeight="1" x14ac:dyDescent="0.25">
      <c r="A465" s="179" t="s">
        <v>247</v>
      </c>
      <c r="B465" s="194">
        <f>D361</f>
        <v>21841679</v>
      </c>
      <c r="C465" s="194">
        <f>CE75</f>
        <v>21841679</v>
      </c>
      <c r="D465" s="194">
        <f>D463+D464</f>
        <v>21841679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99457</v>
      </c>
      <c r="C468" s="179">
        <f>E195</f>
        <v>99457</v>
      </c>
      <c r="D468" s="179"/>
    </row>
    <row r="469" spans="1:7" ht="12.6" customHeight="1" x14ac:dyDescent="0.25">
      <c r="A469" s="179" t="s">
        <v>333</v>
      </c>
      <c r="B469" s="179">
        <f t="shared" si="14"/>
        <v>186843</v>
      </c>
      <c r="C469" s="179">
        <f>E196</f>
        <v>186843</v>
      </c>
      <c r="D469" s="179"/>
    </row>
    <row r="470" spans="1:7" ht="12.6" customHeight="1" x14ac:dyDescent="0.25">
      <c r="A470" s="179" t="s">
        <v>334</v>
      </c>
      <c r="B470" s="179">
        <f t="shared" si="14"/>
        <v>22442569</v>
      </c>
      <c r="C470" s="179">
        <f>E197</f>
        <v>22442568.879999999</v>
      </c>
      <c r="D470" s="179"/>
    </row>
    <row r="471" spans="1:7" ht="12.6" customHeight="1" x14ac:dyDescent="0.25">
      <c r="A471" s="179" t="s">
        <v>494</v>
      </c>
      <c r="B471" s="179">
        <f t="shared" si="14"/>
        <v>1281894</v>
      </c>
      <c r="C471" s="179">
        <f>E198</f>
        <v>1281894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3414069</v>
      </c>
      <c r="C473" s="179">
        <f>SUM(E200:E201)</f>
        <v>3414068.5200000005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4115797</v>
      </c>
      <c r="C475" s="179">
        <f>E203</f>
        <v>4115796.58</v>
      </c>
      <c r="D475" s="179"/>
    </row>
    <row r="476" spans="1:7" ht="12.6" customHeight="1" x14ac:dyDescent="0.25">
      <c r="A476" s="179" t="s">
        <v>203</v>
      </c>
      <c r="B476" s="179">
        <f>D275</f>
        <v>31540629</v>
      </c>
      <c r="C476" s="179">
        <f>E204</f>
        <v>31540627.980000004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11756201</v>
      </c>
      <c r="C478" s="179">
        <f>E217</f>
        <v>11756201.359999999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28962623</v>
      </c>
    </row>
    <row r="482" spans="1:12" ht="12.6" customHeight="1" x14ac:dyDescent="0.25">
      <c r="A482" s="180" t="s">
        <v>499</v>
      </c>
      <c r="C482" s="180">
        <f>D339</f>
        <v>28962623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Columbia Basin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250244</v>
      </c>
      <c r="C498" s="240">
        <f>E71</f>
        <v>257644.64</v>
      </c>
      <c r="D498" s="240">
        <v>422</v>
      </c>
      <c r="E498" s="180">
        <f>E59</f>
        <v>426</v>
      </c>
      <c r="F498" s="263">
        <f t="shared" si="15"/>
        <v>592.99526066350711</v>
      </c>
      <c r="G498" s="263">
        <f t="shared" si="15"/>
        <v>604.79962441314558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1695627</v>
      </c>
      <c r="C504" s="240">
        <f>K71</f>
        <v>1839707</v>
      </c>
      <c r="D504" s="240">
        <v>14215</v>
      </c>
      <c r="E504" s="180">
        <f>K59</f>
        <v>14775</v>
      </c>
      <c r="F504" s="263">
        <f t="shared" si="15"/>
        <v>119.28434752022511</v>
      </c>
      <c r="G504" s="263">
        <f t="shared" si="15"/>
        <v>124.51485617597292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1742408</v>
      </c>
      <c r="C505" s="240">
        <f>L71</f>
        <v>1853694.6</v>
      </c>
      <c r="D505" s="240">
        <v>5749</v>
      </c>
      <c r="E505" s="180">
        <f>L59</f>
        <v>5094</v>
      </c>
      <c r="F505" s="263">
        <f t="shared" si="15"/>
        <v>303.08018785875805</v>
      </c>
      <c r="G505" s="263">
        <f t="shared" si="15"/>
        <v>363.89764428739693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85958</v>
      </c>
      <c r="C512" s="240">
        <f>S71</f>
        <v>101698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1884</v>
      </c>
      <c r="C513" s="240">
        <f>T71</f>
        <v>3898.1400000000003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828179</v>
      </c>
      <c r="C514" s="240">
        <f>U71</f>
        <v>781129</v>
      </c>
      <c r="D514" s="240">
        <v>123855</v>
      </c>
      <c r="E514" s="180">
        <f>U59</f>
        <v>119005</v>
      </c>
      <c r="F514" s="263">
        <f t="shared" si="17"/>
        <v>6.686682007185822</v>
      </c>
      <c r="G514" s="263">
        <f t="shared" si="17"/>
        <v>6.5638334523759507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85521</v>
      </c>
      <c r="C516" s="240">
        <f>W71</f>
        <v>97080</v>
      </c>
      <c r="D516" s="240">
        <v>2145</v>
      </c>
      <c r="E516" s="180">
        <f>W59</f>
        <v>2525.98</v>
      </c>
      <c r="F516" s="263">
        <f t="shared" si="17"/>
        <v>39.869930069930071</v>
      </c>
      <c r="G516" s="263">
        <f t="shared" si="17"/>
        <v>38.432608334191087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163436</v>
      </c>
      <c r="C517" s="240">
        <f>X71</f>
        <v>247620</v>
      </c>
      <c r="D517" s="240">
        <v>8763</v>
      </c>
      <c r="E517" s="180">
        <f>X59</f>
        <v>9598</v>
      </c>
      <c r="F517" s="263">
        <f t="shared" si="17"/>
        <v>18.65069040283008</v>
      </c>
      <c r="G517" s="263">
        <f t="shared" si="17"/>
        <v>25.799124817670346</v>
      </c>
      <c r="H517" s="265">
        <f t="shared" si="16"/>
        <v>0.383279881894107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784943</v>
      </c>
      <c r="C518" s="240">
        <f>Y71</f>
        <v>790176</v>
      </c>
      <c r="D518" s="240">
        <v>6471</v>
      </c>
      <c r="E518" s="180">
        <f>Y59</f>
        <v>6018</v>
      </c>
      <c r="F518" s="263">
        <f t="shared" si="17"/>
        <v>121.30165353113892</v>
      </c>
      <c r="G518" s="263">
        <f t="shared" si="17"/>
        <v>131.30209371884348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-59185</v>
      </c>
      <c r="C521" s="240">
        <f>AB71</f>
        <v>-151741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695519</v>
      </c>
      <c r="C524" s="240">
        <f>AE71</f>
        <v>680826</v>
      </c>
      <c r="D524" s="240">
        <v>21207</v>
      </c>
      <c r="E524" s="180">
        <f>AE59</f>
        <v>20218</v>
      </c>
      <c r="F524" s="263">
        <f t="shared" si="17"/>
        <v>32.796670910548407</v>
      </c>
      <c r="G524" s="263">
        <f t="shared" si="17"/>
        <v>33.674250667721829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1970759</v>
      </c>
      <c r="C526" s="240">
        <f>AG71</f>
        <v>2068114</v>
      </c>
      <c r="D526" s="240">
        <v>4632</v>
      </c>
      <c r="E526" s="180">
        <f>AG59</f>
        <v>5023</v>
      </c>
      <c r="F526" s="263">
        <f t="shared" si="17"/>
        <v>425.4661053540587</v>
      </c>
      <c r="G526" s="263">
        <f t="shared" si="17"/>
        <v>411.72884730240889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182</v>
      </c>
      <c r="E528" s="180">
        <f>AI59</f>
        <v>172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1698579</v>
      </c>
      <c r="C529" s="240">
        <f>AJ71</f>
        <v>2025146.48</v>
      </c>
      <c r="D529" s="240">
        <v>12935</v>
      </c>
      <c r="E529" s="180">
        <f>AJ59</f>
        <v>10135</v>
      </c>
      <c r="F529" s="263">
        <f t="shared" si="18"/>
        <v>131.31650560494782</v>
      </c>
      <c r="G529" s="263">
        <f t="shared" si="18"/>
        <v>199.81711692155895</v>
      </c>
      <c r="H529" s="265">
        <f t="shared" si="16"/>
        <v>0.52164509709608153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216032</v>
      </c>
      <c r="C530" s="240">
        <f>AK71</f>
        <v>227501</v>
      </c>
      <c r="D530" s="240">
        <v>6431</v>
      </c>
      <c r="E530" s="180">
        <f>AK59</f>
        <v>6661</v>
      </c>
      <c r="F530" s="263">
        <f t="shared" si="18"/>
        <v>33.592287358109161</v>
      </c>
      <c r="G530" s="263">
        <f t="shared" si="18"/>
        <v>34.154181053895812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84088</v>
      </c>
      <c r="C531" s="240">
        <f>AL71</f>
        <v>118191</v>
      </c>
      <c r="D531" s="240">
        <v>1190</v>
      </c>
      <c r="E531" s="180">
        <f>AL59</f>
        <v>1658</v>
      </c>
      <c r="F531" s="263">
        <f t="shared" si="18"/>
        <v>70.662184873949585</v>
      </c>
      <c r="G531" s="263">
        <f t="shared" si="18"/>
        <v>71.285283474065139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146620</v>
      </c>
      <c r="C541" s="240">
        <f>AV71</f>
        <v>145142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836468</v>
      </c>
      <c r="C544" s="240">
        <f>AY71</f>
        <v>801402</v>
      </c>
      <c r="D544" s="240">
        <v>75108</v>
      </c>
      <c r="E544" s="180">
        <f>AY59</f>
        <v>76515</v>
      </c>
      <c r="F544" s="263">
        <f t="shared" ref="F544:G550" si="19">IF(B544=0,"",IF(D544=0,"",B544/D544))</f>
        <v>11.136869574479416</v>
      </c>
      <c r="G544" s="263">
        <f t="shared" si="19"/>
        <v>10.473789453048422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49957</v>
      </c>
      <c r="C545" s="240">
        <f>AZ71</f>
        <v>51017</v>
      </c>
      <c r="D545" s="240">
        <v>13277</v>
      </c>
      <c r="E545" s="180">
        <f>AZ59</f>
        <v>0</v>
      </c>
      <c r="F545" s="263">
        <f t="shared" si="19"/>
        <v>3.7626722904270542</v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124810</v>
      </c>
      <c r="C546" s="240">
        <f>BA71</f>
        <v>119786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118093</v>
      </c>
      <c r="C547" s="240">
        <f>BB71</f>
        <v>123112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98741</v>
      </c>
      <c r="C549" s="240">
        <f>BD71</f>
        <v>98609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562501</v>
      </c>
      <c r="C550" s="240">
        <f>BE71</f>
        <v>557201</v>
      </c>
      <c r="D550" s="240">
        <v>77730</v>
      </c>
      <c r="E550" s="180">
        <f>BE59</f>
        <v>77730</v>
      </c>
      <c r="F550" s="263">
        <f t="shared" si="19"/>
        <v>7.2366010549337449</v>
      </c>
      <c r="G550" s="263">
        <f t="shared" si="19"/>
        <v>7.1684163128779108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411218</v>
      </c>
      <c r="C551" s="240">
        <f>BF71</f>
        <v>433659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608143</v>
      </c>
      <c r="C553" s="240">
        <f>BH71</f>
        <v>723817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809</v>
      </c>
      <c r="C554" s="240">
        <f>BI71</f>
        <v>13655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269911</v>
      </c>
      <c r="C555" s="240">
        <f>BJ71</f>
        <v>332690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519947</v>
      </c>
      <c r="C556" s="240">
        <f>BK71</f>
        <v>543053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216371</v>
      </c>
      <c r="C557" s="240">
        <f>BL71</f>
        <v>246500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407410</v>
      </c>
      <c r="C559" s="240">
        <f>BN71</f>
        <v>446994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100841</v>
      </c>
      <c r="C561" s="240">
        <f>BP71</f>
        <v>117598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115454</v>
      </c>
      <c r="C563" s="240">
        <f>BR71</f>
        <v>134679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271029</v>
      </c>
      <c r="C567" s="240">
        <f>BV71</f>
        <v>253020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1045</v>
      </c>
      <c r="C568" s="240">
        <f>BW71</f>
        <v>2055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80624</v>
      </c>
      <c r="C569" s="240">
        <f>BX71</f>
        <v>62808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149661</v>
      </c>
      <c r="C570" s="240">
        <f>BY71</f>
        <v>183812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111152</v>
      </c>
      <c r="C572" s="240">
        <f>CA71</f>
        <v>120486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-504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292045</v>
      </c>
      <c r="C575" s="240">
        <f>CD71</f>
        <v>658891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74126</v>
      </c>
      <c r="E612" s="180">
        <f>SUM(C624:D647)+SUM(C668:D713)</f>
        <v>16102223.555086745</v>
      </c>
      <c r="F612" s="180">
        <f>CE64-(AX64+BD64+BE64+BG64+BJ64+BN64+BP64+BQ64+CB64+CC64+CD64)</f>
        <v>1251790</v>
      </c>
      <c r="G612" s="180">
        <f>CE77-(AX77+AY77+BD77+BE77+BG77+BJ77+BN77+BP77+BQ77+CB77+CC77+CD77)</f>
        <v>76515</v>
      </c>
      <c r="H612" s="197">
        <f>CE60-(AX60+AY60+AZ60+BD60+BE60+BG60+BJ60+BN60+BO60+BP60+BQ60+BR60+CB60+CC60+CD60)</f>
        <v>115.02000000000001</v>
      </c>
      <c r="I612" s="180">
        <f>CE78-(AX78+AY78+AZ78+BD78+BE78+BF78+BG78+BJ78+BN78+BO78+BP78+BQ78+BR78+CB78+CC78+CD78)</f>
        <v>15579</v>
      </c>
      <c r="J612" s="180">
        <f>CE79-(AX79+AY79+AZ79+BA79+BD79+BE79+BF79+BG79+BJ79+BN79+BO79+BP79+BQ79+BR79+CB79+CC79+CD79)</f>
        <v>125748</v>
      </c>
      <c r="K612" s="180">
        <f>CE75-(AW75+AX75+AY75+AZ75+BA75+BB75+BC75+BD75+BE75+BF75+BG75+BH75+BI75+BJ75+BK75+BL75+BM75+BN75+BO75+BP75+BQ75+BR75+BS75+BT75+BU75+BV75+BW75+BX75+CB75+CC75+CD75)</f>
        <v>21841679</v>
      </c>
      <c r="L612" s="197">
        <f>CE80-(AW80+AX80+AY80+AZ80+BA80+BB80+BC80+BD80+BE80+BF80+BG80+BH80+BI80+BJ80+BK80+BL80+BM80+BN80+BO80+BP80+BQ80+BR80+BS80+BT80+BU80+BV80+BW80+BX80+BY80+BZ80+CA80+CB80+CC80+CD80)</f>
        <v>63.339999999999996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557201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658891</v>
      </c>
      <c r="D615" s="266">
        <f>SUM(C614:C615)</f>
        <v>1216092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332690</v>
      </c>
      <c r="D617" s="180">
        <f>(D615/D612)*BJ76</f>
        <v>12353.523406092329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446994</v>
      </c>
      <c r="D619" s="180">
        <f>(D615/D612)*BN76</f>
        <v>97154.801608072739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-504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117598</v>
      </c>
      <c r="D621" s="180">
        <f>(D615/D612)*BP76</f>
        <v>1656.9798990907373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1007943.3049132557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98609</v>
      </c>
      <c r="D624" s="180">
        <f>(D615/D612)*BD76</f>
        <v>39997.197960229874</v>
      </c>
      <c r="E624" s="180">
        <f>(E623/E612)*SUM(C624:D624)</f>
        <v>8676.2669003785559</v>
      </c>
      <c r="F624" s="180">
        <f>SUM(C624:E624)</f>
        <v>147282.46486060845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801402</v>
      </c>
      <c r="D625" s="180">
        <f>(D615/D612)*AY76</f>
        <v>22147.751126460349</v>
      </c>
      <c r="E625" s="180">
        <f>(E623/E612)*SUM(C625:D625)</f>
        <v>51551.355939823916</v>
      </c>
      <c r="F625" s="180">
        <f>(F624/F612)*AY64</f>
        <v>30823.672963717938</v>
      </c>
      <c r="G625" s="180">
        <f>SUM(C625:F625)</f>
        <v>905924.78003000224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134679</v>
      </c>
      <c r="D626" s="180">
        <f>(D615/D612)*BR76</f>
        <v>0</v>
      </c>
      <c r="E626" s="180">
        <f>(E623/E612)*SUM(C626:D626)</f>
        <v>8430.4379390838149</v>
      </c>
      <c r="F626" s="180">
        <f>(F624/F612)*BR64</f>
        <v>82.477897943973446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51017</v>
      </c>
      <c r="D628" s="180">
        <f>(D615/D612)*AZ76</f>
        <v>48643.023770336993</v>
      </c>
      <c r="E628" s="180">
        <f>(E623/E612)*SUM(C628:D628)</f>
        <v>6238.3715754010927</v>
      </c>
      <c r="F628" s="180">
        <f>(F624/F612)*AZ64</f>
        <v>0</v>
      </c>
      <c r="G628" s="180">
        <f>(G625/G612)*AZ77</f>
        <v>178296.03688782334</v>
      </c>
      <c r="H628" s="180">
        <f>SUM(C626:G628)</f>
        <v>427386.34807058924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433659</v>
      </c>
      <c r="D629" s="180">
        <f>(D615/D612)*BF76</f>
        <v>25100.784609988397</v>
      </c>
      <c r="E629" s="180">
        <f>(E623/E612)*SUM(C629:D629)</f>
        <v>28716.770195070985</v>
      </c>
      <c r="F629" s="180">
        <f>(F624/F612)*BF64</f>
        <v>3311.7052688003146</v>
      </c>
      <c r="G629" s="180">
        <f>(G625/G612)*BF77</f>
        <v>0</v>
      </c>
      <c r="H629" s="180">
        <f>(H628/H612)*BF60</f>
        <v>35819.895630329338</v>
      </c>
      <c r="I629" s="180">
        <f>SUM(C629:H629)</f>
        <v>526608.15570418909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119786</v>
      </c>
      <c r="D630" s="180">
        <f>(D615/D612)*BA76</f>
        <v>22968.038205218141</v>
      </c>
      <c r="E630" s="180">
        <f>(E623/E612)*SUM(C630:D630)</f>
        <v>8935.9073028660114</v>
      </c>
      <c r="F630" s="180">
        <f>(F624/F612)*BA64</f>
        <v>1679.5606179033109</v>
      </c>
      <c r="G630" s="180">
        <f>(G625/G612)*BA77</f>
        <v>0</v>
      </c>
      <c r="H630" s="180">
        <f>(H628/H612)*BA60</f>
        <v>7505.8287524134075</v>
      </c>
      <c r="I630" s="180">
        <f>(I629/I612)*BA78</f>
        <v>0</v>
      </c>
      <c r="J630" s="180">
        <f>SUM(C630:I630)</f>
        <v>160875.3348784009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123112</v>
      </c>
      <c r="D632" s="180">
        <f>(D615/D612)*BB76</f>
        <v>1476.5167417640234</v>
      </c>
      <c r="E632" s="180">
        <f>(E623/E612)*SUM(C632:D632)</f>
        <v>7798.8087104444376</v>
      </c>
      <c r="F632" s="180">
        <f>(F624/F612)*BB64</f>
        <v>15.766103173313041</v>
      </c>
      <c r="G632" s="180">
        <f>(G625/G612)*BB77</f>
        <v>0</v>
      </c>
      <c r="H632" s="180">
        <f>(H628/H612)*BB60</f>
        <v>6391.1017099757728</v>
      </c>
      <c r="I632" s="180">
        <f>(I629/I612)*BB78</f>
        <v>6422.462904152766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13655</v>
      </c>
      <c r="D634" s="180">
        <f>(D615/D612)*BI76</f>
        <v>0</v>
      </c>
      <c r="E634" s="180">
        <f>(E623/E612)*SUM(C634:D634)</f>
        <v>854.75560449802481</v>
      </c>
      <c r="F634" s="180">
        <f>(F624/F612)*BI64</f>
        <v>1606.612976355146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543053</v>
      </c>
      <c r="D635" s="180">
        <f>(D615/D612)*BK76</f>
        <v>34730.954914604859</v>
      </c>
      <c r="E635" s="180">
        <f>(E623/E612)*SUM(C635:D635)</f>
        <v>36167.270131987745</v>
      </c>
      <c r="F635" s="180">
        <f>(F624/F612)*BK64</f>
        <v>474.98327246764734</v>
      </c>
      <c r="G635" s="180">
        <f>(G625/G612)*BK77</f>
        <v>0</v>
      </c>
      <c r="H635" s="180">
        <f>(H628/H612)*BK60</f>
        <v>22145.910576427683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723817</v>
      </c>
      <c r="D636" s="180">
        <f>(D615/D612)*BH76</f>
        <v>8826.2889674338294</v>
      </c>
      <c r="E636" s="180">
        <f>(E623/E612)*SUM(C636:D636)</f>
        <v>45860.926938321492</v>
      </c>
      <c r="F636" s="180">
        <f>(F624/F612)*BH64</f>
        <v>2384.0936462749414</v>
      </c>
      <c r="G636" s="180">
        <f>(G625/G612)*BH77</f>
        <v>0</v>
      </c>
      <c r="H636" s="180">
        <f>(H628/H612)*BH60</f>
        <v>7580.1438885759171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246500</v>
      </c>
      <c r="D637" s="180">
        <f>(D615/D612)*BL76</f>
        <v>64408.941424061733</v>
      </c>
      <c r="E637" s="180">
        <f>(E623/E612)*SUM(C637:D637)</f>
        <v>19461.820591048327</v>
      </c>
      <c r="F637" s="180">
        <f>(F624/F612)*BL64</f>
        <v>151.30752746925799</v>
      </c>
      <c r="G637" s="180">
        <f>(G625/G612)*BL77</f>
        <v>0</v>
      </c>
      <c r="H637" s="180">
        <f>(H628/H612)*BL60</f>
        <v>15791.96643453316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253020</v>
      </c>
      <c r="D642" s="180">
        <f>(D615/D612)*BV76</f>
        <v>23115.689879394544</v>
      </c>
      <c r="E642" s="180">
        <f>(E623/E612)*SUM(C642:D642)</f>
        <v>17285.135739754009</v>
      </c>
      <c r="F642" s="180">
        <f>(F624/F612)*BV64</f>
        <v>172.95650496097142</v>
      </c>
      <c r="G642" s="180">
        <f>(G625/G612)*BV77</f>
        <v>0</v>
      </c>
      <c r="H642" s="180">
        <f>(H628/H612)*BV60</f>
        <v>14045.560734714198</v>
      </c>
      <c r="I642" s="180">
        <f>(I629/I612)*BV78</f>
        <v>4123.8972331928289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2055</v>
      </c>
      <c r="D643" s="180">
        <f>(D615/D612)*BW76</f>
        <v>0</v>
      </c>
      <c r="E643" s="180">
        <f>(E623/E612)*SUM(C643:D643)</f>
        <v>128.63586724594956</v>
      </c>
      <c r="F643" s="180">
        <f>(F624/F612)*BW64</f>
        <v>0.70594491820804661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62808</v>
      </c>
      <c r="D644" s="180">
        <f>(D615/D612)*BX76</f>
        <v>1410.8937754634001</v>
      </c>
      <c r="E644" s="180">
        <f>(E623/E612)*SUM(C644:D644)</f>
        <v>4019.8798512808985</v>
      </c>
      <c r="F644" s="180">
        <f>(F624/F612)*BX64</f>
        <v>2.5884647000961709</v>
      </c>
      <c r="G644" s="180">
        <f>(G625/G612)*BX77</f>
        <v>0</v>
      </c>
      <c r="H644" s="180">
        <f>(H628/H612)*BX60</f>
        <v>2117.981380631506</v>
      </c>
      <c r="I644" s="180">
        <f>(I629/I612)*BX78</f>
        <v>574.64141773998426</v>
      </c>
      <c r="J644" s="180">
        <f>(J630/J612)*BX79</f>
        <v>0</v>
      </c>
      <c r="K644" s="180">
        <f>SUM(C631:J644)</f>
        <v>2317569.199857567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183812</v>
      </c>
      <c r="D645" s="180">
        <f>(D615/D612)*BY76</f>
        <v>4249.0870679653563</v>
      </c>
      <c r="E645" s="180">
        <f>(E623/E612)*SUM(C645:D645)</f>
        <v>11771.971304235401</v>
      </c>
      <c r="F645" s="180">
        <f>(F624/F612)*BY64</f>
        <v>257.66989514593701</v>
      </c>
      <c r="G645" s="180">
        <f>(G625/G612)*BY77</f>
        <v>0</v>
      </c>
      <c r="H645" s="180">
        <f>(H628/H612)*BY60</f>
        <v>8434.767954444771</v>
      </c>
      <c r="I645" s="180">
        <f>(I629/I612)*BY78</f>
        <v>11188.606427760871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120486</v>
      </c>
      <c r="D647" s="180">
        <f>(D615/D612)*CA76</f>
        <v>3888.1607533119281</v>
      </c>
      <c r="E647" s="180">
        <f>(E623/E612)*SUM(C647:D647)</f>
        <v>7785.3907695812268</v>
      </c>
      <c r="F647" s="180">
        <f>(F624/F612)*CA64</f>
        <v>789.71704850206811</v>
      </c>
      <c r="G647" s="180">
        <f>(G625/G612)*CA77</f>
        <v>0</v>
      </c>
      <c r="H647" s="180">
        <f>(H628/H612)*CA60</f>
        <v>3715.7568081254494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356379.12802907306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6024340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257644.64</v>
      </c>
      <c r="D670" s="180">
        <f>(D615/D612)*E76</f>
        <v>225939.87297304589</v>
      </c>
      <c r="E670" s="180">
        <f>(E623/E612)*SUM(C670:D670)</f>
        <v>30270.712025789733</v>
      </c>
      <c r="F670" s="180">
        <f>(F624/F612)*E64</f>
        <v>1693.4442012947359</v>
      </c>
      <c r="G670" s="180">
        <f>(G625/G612)*E77</f>
        <v>20482.910141173677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65397.327052934634</v>
      </c>
      <c r="L670" s="180">
        <f>(L647/L612)*E80</f>
        <v>0</v>
      </c>
      <c r="M670" s="180">
        <f t="shared" si="20"/>
        <v>343784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1839707</v>
      </c>
      <c r="D676" s="180">
        <f>(D615/D612)*K76</f>
        <v>279799.92256428243</v>
      </c>
      <c r="E676" s="180">
        <f>(E623/E612)*SUM(C676:D676)</f>
        <v>132673.77669968375</v>
      </c>
      <c r="F676" s="180">
        <f>(F624/F612)*K64</f>
        <v>3689.0328275825154</v>
      </c>
      <c r="G676" s="180">
        <f>(G625/G612)*K77</f>
        <v>523758.66815901728</v>
      </c>
      <c r="H676" s="180">
        <f>(H628/H612)*K60</f>
        <v>80557.607600159739</v>
      </c>
      <c r="I676" s="180">
        <f>(I629/I612)*K78</f>
        <v>147513.83217748773</v>
      </c>
      <c r="J676" s="180">
        <f>(J630/J612)*K79</f>
        <v>58904.976968271563</v>
      </c>
      <c r="K676" s="180">
        <f>(K644/K612)*K75</f>
        <v>220607.9877443061</v>
      </c>
      <c r="L676" s="180">
        <f>(L647/L612)*K80</f>
        <v>133290.52009802242</v>
      </c>
      <c r="M676" s="180">
        <f t="shared" si="20"/>
        <v>1580796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1853694.6</v>
      </c>
      <c r="D677" s="180">
        <f>(D615/D612)*L76</f>
        <v>0</v>
      </c>
      <c r="E677" s="180">
        <f>(E623/E612)*SUM(C677:D677)</f>
        <v>116034.84792220611</v>
      </c>
      <c r="F677" s="180">
        <f>(F624/F612)*L64</f>
        <v>8629.1177077160573</v>
      </c>
      <c r="G677" s="180">
        <f>(G625/G612)*L77</f>
        <v>181102.07717883962</v>
      </c>
      <c r="H677" s="180">
        <f>(H628/H612)*L60</f>
        <v>78513.941355690738</v>
      </c>
      <c r="I677" s="180">
        <f>(I629/I612)*L78</f>
        <v>156539.08267963925</v>
      </c>
      <c r="J677" s="180">
        <f>(J630/J612)*L79</f>
        <v>57823.92869734679</v>
      </c>
      <c r="K677" s="180">
        <f>(K644/K612)*L75</f>
        <v>154134.09248881915</v>
      </c>
      <c r="L677" s="180">
        <f>(L647/L612)*L80</f>
        <v>137285.29718833885</v>
      </c>
      <c r="M677" s="180">
        <f t="shared" si="20"/>
        <v>890062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101698</v>
      </c>
      <c r="D684" s="180">
        <f>(D615/D612)*S76</f>
        <v>12320.711922942017</v>
      </c>
      <c r="E684" s="180">
        <f>(E623/E612)*SUM(C684:D684)</f>
        <v>7137.1756158023036</v>
      </c>
      <c r="F684" s="180">
        <f>(F624/F612)*S64</f>
        <v>2679.6492520313768</v>
      </c>
      <c r="G684" s="180">
        <f>(G625/G612)*S77</f>
        <v>0</v>
      </c>
      <c r="H684" s="180">
        <f>(H628/H612)*S60</f>
        <v>4904.7989867255937</v>
      </c>
      <c r="I684" s="180">
        <f>(I629/I612)*S78</f>
        <v>8281.5969027233023</v>
      </c>
      <c r="J684" s="180">
        <f>(J630/J612)*S79</f>
        <v>0</v>
      </c>
      <c r="K684" s="180">
        <f>(K644/K612)*S75</f>
        <v>14436.688343648901</v>
      </c>
      <c r="L684" s="180">
        <f>(L647/L612)*S80</f>
        <v>0</v>
      </c>
      <c r="M684" s="180">
        <f t="shared" si="20"/>
        <v>49761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3898.1400000000003</v>
      </c>
      <c r="D685" s="180">
        <f>(D615/D612)*T76</f>
        <v>0</v>
      </c>
      <c r="E685" s="180">
        <f>(E623/E612)*SUM(C685:D685)</f>
        <v>244.01003384239698</v>
      </c>
      <c r="F685" s="180">
        <f>(F624/F612)*T64</f>
        <v>86.831224939589731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30285.35116703009</v>
      </c>
      <c r="L685" s="180">
        <f>(L647/L612)*T80</f>
        <v>0</v>
      </c>
      <c r="M685" s="180">
        <f t="shared" si="20"/>
        <v>30616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781129</v>
      </c>
      <c r="D686" s="180">
        <f>(D615/D612)*U76</f>
        <v>19407.99228340933</v>
      </c>
      <c r="E686" s="180">
        <f>(E623/E612)*SUM(C686:D686)</f>
        <v>50110.83711184447</v>
      </c>
      <c r="F686" s="180">
        <f>(F624/F612)*U64</f>
        <v>33338.36641986137</v>
      </c>
      <c r="G686" s="180">
        <f>(G625/G612)*U77</f>
        <v>0</v>
      </c>
      <c r="H686" s="180">
        <f>(H628/H612)*U60</f>
        <v>23483.583027352841</v>
      </c>
      <c r="I686" s="180">
        <f>(I629/I612)*U78</f>
        <v>8890.0407568009341</v>
      </c>
      <c r="J686" s="180">
        <f>(J630/J612)*U79</f>
        <v>0</v>
      </c>
      <c r="K686" s="180">
        <f>(K644/K612)*U75</f>
        <v>277849.13817339001</v>
      </c>
      <c r="L686" s="180">
        <f>(L647/L612)*U80</f>
        <v>0</v>
      </c>
      <c r="M686" s="180">
        <f t="shared" si="20"/>
        <v>413080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8636.5259489990131</v>
      </c>
      <c r="L687" s="180">
        <f>(L647/L612)*V80</f>
        <v>0</v>
      </c>
      <c r="M687" s="180">
        <f t="shared" si="20"/>
        <v>8637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97080</v>
      </c>
      <c r="D688" s="180">
        <f>(D615/D612)*W76</f>
        <v>0</v>
      </c>
      <c r="E688" s="180">
        <f>(E623/E612)*SUM(C688:D688)</f>
        <v>6076.8710424509891</v>
      </c>
      <c r="F688" s="180">
        <f>(F624/F612)*W64</f>
        <v>0</v>
      </c>
      <c r="G688" s="180">
        <f>(G625/G612)*W77</f>
        <v>0</v>
      </c>
      <c r="H688" s="180">
        <f>(H628/H612)*W60</f>
        <v>74.315136162508992</v>
      </c>
      <c r="I688" s="180">
        <f>(I629/I612)*W78</f>
        <v>0</v>
      </c>
      <c r="J688" s="180">
        <f>(J630/J612)*W79</f>
        <v>259.70745443518291</v>
      </c>
      <c r="K688" s="180">
        <f>(K644/K612)*W75</f>
        <v>43649.927829367269</v>
      </c>
      <c r="L688" s="180">
        <f>(L647/L612)*W80</f>
        <v>0</v>
      </c>
      <c r="M688" s="180">
        <f t="shared" si="20"/>
        <v>50061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247620</v>
      </c>
      <c r="D689" s="180">
        <f>(D615/D612)*X76</f>
        <v>8383.3339449046216</v>
      </c>
      <c r="E689" s="180">
        <f>(E623/E612)*SUM(C689:D689)</f>
        <v>16024.920136183571</v>
      </c>
      <c r="F689" s="180">
        <f>(F624/F612)*X64</f>
        <v>1826.6324758633207</v>
      </c>
      <c r="G689" s="180">
        <f>(G625/G612)*X77</f>
        <v>0</v>
      </c>
      <c r="H689" s="180">
        <f>(H628/H612)*X60</f>
        <v>2043.6662444689973</v>
      </c>
      <c r="I689" s="180">
        <f>(I629/I612)*X78</f>
        <v>17036.427914173652</v>
      </c>
      <c r="J689" s="180">
        <f>(J630/J612)*X79</f>
        <v>814.94408115867748</v>
      </c>
      <c r="K689" s="180">
        <f>(K644/K612)*X75</f>
        <v>189893.53724639473</v>
      </c>
      <c r="L689" s="180">
        <f>(L647/L612)*X80</f>
        <v>0</v>
      </c>
      <c r="M689" s="180">
        <f t="shared" si="20"/>
        <v>236023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790176</v>
      </c>
      <c r="D690" s="180">
        <f>(D615/D612)*Y76</f>
        <v>22787.575047891427</v>
      </c>
      <c r="E690" s="180">
        <f>(E623/E612)*SUM(C690:D690)</f>
        <v>50888.698061145064</v>
      </c>
      <c r="F690" s="180">
        <f>(F624/F612)*Y64</f>
        <v>798.89433243877272</v>
      </c>
      <c r="G690" s="180">
        <f>(G625/G612)*Y77</f>
        <v>0</v>
      </c>
      <c r="H690" s="180">
        <f>(H628/H612)*Y60</f>
        <v>15680.493730289396</v>
      </c>
      <c r="I690" s="180">
        <f>(I629/I612)*Y78</f>
        <v>20078.647184561803</v>
      </c>
      <c r="J690" s="180">
        <f>(J630/J612)*Y79</f>
        <v>5314.4077129248763</v>
      </c>
      <c r="K690" s="180">
        <f>(K644/K612)*Y75</f>
        <v>188532.91886857801</v>
      </c>
      <c r="L690" s="180">
        <f>(L647/L612)*Y80</f>
        <v>0</v>
      </c>
      <c r="M690" s="180">
        <f t="shared" si="20"/>
        <v>304082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-151741</v>
      </c>
      <c r="D693" s="180">
        <f>(D615/D612)*AB76</f>
        <v>6086.5301243828071</v>
      </c>
      <c r="E693" s="180">
        <f>(E623/E612)*SUM(C693:D693)</f>
        <v>-9117.4642582477136</v>
      </c>
      <c r="F693" s="180">
        <f>(F624/F612)*AB64</f>
        <v>32822.20302716492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80361.582625352516</v>
      </c>
      <c r="L693" s="180">
        <f>(L647/L612)*AB80</f>
        <v>0</v>
      </c>
      <c r="M693" s="180">
        <f t="shared" si="20"/>
        <v>110153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680826</v>
      </c>
      <c r="D696" s="180">
        <f>(D615/D612)*AE76</f>
        <v>47232.12999487359</v>
      </c>
      <c r="E696" s="180">
        <f>(E623/E612)*SUM(C696:D696)</f>
        <v>45573.911901389212</v>
      </c>
      <c r="F696" s="180">
        <f>(F624/F612)*AE64</f>
        <v>1125.9821445418343</v>
      </c>
      <c r="G696" s="180">
        <f>(G625/G612)*AE77</f>
        <v>0</v>
      </c>
      <c r="H696" s="180">
        <f>(H628/H612)*AE60</f>
        <v>0</v>
      </c>
      <c r="I696" s="180">
        <f>(I629/I612)*AE78</f>
        <v>9870.3114105926707</v>
      </c>
      <c r="J696" s="180">
        <f>(J630/J612)*AE79</f>
        <v>9432.6259189684915</v>
      </c>
      <c r="K696" s="180">
        <f>(K644/K612)*AE75</f>
        <v>146636.95047033529</v>
      </c>
      <c r="L696" s="180">
        <f>(L647/L612)*AE80</f>
        <v>0</v>
      </c>
      <c r="M696" s="180">
        <f t="shared" si="20"/>
        <v>259872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2068114</v>
      </c>
      <c r="D698" s="180">
        <f>(D615/D612)*AG76</f>
        <v>47642.27353425249</v>
      </c>
      <c r="E698" s="180">
        <f>(E623/E612)*SUM(C698:D698)</f>
        <v>132438.99908863116</v>
      </c>
      <c r="F698" s="180">
        <f>(F624/F612)*AG64</f>
        <v>4613.8206704350569</v>
      </c>
      <c r="G698" s="180">
        <f>(G625/G612)*AG77</f>
        <v>2285.0876631482774</v>
      </c>
      <c r="H698" s="180">
        <f>(H628/H612)*AG60</f>
        <v>27422.285243965816</v>
      </c>
      <c r="I698" s="180">
        <f>(I629/I612)*AG78</f>
        <v>64359.838786878245</v>
      </c>
      <c r="J698" s="180">
        <f>(J630/J612)*AG79</f>
        <v>25054.732944131145</v>
      </c>
      <c r="K698" s="180">
        <f>(K644/K612)*AG75</f>
        <v>450597.58934598125</v>
      </c>
      <c r="L698" s="180">
        <f>(L647/L612)*AG80</f>
        <v>45011.572848635689</v>
      </c>
      <c r="M698" s="180">
        <f t="shared" si="20"/>
        <v>799426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43933.765789334495</v>
      </c>
      <c r="L700" s="180">
        <f>(L647/L612)*AI80</f>
        <v>0</v>
      </c>
      <c r="M700" s="180">
        <f t="shared" si="20"/>
        <v>43934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2025146.48</v>
      </c>
      <c r="D701" s="180">
        <f>(D615/D612)*AJ76</f>
        <v>90937.025551088678</v>
      </c>
      <c r="E701" s="180">
        <f>(E623/E612)*SUM(C701:D701)</f>
        <v>132459.48267708681</v>
      </c>
      <c r="F701" s="180">
        <f>(F624/F612)*AJ64</f>
        <v>12707.361500203942</v>
      </c>
      <c r="G701" s="180">
        <f>(G625/G612)*AJ77</f>
        <v>0</v>
      </c>
      <c r="H701" s="180">
        <f>(H628/H612)*AJ60</f>
        <v>60715.466244769843</v>
      </c>
      <c r="I701" s="180">
        <f>(I629/I612)*AJ78</f>
        <v>61283.817080152447</v>
      </c>
      <c r="J701" s="180">
        <f>(J630/J612)*AJ79</f>
        <v>608.9692035031876</v>
      </c>
      <c r="K701" s="180">
        <f>(K644/K612)*AJ75</f>
        <v>324477.29548326571</v>
      </c>
      <c r="L701" s="180">
        <f>(L647/L612)*AJ80</f>
        <v>40791.73789407609</v>
      </c>
      <c r="M701" s="180">
        <f t="shared" si="20"/>
        <v>723981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227501</v>
      </c>
      <c r="D702" s="180">
        <f>(D615/D612)*AK76</f>
        <v>10827.789439602839</v>
      </c>
      <c r="E702" s="180">
        <f>(E623/E612)*SUM(C702:D702)</f>
        <v>14918.55499719738</v>
      </c>
      <c r="F702" s="180">
        <f>(F624/F612)*AK64</f>
        <v>805.48315167538124</v>
      </c>
      <c r="G702" s="180">
        <f>(G625/G612)*AK77</f>
        <v>0</v>
      </c>
      <c r="H702" s="180">
        <f>(H628/H612)*AK60</f>
        <v>0</v>
      </c>
      <c r="I702" s="180">
        <f>(I629/I612)*AK78</f>
        <v>2805.6022160246293</v>
      </c>
      <c r="J702" s="180">
        <f>(J630/J612)*AK79</f>
        <v>2661.0418976609876</v>
      </c>
      <c r="K702" s="180">
        <f>(K644/K612)*AK75</f>
        <v>49991.5575547509</v>
      </c>
      <c r="L702" s="180">
        <f>(L647/L612)*AK80</f>
        <v>0</v>
      </c>
      <c r="M702" s="180">
        <f t="shared" si="20"/>
        <v>82010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118191</v>
      </c>
      <c r="D703" s="180">
        <f>(D615/D612)*AL76</f>
        <v>1476.5167417640234</v>
      </c>
      <c r="E703" s="180">
        <f>(E623/E612)*SUM(C703:D703)</f>
        <v>7490.7711908739666</v>
      </c>
      <c r="F703" s="180">
        <f>(F624/F612)*AL64</f>
        <v>300.61487767025983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28146.963725078876</v>
      </c>
      <c r="L703" s="180">
        <f>(L647/L612)*AL80</f>
        <v>0</v>
      </c>
      <c r="M703" s="180">
        <f t="shared" si="20"/>
        <v>37415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145142</v>
      </c>
      <c r="D713" s="180">
        <f>(D615/D612)*AV76</f>
        <v>31121.691768070581</v>
      </c>
      <c r="E713" s="180">
        <f>(E623/E612)*SUM(C713:D713)</f>
        <v>11033.4953063545</v>
      </c>
      <c r="F713" s="180">
        <f>(F624/F612)*AV64</f>
        <v>411.21291485618713</v>
      </c>
      <c r="G713" s="180">
        <f>(G625/G612)*AV77</f>
        <v>0</v>
      </c>
      <c r="H713" s="180">
        <f>(H628/H612)*AV60</f>
        <v>10441.276630832514</v>
      </c>
      <c r="I713" s="180">
        <f>(I629/I612)*AV78</f>
        <v>7639.3506123080269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60647</v>
      </c>
      <c r="N713" s="199" t="s">
        <v>741</v>
      </c>
    </row>
    <row r="715" spans="1:83" ht="12.6" customHeight="1" x14ac:dyDescent="0.25">
      <c r="C715" s="180">
        <f>SUM(C614:C647)+SUM(C668:C713)</f>
        <v>17110166.859999999</v>
      </c>
      <c r="D715" s="180">
        <f>SUM(D616:D647)+SUM(D668:D713)</f>
        <v>1216092</v>
      </c>
      <c r="E715" s="180">
        <f>SUM(E624:E647)+SUM(E668:E713)</f>
        <v>1007943.3049132555</v>
      </c>
      <c r="F715" s="180">
        <f>SUM(F625:F648)+SUM(F668:F713)</f>
        <v>147282.46486060845</v>
      </c>
      <c r="G715" s="180">
        <f>SUM(G626:G647)+SUM(G668:G713)</f>
        <v>905924.78003000224</v>
      </c>
      <c r="H715" s="180">
        <f>SUM(H629:H647)+SUM(H668:H713)</f>
        <v>427386.34807058919</v>
      </c>
      <c r="I715" s="180">
        <f>SUM(I630:I647)+SUM(I668:I713)</f>
        <v>526608.15570418921</v>
      </c>
      <c r="J715" s="180">
        <f>SUM(J631:J647)+SUM(J668:J713)</f>
        <v>160875.33487840093</v>
      </c>
      <c r="K715" s="180">
        <f>SUM(K668:K713)</f>
        <v>2317569.199857567</v>
      </c>
      <c r="L715" s="180">
        <f>SUM(L668:L713)</f>
        <v>356379.12802907301</v>
      </c>
      <c r="M715" s="180">
        <f>SUM(M668:M713)</f>
        <v>6024340</v>
      </c>
      <c r="N715" s="198" t="s">
        <v>742</v>
      </c>
    </row>
    <row r="716" spans="1:83" ht="12.6" customHeight="1" x14ac:dyDescent="0.25">
      <c r="C716" s="180">
        <f>CE71</f>
        <v>17110166.859999999</v>
      </c>
      <c r="D716" s="180">
        <f>D615</f>
        <v>1216092</v>
      </c>
      <c r="E716" s="180">
        <f>E623</f>
        <v>1007943.3049132557</v>
      </c>
      <c r="F716" s="180">
        <f>F624</f>
        <v>147282.46486060845</v>
      </c>
      <c r="G716" s="180">
        <f>G625</f>
        <v>905924.78003000224</v>
      </c>
      <c r="H716" s="180">
        <f>H628</f>
        <v>427386.34807058924</v>
      </c>
      <c r="I716" s="180">
        <f>I629</f>
        <v>526608.15570418909</v>
      </c>
      <c r="J716" s="180">
        <f>J630</f>
        <v>160875.3348784009</v>
      </c>
      <c r="K716" s="180">
        <f>K644</f>
        <v>2317569.199857567</v>
      </c>
      <c r="L716" s="180">
        <f>L647</f>
        <v>356379.12802907306</v>
      </c>
      <c r="M716" s="180">
        <f>C648</f>
        <v>6024340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045*2017*A</v>
      </c>
      <c r="B722" s="276">
        <f>ROUND(C165,0)</f>
        <v>539232</v>
      </c>
      <c r="C722" s="276">
        <f>ROUND(C166,0)</f>
        <v>764</v>
      </c>
      <c r="D722" s="276">
        <f>ROUND(C167,0)</f>
        <v>8180</v>
      </c>
      <c r="E722" s="276">
        <f>ROUND(C168,0)</f>
        <v>850646</v>
      </c>
      <c r="F722" s="276">
        <f>ROUND(C169,0)</f>
        <v>6975</v>
      </c>
      <c r="G722" s="276">
        <f>ROUND(C170,0)</f>
        <v>297958</v>
      </c>
      <c r="H722" s="276">
        <f>ROUND(C171+C172,0)</f>
        <v>88656</v>
      </c>
      <c r="I722" s="276">
        <f>ROUND(C175,0)</f>
        <v>1412</v>
      </c>
      <c r="J722" s="276">
        <f>ROUND(C176,0)</f>
        <v>199923</v>
      </c>
      <c r="K722" s="276">
        <f>ROUND(C179,0)</f>
        <v>132562</v>
      </c>
      <c r="L722" s="276">
        <f>ROUND(C180,0)</f>
        <v>42013</v>
      </c>
      <c r="M722" s="276">
        <f>ROUND(C183,0)</f>
        <v>0</v>
      </c>
      <c r="N722" s="276">
        <f>ROUND(C184,0)</f>
        <v>28089</v>
      </c>
      <c r="O722" s="276">
        <f>ROUND(C185,0)</f>
        <v>0</v>
      </c>
      <c r="P722" s="276">
        <f>ROUND(C188,0)</f>
        <v>0</v>
      </c>
      <c r="Q722" s="276">
        <f>ROUND(C189,0)</f>
        <v>740771</v>
      </c>
      <c r="R722" s="276">
        <f>ROUND(B195,0)</f>
        <v>99457</v>
      </c>
      <c r="S722" s="276">
        <f>ROUND(C195,0)</f>
        <v>0</v>
      </c>
      <c r="T722" s="276">
        <f>ROUND(D195,0)</f>
        <v>0</v>
      </c>
      <c r="U722" s="276">
        <f>ROUND(B196,0)</f>
        <v>186843</v>
      </c>
      <c r="V722" s="276">
        <f>ROUND(C196,0)</f>
        <v>0</v>
      </c>
      <c r="W722" s="276">
        <f>ROUND(D196,0)</f>
        <v>0</v>
      </c>
      <c r="X722" s="276">
        <f>ROUND(B197,0)</f>
        <v>22435861</v>
      </c>
      <c r="Y722" s="276">
        <f>ROUND(C197,0)</f>
        <v>6708</v>
      </c>
      <c r="Z722" s="276">
        <f>ROUND(D197,0)</f>
        <v>0</v>
      </c>
      <c r="AA722" s="276">
        <f>ROUND(B198,0)</f>
        <v>1281894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2805974</v>
      </c>
      <c r="AH722" s="276">
        <f>ROUND(C200,0)</f>
        <v>151066</v>
      </c>
      <c r="AI722" s="276">
        <f>ROUND(D200,0)</f>
        <v>13607</v>
      </c>
      <c r="AJ722" s="276">
        <f>ROUND(B201,0)</f>
        <v>510819</v>
      </c>
      <c r="AK722" s="276">
        <f>ROUND(C201,0)</f>
        <v>0</v>
      </c>
      <c r="AL722" s="276">
        <f>ROUND(D201,0)</f>
        <v>40184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12558</v>
      </c>
      <c r="AQ722" s="276">
        <f>ROUND(C203,0)</f>
        <v>4103239</v>
      </c>
      <c r="AR722" s="276">
        <f>ROUND(D203,0)</f>
        <v>0</v>
      </c>
      <c r="AS722" s="276"/>
      <c r="AT722" s="276"/>
      <c r="AU722" s="276"/>
      <c r="AV722" s="276">
        <f>ROUND(B209,0)</f>
        <v>90368</v>
      </c>
      <c r="AW722" s="276">
        <f>ROUND(C209,0)</f>
        <v>11273</v>
      </c>
      <c r="AX722" s="276">
        <f>ROUND(D209,0)</f>
        <v>0</v>
      </c>
      <c r="AY722" s="276">
        <f>ROUND(B210,0)</f>
        <v>7149614</v>
      </c>
      <c r="AZ722" s="276">
        <f>ROUND(C210,0)</f>
        <v>924107</v>
      </c>
      <c r="BA722" s="276">
        <f>ROUND(D210,0)</f>
        <v>0</v>
      </c>
      <c r="BB722" s="276">
        <f>ROUND(B211,0)</f>
        <v>699232</v>
      </c>
      <c r="BC722" s="276">
        <f>ROUND(C211,0)</f>
        <v>96639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2157276</v>
      </c>
      <c r="BI722" s="276">
        <f>ROUND(C213,0)</f>
        <v>220699</v>
      </c>
      <c r="BJ722" s="276">
        <f>ROUND(D213,0)</f>
        <v>23429</v>
      </c>
      <c r="BK722" s="276">
        <f>ROUND(B214,0)</f>
        <v>345681</v>
      </c>
      <c r="BL722" s="276">
        <f>ROUND(C214,0)</f>
        <v>84742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974590</v>
      </c>
      <c r="BU722" s="276">
        <f>ROUND(C224,0)</f>
        <v>2561206</v>
      </c>
      <c r="BV722" s="276">
        <f>ROUND(C225,0)</f>
        <v>122738</v>
      </c>
      <c r="BW722" s="276">
        <f>ROUND(C226,0)</f>
        <v>0</v>
      </c>
      <c r="BX722" s="276">
        <f>ROUND(C227,0)</f>
        <v>0</v>
      </c>
      <c r="BY722" s="276">
        <f>ROUND(C228,0)</f>
        <v>1833007</v>
      </c>
      <c r="BZ722" s="276">
        <f>ROUND(C231,0)</f>
        <v>0</v>
      </c>
      <c r="CA722" s="276">
        <f>ROUND(C233,0)</f>
        <v>39531</v>
      </c>
      <c r="CB722" s="276">
        <f>ROUND(C234,0)</f>
        <v>1260</v>
      </c>
      <c r="CC722" s="276">
        <f>ROUND(C238+C239,0)</f>
        <v>29286</v>
      </c>
      <c r="CD722" s="276">
        <f>D221</f>
        <v>620441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045*2017*A</v>
      </c>
      <c r="B726" s="276">
        <f>ROUND(C111,0)</f>
        <v>151</v>
      </c>
      <c r="C726" s="276">
        <f>ROUND(C112,0)</f>
        <v>144</v>
      </c>
      <c r="D726" s="276">
        <f>ROUND(C113,0)</f>
        <v>0</v>
      </c>
      <c r="E726" s="276">
        <f>ROUND(C114,0)</f>
        <v>0</v>
      </c>
      <c r="F726" s="276">
        <f>ROUND(D111,0)</f>
        <v>426</v>
      </c>
      <c r="G726" s="276">
        <f>ROUND(D112,0)</f>
        <v>19869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4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12</v>
      </c>
      <c r="R726" s="276">
        <f>ROUND(C124,0)</f>
        <v>21</v>
      </c>
      <c r="S726" s="276">
        <f>ROUND(C125,0)</f>
        <v>0</v>
      </c>
      <c r="T726" s="276"/>
      <c r="U726" s="276">
        <f>ROUND(C126,0)</f>
        <v>32</v>
      </c>
      <c r="V726" s="276">
        <f>ROUND(C128,0)</f>
        <v>0</v>
      </c>
      <c r="W726" s="276">
        <f>ROUND(C129,0)</f>
        <v>0</v>
      </c>
      <c r="X726" s="276">
        <f>ROUND(B138,0)</f>
        <v>120</v>
      </c>
      <c r="Y726" s="276">
        <f>ROUND(B139,0)</f>
        <v>353</v>
      </c>
      <c r="Z726" s="276">
        <f>ROUND(B140,0)</f>
        <v>0</v>
      </c>
      <c r="AA726" s="276">
        <f>ROUND(B141,0)</f>
        <v>1855517</v>
      </c>
      <c r="AB726" s="276">
        <f>ROUND(B142,0)</f>
        <v>6922143</v>
      </c>
      <c r="AC726" s="276">
        <f>ROUND(C138,0)</f>
        <v>18</v>
      </c>
      <c r="AD726" s="276">
        <f>ROUND(C139,0)</f>
        <v>43</v>
      </c>
      <c r="AE726" s="276">
        <f>ROUND(C140,0)</f>
        <v>0</v>
      </c>
      <c r="AF726" s="276">
        <f>ROUND(C141,0)</f>
        <v>163138</v>
      </c>
      <c r="AG726" s="276">
        <f>ROUND(C142,0)</f>
        <v>4235946</v>
      </c>
      <c r="AH726" s="276">
        <f>ROUND(D138,0)</f>
        <v>13</v>
      </c>
      <c r="AI726" s="276">
        <f>ROUND(D139,0)</f>
        <v>30</v>
      </c>
      <c r="AJ726" s="276">
        <f>ROUND(D140,0)</f>
        <v>0</v>
      </c>
      <c r="AK726" s="276">
        <f>ROUND(D141,0)</f>
        <v>407496</v>
      </c>
      <c r="AL726" s="276">
        <f>ROUND(D142,0)</f>
        <v>4725721</v>
      </c>
      <c r="AM726" s="276">
        <f>ROUND(B144,0)</f>
        <v>100</v>
      </c>
      <c r="AN726" s="276">
        <f>ROUND(B145,0)</f>
        <v>2222</v>
      </c>
      <c r="AO726" s="276">
        <f>ROUND(B146,0)</f>
        <v>0</v>
      </c>
      <c r="AP726" s="276">
        <f>ROUND(B147,0)</f>
        <v>539483</v>
      </c>
      <c r="AQ726" s="276">
        <f>ROUND(B148,0)</f>
        <v>0</v>
      </c>
      <c r="AR726" s="276">
        <f>ROUND(C144,0)</f>
        <v>26</v>
      </c>
      <c r="AS726" s="276">
        <f>ROUND(C145,0)</f>
        <v>9426</v>
      </c>
      <c r="AT726" s="276">
        <f>ROUND(C146,0)</f>
        <v>0</v>
      </c>
      <c r="AU726" s="276">
        <f>ROUND(C147,0)</f>
        <v>1765385</v>
      </c>
      <c r="AV726" s="276">
        <f>ROUND(C148,0)</f>
        <v>0</v>
      </c>
      <c r="AW726" s="276">
        <f>ROUND(D144,0)</f>
        <v>18</v>
      </c>
      <c r="AX726" s="276">
        <f>ROUND(D145,0)</f>
        <v>8221</v>
      </c>
      <c r="AY726" s="276">
        <f>ROUND(D146,0)</f>
        <v>0</v>
      </c>
      <c r="AZ726" s="276">
        <f>ROUND(D147,0)</f>
        <v>1226851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045*2017*A</v>
      </c>
      <c r="B730" s="276">
        <f>ROUND(C250,0)</f>
        <v>3875784</v>
      </c>
      <c r="C730" s="276">
        <f>ROUND(C251,0)</f>
        <v>0</v>
      </c>
      <c r="D730" s="276">
        <f>ROUND(C252,0)</f>
        <v>2562660</v>
      </c>
      <c r="E730" s="276">
        <f>ROUND(C253,0)</f>
        <v>926000</v>
      </c>
      <c r="F730" s="276">
        <f>ROUND(C254,0)</f>
        <v>235945</v>
      </c>
      <c r="G730" s="276">
        <f>ROUND(C255,0)</f>
        <v>462498</v>
      </c>
      <c r="H730" s="276">
        <f>ROUND(C256,0)</f>
        <v>0</v>
      </c>
      <c r="I730" s="276">
        <f>ROUND(C257,0)</f>
        <v>79538</v>
      </c>
      <c r="J730" s="276">
        <f>ROUND(C258,0)</f>
        <v>170873</v>
      </c>
      <c r="K730" s="276">
        <f>ROUND(C259,0)</f>
        <v>0</v>
      </c>
      <c r="L730" s="276">
        <f>ROUND(C262,0)</f>
        <v>3133169</v>
      </c>
      <c r="M730" s="276">
        <f>ROUND(C263,0)</f>
        <v>32592</v>
      </c>
      <c r="N730" s="276">
        <f>ROUND(C264,0)</f>
        <v>0</v>
      </c>
      <c r="O730" s="276">
        <f>ROUND(C267,0)</f>
        <v>99457</v>
      </c>
      <c r="P730" s="276">
        <f>ROUND(C268,0)</f>
        <v>186843</v>
      </c>
      <c r="Q730" s="276">
        <f>ROUND(C269,0)</f>
        <v>22442569</v>
      </c>
      <c r="R730" s="276">
        <f>ROUND(C270,0)</f>
        <v>1281894</v>
      </c>
      <c r="S730" s="276">
        <f>ROUND(C271,0)</f>
        <v>0</v>
      </c>
      <c r="T730" s="276">
        <f>ROUND(C272,0)</f>
        <v>3414069</v>
      </c>
      <c r="U730" s="276">
        <f>ROUND(C273,0)</f>
        <v>0</v>
      </c>
      <c r="V730" s="276">
        <f>ROUND(C274,0)</f>
        <v>4115797</v>
      </c>
      <c r="W730" s="276">
        <f>ROUND(C275,0)</f>
        <v>0</v>
      </c>
      <c r="X730" s="276">
        <f>ROUND(C276,0)</f>
        <v>11756201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-448864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2157443</v>
      </c>
      <c r="AI730" s="276">
        <f>ROUND(C306,0)</f>
        <v>915187</v>
      </c>
      <c r="AJ730" s="276">
        <f>ROUND(C307,0)</f>
        <v>0</v>
      </c>
      <c r="AK730" s="276">
        <f>ROUND(C308,0)</f>
        <v>0</v>
      </c>
      <c r="AL730" s="276">
        <f>ROUND(C309,0)</f>
        <v>564759</v>
      </c>
      <c r="AM730" s="276">
        <f>ROUND(C310,0)</f>
        <v>0</v>
      </c>
      <c r="AN730" s="276">
        <f>ROUND(C311,0)</f>
        <v>0</v>
      </c>
      <c r="AO730" s="276">
        <f>ROUND(C312,0)</f>
        <v>3673</v>
      </c>
      <c r="AP730" s="276">
        <f>ROUND(C313,0)</f>
        <v>58546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16291965</v>
      </c>
      <c r="AY730" s="276">
        <f>ROUND(C326,0)</f>
        <v>58546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8971050</v>
      </c>
      <c r="BF730" s="276">
        <f>ROUND(C336,0)</f>
        <v>0</v>
      </c>
      <c r="BG730" s="276"/>
      <c r="BH730" s="276"/>
      <c r="BI730" s="276">
        <f>ROUND(CE60,2)</f>
        <v>138.74</v>
      </c>
      <c r="BJ730" s="276">
        <f>ROUND(C359,0)</f>
        <v>5957869</v>
      </c>
      <c r="BK730" s="276">
        <f>ROUND(C360,0)</f>
        <v>15883810</v>
      </c>
      <c r="BL730" s="276">
        <f>ROUND(C364,0)</f>
        <v>5491541</v>
      </c>
      <c r="BM730" s="276">
        <f>ROUND(C365,0)</f>
        <v>40791</v>
      </c>
      <c r="BN730" s="276">
        <f>ROUND(C366,0)</f>
        <v>29286</v>
      </c>
      <c r="BO730" s="276">
        <f>ROUND(C370,0)</f>
        <v>1305817</v>
      </c>
      <c r="BP730" s="276">
        <f>ROUND(C371,0)</f>
        <v>479315</v>
      </c>
      <c r="BQ730" s="276">
        <f>ROUND(C378,0)</f>
        <v>7358123</v>
      </c>
      <c r="BR730" s="276">
        <f>ROUND(C379,0)</f>
        <v>1792411</v>
      </c>
      <c r="BS730" s="276">
        <f>ROUND(C380,0)</f>
        <v>3820970</v>
      </c>
      <c r="BT730" s="276">
        <f>ROUND(C381,0)</f>
        <v>1282944</v>
      </c>
      <c r="BU730" s="276">
        <f>ROUND(C382,0)</f>
        <v>223138</v>
      </c>
      <c r="BV730" s="276">
        <f>ROUND(C383,0)</f>
        <v>1261052</v>
      </c>
      <c r="BW730" s="276">
        <f>ROUND(C384,0)</f>
        <v>1337460</v>
      </c>
      <c r="BX730" s="276">
        <f>ROUND(C385,0)</f>
        <v>201335</v>
      </c>
      <c r="BY730" s="276">
        <f>ROUND(C386,0)</f>
        <v>174575</v>
      </c>
      <c r="BZ730" s="276">
        <f>ROUND(C387,0)</f>
        <v>28089</v>
      </c>
      <c r="CA730" s="276">
        <f>ROUND(C388,0)</f>
        <v>740771</v>
      </c>
      <c r="CB730" s="276">
        <f>C363</f>
        <v>620441</v>
      </c>
      <c r="CC730" s="276">
        <f>ROUND(C389,0)</f>
        <v>195113</v>
      </c>
      <c r="CD730" s="276">
        <f>ROUND(C392,0)</f>
        <v>1041532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045*2017*6010*A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045*2017*6030*A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045*2017*6070*A</v>
      </c>
      <c r="B736" s="276">
        <f>ROUND(E59,0)</f>
        <v>426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14393</v>
      </c>
      <c r="H736" s="276">
        <f>ROUND(E65,0)</f>
        <v>0</v>
      </c>
      <c r="I736" s="276">
        <f>ROUND(E66,0)</f>
        <v>6284</v>
      </c>
      <c r="J736" s="276">
        <f>ROUND(E67,0)</f>
        <v>236968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616330</v>
      </c>
      <c r="O736" s="276">
        <f>ROUND(E73,0)</f>
        <v>630860</v>
      </c>
      <c r="P736" s="276">
        <f>IF(E76&gt;0,ROUND(E76,0),0)</f>
        <v>13772</v>
      </c>
      <c r="Q736" s="276">
        <f>IF(E77&gt;0,ROUND(E77,0),0)</f>
        <v>1730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343784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045*2017*6100*A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045*2017*6120*A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045*2017*6140*A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045*2017*6150*A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045*2017*6170*A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045*2017*6200*A</v>
      </c>
      <c r="B742" s="276">
        <f>ROUND(K59,0)</f>
        <v>14775</v>
      </c>
      <c r="C742" s="278">
        <f>ROUND(K60,2)</f>
        <v>21.68</v>
      </c>
      <c r="D742" s="276">
        <f>ROUND(K61,0)</f>
        <v>1041613</v>
      </c>
      <c r="E742" s="276">
        <f>ROUND(K62,0)</f>
        <v>253733</v>
      </c>
      <c r="F742" s="276">
        <f>ROUND(K63,0)</f>
        <v>210392</v>
      </c>
      <c r="G742" s="276">
        <f>ROUND(K64,0)</f>
        <v>31354</v>
      </c>
      <c r="H742" s="276">
        <f>ROUND(K65,0)</f>
        <v>0</v>
      </c>
      <c r="I742" s="276">
        <f>ROUND(K66,0)</f>
        <v>7308</v>
      </c>
      <c r="J742" s="276">
        <f>ROUND(K67,0)</f>
        <v>293457</v>
      </c>
      <c r="K742" s="276">
        <f>ROUND(K68,0)</f>
        <v>0</v>
      </c>
      <c r="L742" s="276">
        <f>ROUND(K69,0)</f>
        <v>1850</v>
      </c>
      <c r="M742" s="276">
        <f>ROUND(K70,0)</f>
        <v>0</v>
      </c>
      <c r="N742" s="276">
        <f>ROUND(K75,0)</f>
        <v>2079096</v>
      </c>
      <c r="O742" s="276">
        <f>ROUND(K73,0)</f>
        <v>2079096</v>
      </c>
      <c r="P742" s="276">
        <f>IF(K76&gt;0,ROUND(K76,0),0)</f>
        <v>17055</v>
      </c>
      <c r="Q742" s="276">
        <f>IF(K77&gt;0,ROUND(K77,0),0)</f>
        <v>44237</v>
      </c>
      <c r="R742" s="276">
        <f>IF(K78&gt;0,ROUND(K78,0),0)</f>
        <v>4364</v>
      </c>
      <c r="S742" s="276">
        <f>IF(K79&gt;0,ROUND(K79,0),0)</f>
        <v>46043</v>
      </c>
      <c r="T742" s="278">
        <f>IF(K80&gt;0,ROUND(K80,2),0)</f>
        <v>23.69</v>
      </c>
      <c r="U742" s="276"/>
      <c r="V742" s="277"/>
      <c r="W742" s="276"/>
      <c r="X742" s="276"/>
      <c r="Y742" s="276">
        <f t="shared" si="21"/>
        <v>1580796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045*2017*6210*A</v>
      </c>
      <c r="B743" s="276">
        <f>ROUND(L59,0)</f>
        <v>5094</v>
      </c>
      <c r="C743" s="278">
        <f>ROUND(L60,2)</f>
        <v>21.13</v>
      </c>
      <c r="D743" s="276">
        <f>ROUND(L61,0)</f>
        <v>1089761</v>
      </c>
      <c r="E743" s="276">
        <f>ROUND(L62,0)</f>
        <v>265462</v>
      </c>
      <c r="F743" s="276">
        <f>ROUND(L63,0)</f>
        <v>407454</v>
      </c>
      <c r="G743" s="276">
        <f>ROUND(L64,0)</f>
        <v>73341</v>
      </c>
      <c r="H743" s="276">
        <f>ROUND(L65,0)</f>
        <v>0</v>
      </c>
      <c r="I743" s="276">
        <f>ROUND(L66,0)</f>
        <v>13122</v>
      </c>
      <c r="J743" s="276">
        <f>ROUND(L67,0)</f>
        <v>0</v>
      </c>
      <c r="K743" s="276">
        <f>ROUND(L68,0)</f>
        <v>0</v>
      </c>
      <c r="L743" s="276">
        <f>ROUND(L69,0)</f>
        <v>4555</v>
      </c>
      <c r="M743" s="276">
        <f>ROUND(L70,0)</f>
        <v>0</v>
      </c>
      <c r="N743" s="276">
        <f>ROUND(L75,0)</f>
        <v>1452620</v>
      </c>
      <c r="O743" s="276">
        <f>ROUND(L73,0)</f>
        <v>1452620</v>
      </c>
      <c r="P743" s="276">
        <f>IF(L76&gt;0,ROUND(L76,0),0)</f>
        <v>0</v>
      </c>
      <c r="Q743" s="276">
        <f>IF(L77&gt;0,ROUND(L77,0),0)</f>
        <v>15296</v>
      </c>
      <c r="R743" s="276">
        <f>IF(L78&gt;0,ROUND(L78,0),0)</f>
        <v>4631</v>
      </c>
      <c r="S743" s="276">
        <f>IF(L79&gt;0,ROUND(L79,0),0)</f>
        <v>45198</v>
      </c>
      <c r="T743" s="278">
        <f>IF(L80&gt;0,ROUND(L80,2),0)</f>
        <v>24.4</v>
      </c>
      <c r="U743" s="276"/>
      <c r="V743" s="277"/>
      <c r="W743" s="276"/>
      <c r="X743" s="276"/>
      <c r="Y743" s="276">
        <f t="shared" si="21"/>
        <v>890062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045*2017*6330*A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045*2017*6400*A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045*2017*7010*A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045*2017*7020*A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045*2017*7030*A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045*2017*7040*A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045*2017*7050*A</v>
      </c>
      <c r="B750" s="276"/>
      <c r="C750" s="278">
        <f>ROUND(S60,2)</f>
        <v>1.32</v>
      </c>
      <c r="D750" s="276">
        <f>ROUND(S61,0)</f>
        <v>54726</v>
      </c>
      <c r="E750" s="276">
        <f>ROUND(S62,0)</f>
        <v>13331</v>
      </c>
      <c r="F750" s="276">
        <f>ROUND(S63,0)</f>
        <v>0</v>
      </c>
      <c r="G750" s="276">
        <f>ROUND(S64,0)</f>
        <v>22775</v>
      </c>
      <c r="H750" s="276">
        <f>ROUND(S65,0)</f>
        <v>0</v>
      </c>
      <c r="I750" s="276">
        <f>ROUND(S66,0)</f>
        <v>0</v>
      </c>
      <c r="J750" s="276">
        <f>ROUND(S67,0)</f>
        <v>12922</v>
      </c>
      <c r="K750" s="276">
        <f>ROUND(S68,0)</f>
        <v>0</v>
      </c>
      <c r="L750" s="276">
        <f>ROUND(S69,0)</f>
        <v>100</v>
      </c>
      <c r="M750" s="276">
        <f>ROUND(S70,0)</f>
        <v>2156</v>
      </c>
      <c r="N750" s="276">
        <f>ROUND(S75,0)</f>
        <v>136057</v>
      </c>
      <c r="O750" s="276">
        <f>ROUND(S73,0)</f>
        <v>20412</v>
      </c>
      <c r="P750" s="276">
        <f>IF(S76&gt;0,ROUND(S76,0),0)</f>
        <v>751</v>
      </c>
      <c r="Q750" s="276">
        <f>IF(S77&gt;0,ROUND(S77,0),0)</f>
        <v>0</v>
      </c>
      <c r="R750" s="276">
        <f>IF(S78&gt;0,ROUND(S78,0),0)</f>
        <v>245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49761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045*2017*7060*A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738</v>
      </c>
      <c r="H751" s="276">
        <f>ROUND(T65,0)</f>
        <v>0</v>
      </c>
      <c r="I751" s="276">
        <f>ROUND(T66,0)</f>
        <v>3160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285421</v>
      </c>
      <c r="O751" s="276">
        <f>ROUND(T73,0)</f>
        <v>21005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30616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045*2017*7070*A</v>
      </c>
      <c r="B752" s="276">
        <f>ROUND(U59,0)</f>
        <v>119005</v>
      </c>
      <c r="C752" s="278">
        <f>ROUND(U60,2)</f>
        <v>6.32</v>
      </c>
      <c r="D752" s="276">
        <f>ROUND(U61,0)</f>
        <v>348385</v>
      </c>
      <c r="E752" s="276">
        <f>ROUND(U62,0)</f>
        <v>84865</v>
      </c>
      <c r="F752" s="276">
        <f>ROUND(U63,0)</f>
        <v>7269</v>
      </c>
      <c r="G752" s="276">
        <f>ROUND(U64,0)</f>
        <v>283351</v>
      </c>
      <c r="H752" s="276">
        <f>ROUND(U65,0)</f>
        <v>0</v>
      </c>
      <c r="I752" s="276">
        <f>ROUND(U66,0)</f>
        <v>38982</v>
      </c>
      <c r="J752" s="276">
        <f>ROUND(U67,0)</f>
        <v>20355</v>
      </c>
      <c r="K752" s="276">
        <f>ROUND(U68,0)</f>
        <v>8142</v>
      </c>
      <c r="L752" s="276">
        <f>ROUND(U69,0)</f>
        <v>13966</v>
      </c>
      <c r="M752" s="276">
        <f>ROUND(U70,0)</f>
        <v>24186</v>
      </c>
      <c r="N752" s="276">
        <f>ROUND(U75,0)</f>
        <v>2618559</v>
      </c>
      <c r="O752" s="276">
        <f>ROUND(U73,0)</f>
        <v>218039</v>
      </c>
      <c r="P752" s="276">
        <f>IF(U76&gt;0,ROUND(U76,0),0)</f>
        <v>1183</v>
      </c>
      <c r="Q752" s="276">
        <f>IF(U77&gt;0,ROUND(U77,0),0)</f>
        <v>0</v>
      </c>
      <c r="R752" s="276">
        <f>IF(U78&gt;0,ROUND(U78,0),0)</f>
        <v>263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413080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045*2017*7110*A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81394</v>
      </c>
      <c r="O753" s="276">
        <f>ROUND(V73,0)</f>
        <v>3606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8637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045*2017*7120*A</v>
      </c>
      <c r="B754" s="276">
        <f>ROUND(W59,0)</f>
        <v>2526</v>
      </c>
      <c r="C754" s="278">
        <f>ROUND(W60,2)</f>
        <v>0.02</v>
      </c>
      <c r="D754" s="276">
        <f>ROUND(W61,0)</f>
        <v>1339</v>
      </c>
      <c r="E754" s="276">
        <f>ROUND(W62,0)</f>
        <v>326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95415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411374</v>
      </c>
      <c r="O754" s="276">
        <f>ROUND(W73,0)</f>
        <v>19797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203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50061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045*2017*7130*A</v>
      </c>
      <c r="B755" s="276">
        <f>ROUND(X59,0)</f>
        <v>9598</v>
      </c>
      <c r="C755" s="278">
        <f>ROUND(X60,2)</f>
        <v>0.55000000000000004</v>
      </c>
      <c r="D755" s="276">
        <f>ROUND(X61,0)</f>
        <v>41701</v>
      </c>
      <c r="E755" s="276">
        <f>ROUND(X62,0)</f>
        <v>10158</v>
      </c>
      <c r="F755" s="276">
        <f>ROUND(X63,0)</f>
        <v>0</v>
      </c>
      <c r="G755" s="276">
        <f>ROUND(X64,0)</f>
        <v>15525</v>
      </c>
      <c r="H755" s="276">
        <f>ROUND(X65,0)</f>
        <v>0</v>
      </c>
      <c r="I755" s="276">
        <f>ROUND(X66,0)</f>
        <v>25087</v>
      </c>
      <c r="J755" s="276">
        <f>ROUND(X67,0)</f>
        <v>8793</v>
      </c>
      <c r="K755" s="276">
        <f>ROUND(X68,0)</f>
        <v>146356</v>
      </c>
      <c r="L755" s="276">
        <f>ROUND(X69,0)</f>
        <v>0</v>
      </c>
      <c r="M755" s="276">
        <f>ROUND(X70,0)</f>
        <v>0</v>
      </c>
      <c r="N755" s="276">
        <f>ROUND(X75,0)</f>
        <v>1789631</v>
      </c>
      <c r="O755" s="276">
        <f>ROUND(X73,0)</f>
        <v>65874</v>
      </c>
      <c r="P755" s="276">
        <f>IF(X76&gt;0,ROUND(X76,0),0)</f>
        <v>511</v>
      </c>
      <c r="Q755" s="276">
        <f>IF(X77&gt;0,ROUND(X77,0),0)</f>
        <v>0</v>
      </c>
      <c r="R755" s="276">
        <f>IF(X78&gt;0,ROUND(X78,0),0)</f>
        <v>504</v>
      </c>
      <c r="S755" s="276">
        <f>IF(X79&gt;0,ROUND(X79,0),0)</f>
        <v>637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236023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045*2017*7140*A</v>
      </c>
      <c r="B756" s="276">
        <f>ROUND(Y59,0)</f>
        <v>6018</v>
      </c>
      <c r="C756" s="278">
        <f>ROUND(Y60,2)</f>
        <v>4.22</v>
      </c>
      <c r="D756" s="276">
        <f>ROUND(Y61,0)</f>
        <v>305230</v>
      </c>
      <c r="E756" s="276">
        <f>ROUND(Y62,0)</f>
        <v>74353</v>
      </c>
      <c r="F756" s="276">
        <f>ROUND(Y63,0)</f>
        <v>270955</v>
      </c>
      <c r="G756" s="276">
        <f>ROUND(Y64,0)</f>
        <v>6790</v>
      </c>
      <c r="H756" s="276">
        <f>ROUND(Y65,0)</f>
        <v>0</v>
      </c>
      <c r="I756" s="276">
        <f>ROUND(Y66,0)</f>
        <v>107817</v>
      </c>
      <c r="J756" s="276">
        <f>ROUND(Y67,0)</f>
        <v>23900</v>
      </c>
      <c r="K756" s="276">
        <f>ROUND(Y68,0)</f>
        <v>0</v>
      </c>
      <c r="L756" s="276">
        <f>ROUND(Y69,0)</f>
        <v>1131</v>
      </c>
      <c r="M756" s="276">
        <f>ROUND(Y70,0)</f>
        <v>0</v>
      </c>
      <c r="N756" s="276">
        <f>ROUND(Y75,0)</f>
        <v>1776808</v>
      </c>
      <c r="O756" s="276">
        <f>ROUND(Y73,0)</f>
        <v>97095</v>
      </c>
      <c r="P756" s="276">
        <f>IF(Y76&gt;0,ROUND(Y76,0),0)</f>
        <v>1389</v>
      </c>
      <c r="Q756" s="276">
        <f>IF(Y77&gt;0,ROUND(Y77,0),0)</f>
        <v>0</v>
      </c>
      <c r="R756" s="276">
        <f>IF(Y78&gt;0,ROUND(Y78,0),0)</f>
        <v>594</v>
      </c>
      <c r="S756" s="276">
        <f>IF(Y79&gt;0,ROUND(Y79,0),0)</f>
        <v>4154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304082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045*2017*7150*A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045*2017*7160*A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045*2017*7170*A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170363</v>
      </c>
      <c r="G759" s="276">
        <f>ROUND(AB64,0)</f>
        <v>278964</v>
      </c>
      <c r="H759" s="276">
        <f>ROUND(AB65,0)</f>
        <v>0</v>
      </c>
      <c r="I759" s="276">
        <f>ROUND(AB66,0)</f>
        <v>242549</v>
      </c>
      <c r="J759" s="276">
        <f>ROUND(AB67,0)</f>
        <v>6384</v>
      </c>
      <c r="K759" s="276">
        <f>ROUND(AB68,0)</f>
        <v>0</v>
      </c>
      <c r="L759" s="276">
        <f>ROUND(AB69,0)</f>
        <v>4775</v>
      </c>
      <c r="M759" s="276">
        <f>ROUND(AB70,0)</f>
        <v>854776</v>
      </c>
      <c r="N759" s="276">
        <f>ROUND(AB75,0)</f>
        <v>757359</v>
      </c>
      <c r="O759" s="276">
        <f>ROUND(AB73,0)</f>
        <v>478698</v>
      </c>
      <c r="P759" s="276">
        <f>IF(AB76&gt;0,ROUND(AB76,0),0)</f>
        <v>371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110153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045*2017*7180*A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045*2017*7190*A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045*2017*7200*A</v>
      </c>
      <c r="B762" s="276">
        <f>ROUND(AE59,0)</f>
        <v>20218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621719</v>
      </c>
      <c r="G762" s="276">
        <f>ROUND(AE64,0)</f>
        <v>9570</v>
      </c>
      <c r="H762" s="276">
        <f>ROUND(AE65,0)</f>
        <v>0</v>
      </c>
      <c r="I762" s="276">
        <f>ROUND(AE66,0)</f>
        <v>0</v>
      </c>
      <c r="J762" s="276">
        <f>ROUND(AE67,0)</f>
        <v>49537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1381964</v>
      </c>
      <c r="O762" s="276">
        <f>ROUND(AE73,0)</f>
        <v>321747</v>
      </c>
      <c r="P762" s="276">
        <f>IF(AE76&gt;0,ROUND(AE76,0),0)</f>
        <v>2879</v>
      </c>
      <c r="Q762" s="276">
        <f>IF(AE77&gt;0,ROUND(AE77,0),0)</f>
        <v>0</v>
      </c>
      <c r="R762" s="276">
        <f>IF(AE78&gt;0,ROUND(AE78,0),0)</f>
        <v>292</v>
      </c>
      <c r="S762" s="276">
        <f>IF(AE79&gt;0,ROUND(AE79,0),0)</f>
        <v>7373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259872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045*2017*7220*A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045*2017*7230*A</v>
      </c>
      <c r="B764" s="276">
        <f>ROUND(AG59,0)</f>
        <v>5023</v>
      </c>
      <c r="C764" s="278">
        <f>ROUND(AG60,2)</f>
        <v>7.38</v>
      </c>
      <c r="D764" s="276">
        <f>ROUND(AG61,0)</f>
        <v>434358</v>
      </c>
      <c r="E764" s="276">
        <f>ROUND(AG62,0)</f>
        <v>105808</v>
      </c>
      <c r="F764" s="276">
        <f>ROUND(AG63,0)</f>
        <v>1433613</v>
      </c>
      <c r="G764" s="276">
        <f>ROUND(AG64,0)</f>
        <v>39214</v>
      </c>
      <c r="H764" s="276">
        <f>ROUND(AG65,0)</f>
        <v>0</v>
      </c>
      <c r="I764" s="276">
        <f>ROUND(AG66,0)</f>
        <v>812</v>
      </c>
      <c r="J764" s="276">
        <f>ROUND(AG67,0)</f>
        <v>49968</v>
      </c>
      <c r="K764" s="276">
        <f>ROUND(AG68,0)</f>
        <v>0</v>
      </c>
      <c r="L764" s="276">
        <f>ROUND(AG69,0)</f>
        <v>4341</v>
      </c>
      <c r="M764" s="276">
        <f>ROUND(AG70,0)</f>
        <v>0</v>
      </c>
      <c r="N764" s="276">
        <f>ROUND(AG75,0)</f>
        <v>4246608</v>
      </c>
      <c r="O764" s="276">
        <f>ROUND(AG73,0)</f>
        <v>38636</v>
      </c>
      <c r="P764" s="276">
        <f>IF(AG76&gt;0,ROUND(AG76,0),0)</f>
        <v>2904</v>
      </c>
      <c r="Q764" s="276">
        <f>IF(AG77&gt;0,ROUND(AG77,0),0)</f>
        <v>193</v>
      </c>
      <c r="R764" s="276">
        <f>IF(AG78&gt;0,ROUND(AG78,0),0)</f>
        <v>1904</v>
      </c>
      <c r="S764" s="276">
        <f>IF(AG79&gt;0,ROUND(AG79,0),0)</f>
        <v>19584</v>
      </c>
      <c r="T764" s="278">
        <f>IF(AG80&gt;0,ROUND(AG80,2),0)</f>
        <v>8</v>
      </c>
      <c r="U764" s="276"/>
      <c r="V764" s="277"/>
      <c r="W764" s="276"/>
      <c r="X764" s="276"/>
      <c r="Y764" s="276">
        <f t="shared" si="21"/>
        <v>799426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045*2017*7240*A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045*2017*7250*A</v>
      </c>
      <c r="B766" s="276">
        <f>ROUND(AI59,0)</f>
        <v>172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414049</v>
      </c>
      <c r="O766" s="276">
        <f>ROUND(AI73,0)</f>
        <v>8996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43934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045*2017*7260*A</v>
      </c>
      <c r="B767" s="276">
        <f>ROUND(AJ59,0)</f>
        <v>10135</v>
      </c>
      <c r="C767" s="278">
        <f>ROUND(AJ60,2)</f>
        <v>16.34</v>
      </c>
      <c r="D767" s="276">
        <f>ROUND(AJ61,0)</f>
        <v>1261945</v>
      </c>
      <c r="E767" s="276">
        <f>ROUND(AJ62,0)</f>
        <v>307405</v>
      </c>
      <c r="F767" s="276">
        <f>ROUND(AJ63,0)</f>
        <v>130795</v>
      </c>
      <c r="G767" s="276">
        <f>ROUND(AJ64,0)</f>
        <v>108003</v>
      </c>
      <c r="H767" s="276">
        <f>ROUND(AJ65,0)</f>
        <v>0</v>
      </c>
      <c r="I767" s="276">
        <f>ROUND(AJ66,0)</f>
        <v>105466</v>
      </c>
      <c r="J767" s="276">
        <f>ROUND(AJ67,0)</f>
        <v>95376</v>
      </c>
      <c r="K767" s="276">
        <f>ROUND(AJ68,0)</f>
        <v>0</v>
      </c>
      <c r="L767" s="276">
        <f>ROUND(AJ69,0)</f>
        <v>16156</v>
      </c>
      <c r="M767" s="276">
        <f>ROUND(AJ70,0)</f>
        <v>0</v>
      </c>
      <c r="N767" s="276">
        <f>ROUND(AJ75,0)</f>
        <v>3058001</v>
      </c>
      <c r="O767" s="276">
        <f>ROUND(AJ73,0)</f>
        <v>0</v>
      </c>
      <c r="P767" s="276">
        <f>IF(AJ76&gt;0,ROUND(AJ76,0),0)</f>
        <v>5543</v>
      </c>
      <c r="Q767" s="276">
        <f>IF(AJ77&gt;0,ROUND(AJ77,0),0)</f>
        <v>0</v>
      </c>
      <c r="R767" s="276">
        <f>IF(AJ78&gt;0,ROUND(AJ78,0),0)</f>
        <v>1813</v>
      </c>
      <c r="S767" s="276">
        <f>IF(AJ79&gt;0,ROUND(AJ79,0),0)</f>
        <v>476</v>
      </c>
      <c r="T767" s="278">
        <f>IF(AJ80&gt;0,ROUND(AJ80,2),0)</f>
        <v>7.25</v>
      </c>
      <c r="U767" s="276"/>
      <c r="V767" s="277"/>
      <c r="W767" s="276"/>
      <c r="X767" s="276"/>
      <c r="Y767" s="276">
        <f t="shared" si="21"/>
        <v>723981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045*2017*7310*A</v>
      </c>
      <c r="B768" s="276">
        <f>ROUND(AK59,0)</f>
        <v>6661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209299</v>
      </c>
      <c r="G768" s="276">
        <f>ROUND(AK64,0)</f>
        <v>6846</v>
      </c>
      <c r="H768" s="276">
        <f>ROUND(AK65,0)</f>
        <v>0</v>
      </c>
      <c r="I768" s="276">
        <f>ROUND(AK66,0)</f>
        <v>0</v>
      </c>
      <c r="J768" s="276">
        <f>ROUND(AK67,0)</f>
        <v>11356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471140</v>
      </c>
      <c r="O768" s="276">
        <f>ROUND(AK73,0)</f>
        <v>378079</v>
      </c>
      <c r="P768" s="276">
        <f>IF(AK76&gt;0,ROUND(AK76,0),0)</f>
        <v>660</v>
      </c>
      <c r="Q768" s="276">
        <f>IF(AK77&gt;0,ROUND(AK77,0),0)</f>
        <v>0</v>
      </c>
      <c r="R768" s="276">
        <f>IF(AK78&gt;0,ROUND(AK78,0),0)</f>
        <v>83</v>
      </c>
      <c r="S768" s="276">
        <f>IF(AK79&gt;0,ROUND(AK79,0),0)</f>
        <v>2080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82010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045*2017*7320*A</v>
      </c>
      <c r="B769" s="276">
        <f>ROUND(AL59,0)</f>
        <v>1658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112846</v>
      </c>
      <c r="G769" s="276">
        <f>ROUND(AL64,0)</f>
        <v>2555</v>
      </c>
      <c r="H769" s="276">
        <f>ROUND(AL65,0)</f>
        <v>0</v>
      </c>
      <c r="I769" s="276">
        <f>ROUND(AL66,0)</f>
        <v>250</v>
      </c>
      <c r="J769" s="276">
        <f>ROUND(AL67,0)</f>
        <v>1549</v>
      </c>
      <c r="K769" s="276">
        <f>ROUND(AL68,0)</f>
        <v>0</v>
      </c>
      <c r="L769" s="276">
        <f>ROUND(AL69,0)</f>
        <v>991</v>
      </c>
      <c r="M769" s="276">
        <f>ROUND(AL70,0)</f>
        <v>0</v>
      </c>
      <c r="N769" s="276">
        <f>ROUND(AL75,0)</f>
        <v>265268</v>
      </c>
      <c r="O769" s="276">
        <f>ROUND(AL73,0)</f>
        <v>123309</v>
      </c>
      <c r="P769" s="276">
        <f>IF(AL76&gt;0,ROUND(AL76,0),0)</f>
        <v>90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37415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045*2017*7330*A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045*2017*7340*A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045*2017*7350*A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045*2017*7380*A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045*2017*7390*A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045*2017*7400*A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045*2017*7410*A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045*2017*7420*A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045*2017*7430*A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045*2017*7490*A</v>
      </c>
      <c r="B779" s="276"/>
      <c r="C779" s="278">
        <f>ROUND(AV60,2)</f>
        <v>2.81</v>
      </c>
      <c r="D779" s="276">
        <f>ROUND(AV61,0)</f>
        <v>86643</v>
      </c>
      <c r="E779" s="276">
        <f>ROUND(AV62,0)</f>
        <v>21106</v>
      </c>
      <c r="F779" s="276">
        <f>ROUND(AV63,0)</f>
        <v>0</v>
      </c>
      <c r="G779" s="276">
        <f>ROUND(AV64,0)</f>
        <v>3495</v>
      </c>
      <c r="H779" s="276">
        <f>ROUND(AV65,0)</f>
        <v>0</v>
      </c>
      <c r="I779" s="276">
        <f>ROUND(AV66,0)</f>
        <v>0</v>
      </c>
      <c r="J779" s="276">
        <f>ROUND(AV67,0)</f>
        <v>32641</v>
      </c>
      <c r="K779" s="276">
        <f>ROUND(AV68,0)</f>
        <v>0</v>
      </c>
      <c r="L779" s="276">
        <f>ROUND(AV69,0)</f>
        <v>1257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1897</v>
      </c>
      <c r="Q779" s="276">
        <f>IF(AV77&gt;0,ROUND(AV77,0),0)</f>
        <v>0</v>
      </c>
      <c r="R779" s="276">
        <f>IF(AV78&gt;0,ROUND(AV78,0),0)</f>
        <v>226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60647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045*2017*8200*A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045*2017*8310*A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045*2017*8320*A</v>
      </c>
      <c r="B782" s="276">
        <f>ROUND(AY59,0)</f>
        <v>76515</v>
      </c>
      <c r="C782" s="278">
        <f>ROUND(AY60,2)</f>
        <v>13.7</v>
      </c>
      <c r="D782" s="276">
        <f>ROUND(AY61,0)</f>
        <v>465764</v>
      </c>
      <c r="E782" s="276">
        <f>ROUND(AY62,0)</f>
        <v>113458</v>
      </c>
      <c r="F782" s="276">
        <f>ROUND(AY63,0)</f>
        <v>19816</v>
      </c>
      <c r="G782" s="276">
        <f>ROUND(AY64,0)</f>
        <v>261978</v>
      </c>
      <c r="H782" s="276">
        <f>ROUND(AY65,0)</f>
        <v>0</v>
      </c>
      <c r="I782" s="276">
        <f>ROUND(AY66,0)</f>
        <v>1748</v>
      </c>
      <c r="J782" s="276">
        <f>ROUND(AY67,0)</f>
        <v>23229</v>
      </c>
      <c r="K782" s="276">
        <f>ROUND(AY68,0)</f>
        <v>0</v>
      </c>
      <c r="L782" s="276">
        <f>ROUND(AY69,0)</f>
        <v>367</v>
      </c>
      <c r="M782" s="276">
        <f>ROUND(AY70,0)</f>
        <v>84958</v>
      </c>
      <c r="N782" s="276"/>
      <c r="O782" s="276"/>
      <c r="P782" s="276">
        <f>IF(AY76&gt;0,ROUND(AY76,0),0)</f>
        <v>1350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045*2017*8330*A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51017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2965</v>
      </c>
      <c r="Q783" s="276">
        <f>IF(AZ77&gt;0,ROUND(AZ77,0),0)</f>
        <v>15059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045*2017*8350*A</v>
      </c>
      <c r="B784" s="276">
        <f>ROUND(BA59,0)</f>
        <v>0</v>
      </c>
      <c r="C784" s="278">
        <f>ROUND(BA60,2)</f>
        <v>2.02</v>
      </c>
      <c r="D784" s="276">
        <f>ROUND(BA61,0)</f>
        <v>65473</v>
      </c>
      <c r="E784" s="276">
        <f>ROUND(BA62,0)</f>
        <v>15949</v>
      </c>
      <c r="F784" s="276">
        <f>ROUND(BA63,0)</f>
        <v>0</v>
      </c>
      <c r="G784" s="276">
        <f>ROUND(BA64,0)</f>
        <v>14275</v>
      </c>
      <c r="H784" s="276">
        <f>ROUND(BA65,0)</f>
        <v>0</v>
      </c>
      <c r="I784" s="276">
        <f>ROUND(BA66,0)</f>
        <v>0</v>
      </c>
      <c r="J784" s="276">
        <f>ROUND(BA67,0)</f>
        <v>24089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1400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045*2017*8360*A</v>
      </c>
      <c r="B785" s="276"/>
      <c r="C785" s="278">
        <f>ROUND(BB60,2)</f>
        <v>1.72</v>
      </c>
      <c r="D785" s="276">
        <f>ROUND(BB61,0)</f>
        <v>97600</v>
      </c>
      <c r="E785" s="276">
        <f>ROUND(BB62,0)</f>
        <v>23775</v>
      </c>
      <c r="F785" s="276">
        <f>ROUND(BB63,0)</f>
        <v>0</v>
      </c>
      <c r="G785" s="276">
        <f>ROUND(BB64,0)</f>
        <v>134</v>
      </c>
      <c r="H785" s="276">
        <f>ROUND(BB65,0)</f>
        <v>0</v>
      </c>
      <c r="I785" s="276">
        <f>ROUND(BB66,0)</f>
        <v>0</v>
      </c>
      <c r="J785" s="276">
        <f>ROUND(BB67,0)</f>
        <v>1549</v>
      </c>
      <c r="K785" s="276">
        <f>ROUND(BB68,0)</f>
        <v>0</v>
      </c>
      <c r="L785" s="276">
        <f>ROUND(BB69,0)</f>
        <v>54</v>
      </c>
      <c r="M785" s="276">
        <f>ROUND(BB70,0)</f>
        <v>0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190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045*2017*8370*A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045*2017*8420*A</v>
      </c>
      <c r="B787" s="276"/>
      <c r="C787" s="278">
        <f>ROUND(BD60,2)</f>
        <v>0.77</v>
      </c>
      <c r="D787" s="276">
        <f>ROUND(BD61,0)</f>
        <v>39327</v>
      </c>
      <c r="E787" s="276">
        <f>ROUND(BD62,0)</f>
        <v>9580</v>
      </c>
      <c r="F787" s="276">
        <f>ROUND(BD63,0)</f>
        <v>0</v>
      </c>
      <c r="G787" s="276">
        <f>ROUND(BD64,0)</f>
        <v>7070</v>
      </c>
      <c r="H787" s="276">
        <f>ROUND(BD65,0)</f>
        <v>0</v>
      </c>
      <c r="I787" s="276">
        <f>ROUND(BD66,0)</f>
        <v>0</v>
      </c>
      <c r="J787" s="276">
        <f>ROUND(BD67,0)</f>
        <v>41949</v>
      </c>
      <c r="K787" s="276">
        <f>ROUND(BD68,0)</f>
        <v>0</v>
      </c>
      <c r="L787" s="276">
        <f>ROUND(BD69,0)</f>
        <v>683</v>
      </c>
      <c r="M787" s="276">
        <f>ROUND(BD70,0)</f>
        <v>0</v>
      </c>
      <c r="N787" s="276"/>
      <c r="O787" s="276"/>
      <c r="P787" s="276">
        <f>IF(BD76&gt;0,ROUND(BD76,0),0)</f>
        <v>2438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045*2017*8430*A</v>
      </c>
      <c r="B788" s="276">
        <f>ROUND(BE59,0)</f>
        <v>77730</v>
      </c>
      <c r="C788" s="278">
        <f>ROUND(BE60,2)</f>
        <v>3.03</v>
      </c>
      <c r="D788" s="276">
        <f>ROUND(BE61,0)</f>
        <v>177833</v>
      </c>
      <c r="E788" s="276">
        <f>ROUND(BE62,0)</f>
        <v>43319</v>
      </c>
      <c r="F788" s="276">
        <f>ROUND(BE63,0)</f>
        <v>7120</v>
      </c>
      <c r="G788" s="276">
        <f>ROUND(BE64,0)</f>
        <v>22028</v>
      </c>
      <c r="H788" s="276">
        <f>ROUND(BE65,0)</f>
        <v>184652</v>
      </c>
      <c r="I788" s="276">
        <f>ROUND(BE66,0)</f>
        <v>58413</v>
      </c>
      <c r="J788" s="276">
        <f>ROUND(BE67,0)</f>
        <v>62012</v>
      </c>
      <c r="K788" s="276">
        <f>ROUND(BE68,0)</f>
        <v>1522</v>
      </c>
      <c r="L788" s="276">
        <f>ROUND(BE69,0)</f>
        <v>302</v>
      </c>
      <c r="M788" s="276">
        <f>ROUND(BE70,0)</f>
        <v>0</v>
      </c>
      <c r="N788" s="276"/>
      <c r="O788" s="276"/>
      <c r="P788" s="276">
        <f>IF(BE76&gt;0,ROUND(BE76,0),0)</f>
        <v>3604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045*2017*8460*A</v>
      </c>
      <c r="B789" s="276"/>
      <c r="C789" s="278">
        <f>ROUND(BF60,2)</f>
        <v>9.64</v>
      </c>
      <c r="D789" s="276">
        <f>ROUND(BF61,0)</f>
        <v>304911</v>
      </c>
      <c r="E789" s="276">
        <f>ROUND(BF62,0)</f>
        <v>74275</v>
      </c>
      <c r="F789" s="276">
        <f>ROUND(BF63,0)</f>
        <v>0</v>
      </c>
      <c r="G789" s="276">
        <f>ROUND(BF64,0)</f>
        <v>28147</v>
      </c>
      <c r="H789" s="276">
        <f>ROUND(BF65,0)</f>
        <v>0</v>
      </c>
      <c r="I789" s="276">
        <f>ROUND(BF66,0)</f>
        <v>0</v>
      </c>
      <c r="J789" s="276">
        <f>ROUND(BF67,0)</f>
        <v>26326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1530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045*2017*8470*A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045*2017*8480*A</v>
      </c>
      <c r="B791" s="276"/>
      <c r="C791" s="278">
        <f>ROUND(BH60,2)</f>
        <v>2.04</v>
      </c>
      <c r="D791" s="276">
        <f>ROUND(BH61,0)</f>
        <v>142618</v>
      </c>
      <c r="E791" s="276">
        <f>ROUND(BH62,0)</f>
        <v>34741</v>
      </c>
      <c r="F791" s="276">
        <f>ROUND(BH63,0)</f>
        <v>150</v>
      </c>
      <c r="G791" s="276">
        <f>ROUND(BH64,0)</f>
        <v>20263</v>
      </c>
      <c r="H791" s="276">
        <f>ROUND(BH65,0)</f>
        <v>38486</v>
      </c>
      <c r="I791" s="276">
        <f>ROUND(BH66,0)</f>
        <v>434806</v>
      </c>
      <c r="J791" s="276">
        <f>ROUND(BH67,0)</f>
        <v>9257</v>
      </c>
      <c r="K791" s="276">
        <f>ROUND(BH68,0)</f>
        <v>42513</v>
      </c>
      <c r="L791" s="276">
        <f>ROUND(BH69,0)</f>
        <v>983</v>
      </c>
      <c r="M791" s="276">
        <f>ROUND(BH70,0)</f>
        <v>0</v>
      </c>
      <c r="N791" s="276"/>
      <c r="O791" s="276"/>
      <c r="P791" s="276">
        <f>IF(BH76&gt;0,ROUND(BH76,0),0)</f>
        <v>538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045*2017*8490*A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13655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045*2017*8510*A</v>
      </c>
      <c r="B793" s="276"/>
      <c r="C793" s="278">
        <f>ROUND(BJ60,2)</f>
        <v>2.13</v>
      </c>
      <c r="D793" s="276">
        <f>ROUND(BJ61,0)</f>
        <v>187120</v>
      </c>
      <c r="E793" s="276">
        <f>ROUND(BJ62,0)</f>
        <v>45582</v>
      </c>
      <c r="F793" s="276">
        <f>ROUND(BJ63,0)</f>
        <v>84753</v>
      </c>
      <c r="G793" s="276">
        <f>ROUND(BJ64,0)</f>
        <v>855</v>
      </c>
      <c r="H793" s="276">
        <f>ROUND(BJ65,0)</f>
        <v>0</v>
      </c>
      <c r="I793" s="276">
        <f>ROUND(BJ66,0)</f>
        <v>0</v>
      </c>
      <c r="J793" s="276">
        <f>ROUND(BJ67,0)</f>
        <v>12956</v>
      </c>
      <c r="K793" s="276">
        <f>ROUND(BJ68,0)</f>
        <v>0</v>
      </c>
      <c r="L793" s="276">
        <f>ROUND(BJ69,0)</f>
        <v>1424</v>
      </c>
      <c r="M793" s="276">
        <f>ROUND(BJ70,0)</f>
        <v>0</v>
      </c>
      <c r="N793" s="276"/>
      <c r="O793" s="276"/>
      <c r="P793" s="276">
        <f>IF(BJ76&gt;0,ROUND(BJ76,0),0)</f>
        <v>753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045*2017*8530*A</v>
      </c>
      <c r="B794" s="276"/>
      <c r="C794" s="278">
        <f>ROUND(BK60,2)</f>
        <v>5.96</v>
      </c>
      <c r="D794" s="276">
        <f>ROUND(BK61,0)</f>
        <v>296351</v>
      </c>
      <c r="E794" s="276">
        <f>ROUND(BK62,0)</f>
        <v>72190</v>
      </c>
      <c r="F794" s="276">
        <f>ROUND(BK63,0)</f>
        <v>54087</v>
      </c>
      <c r="G794" s="276">
        <f>ROUND(BK64,0)</f>
        <v>4037</v>
      </c>
      <c r="H794" s="276">
        <f>ROUND(BK65,0)</f>
        <v>0</v>
      </c>
      <c r="I794" s="276">
        <f>ROUND(BK66,0)</f>
        <v>43375</v>
      </c>
      <c r="J794" s="276">
        <f>ROUND(BK67,0)</f>
        <v>36426</v>
      </c>
      <c r="K794" s="276">
        <f>ROUND(BK68,0)</f>
        <v>2802</v>
      </c>
      <c r="L794" s="276">
        <f>ROUND(BK69,0)</f>
        <v>33785</v>
      </c>
      <c r="M794" s="276">
        <f>ROUND(BK70,0)</f>
        <v>0</v>
      </c>
      <c r="N794" s="276"/>
      <c r="O794" s="276"/>
      <c r="P794" s="276">
        <f>IF(BK76&gt;0,ROUND(BK76,0),0)</f>
        <v>2117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045*2017*8560*A</v>
      </c>
      <c r="B795" s="276"/>
      <c r="C795" s="278">
        <f>ROUND(BL60,2)</f>
        <v>4.25</v>
      </c>
      <c r="D795" s="276">
        <f>ROUND(BL61,0)</f>
        <v>142242</v>
      </c>
      <c r="E795" s="276">
        <f>ROUND(BL62,0)</f>
        <v>34650</v>
      </c>
      <c r="F795" s="276">
        <f>ROUND(BL63,0)</f>
        <v>750</v>
      </c>
      <c r="G795" s="276">
        <f>ROUND(BL64,0)</f>
        <v>1286</v>
      </c>
      <c r="H795" s="276">
        <f>ROUND(BL65,0)</f>
        <v>0</v>
      </c>
      <c r="I795" s="276">
        <f>ROUND(BL66,0)</f>
        <v>0</v>
      </c>
      <c r="J795" s="276">
        <f>ROUND(BL67,0)</f>
        <v>67553</v>
      </c>
      <c r="K795" s="276">
        <f>ROUND(BL68,0)</f>
        <v>0</v>
      </c>
      <c r="L795" s="276">
        <f>ROUND(BL69,0)</f>
        <v>19</v>
      </c>
      <c r="M795" s="276">
        <f>ROUND(BL70,0)</f>
        <v>0</v>
      </c>
      <c r="N795" s="276"/>
      <c r="O795" s="276"/>
      <c r="P795" s="276">
        <f>IF(BL76&gt;0,ROUND(BL76,0),0)</f>
        <v>3926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045*2017*8590*A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045*2017*8610*A</v>
      </c>
      <c r="B797" s="276"/>
      <c r="C797" s="278">
        <f>ROUND(BN60,2)</f>
        <v>2</v>
      </c>
      <c r="D797" s="276">
        <f>ROUND(BN61,0)</f>
        <v>190642</v>
      </c>
      <c r="E797" s="276">
        <f>ROUND(BN62,0)</f>
        <v>46440</v>
      </c>
      <c r="F797" s="276">
        <f>ROUND(BN63,0)</f>
        <v>69645</v>
      </c>
      <c r="G797" s="276">
        <f>ROUND(BN64,0)</f>
        <v>217</v>
      </c>
      <c r="H797" s="276">
        <f>ROUND(BN65,0)</f>
        <v>0</v>
      </c>
      <c r="I797" s="276">
        <f>ROUND(BN66,0)</f>
        <v>37</v>
      </c>
      <c r="J797" s="276">
        <f>ROUND(BN67,0)</f>
        <v>101897</v>
      </c>
      <c r="K797" s="276">
        <f>ROUND(BN68,0)</f>
        <v>0</v>
      </c>
      <c r="L797" s="276">
        <f>ROUND(BN69,0)</f>
        <v>88431</v>
      </c>
      <c r="M797" s="276">
        <f>ROUND(BN70,0)</f>
        <v>50315</v>
      </c>
      <c r="N797" s="276"/>
      <c r="O797" s="276"/>
      <c r="P797" s="276">
        <f>IF(BN76&gt;0,ROUND(BN76,0),0)</f>
        <v>5922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045*2017*8620*A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045*2017*8630*A</v>
      </c>
      <c r="B799" s="276"/>
      <c r="C799" s="278">
        <f>ROUND(BP60,2)</f>
        <v>0.94</v>
      </c>
      <c r="D799" s="276">
        <f>ROUND(BP61,0)</f>
        <v>56175</v>
      </c>
      <c r="E799" s="276">
        <f>ROUND(BP62,0)</f>
        <v>13684</v>
      </c>
      <c r="F799" s="276">
        <f>ROUND(BP63,0)</f>
        <v>5476</v>
      </c>
      <c r="G799" s="276">
        <f>ROUND(BP64,0)</f>
        <v>984</v>
      </c>
      <c r="H799" s="276">
        <f>ROUND(BP65,0)</f>
        <v>0</v>
      </c>
      <c r="I799" s="276">
        <f>ROUND(BP66,0)</f>
        <v>28915</v>
      </c>
      <c r="J799" s="276">
        <f>ROUND(BP67,0)</f>
        <v>1738</v>
      </c>
      <c r="K799" s="276">
        <f>ROUND(BP68,0)</f>
        <v>0</v>
      </c>
      <c r="L799" s="276">
        <f>ROUND(BP69,0)</f>
        <v>10626</v>
      </c>
      <c r="M799" s="276">
        <f>ROUND(BP70,0)</f>
        <v>0</v>
      </c>
      <c r="N799" s="276"/>
      <c r="O799" s="276"/>
      <c r="P799" s="276">
        <f>IF(BP76&gt;0,ROUND(BP76,0),0)</f>
        <v>101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045*2017*8640*A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045*2017*8650*A</v>
      </c>
      <c r="B801" s="276"/>
      <c r="C801" s="278">
        <f>ROUND(BR60,2)</f>
        <v>1.1499999999999999</v>
      </c>
      <c r="D801" s="276">
        <f>ROUND(BR61,0)</f>
        <v>91813</v>
      </c>
      <c r="E801" s="276">
        <f>ROUND(BR62,0)</f>
        <v>22365</v>
      </c>
      <c r="F801" s="276">
        <f>ROUND(BR63,0)</f>
        <v>4468</v>
      </c>
      <c r="G801" s="276">
        <f>ROUND(BR64,0)</f>
        <v>701</v>
      </c>
      <c r="H801" s="276">
        <f>ROUND(BR65,0)</f>
        <v>0</v>
      </c>
      <c r="I801" s="276">
        <f>ROUND(BR66,0)</f>
        <v>12960</v>
      </c>
      <c r="J801" s="276">
        <f>ROUND(BR67,0)</f>
        <v>0</v>
      </c>
      <c r="K801" s="276">
        <f>ROUND(BR68,0)</f>
        <v>0</v>
      </c>
      <c r="L801" s="276">
        <f>ROUND(BR69,0)</f>
        <v>2372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045*2017*8660*A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045*2017*8670*A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045*2017*8680*A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045*2017*8690*A</v>
      </c>
      <c r="B805" s="276"/>
      <c r="C805" s="278">
        <f>ROUND(BV60,2)</f>
        <v>3.78</v>
      </c>
      <c r="D805" s="276">
        <f>ROUND(BV61,0)</f>
        <v>161267</v>
      </c>
      <c r="E805" s="276">
        <f>ROUND(BV62,0)</f>
        <v>39284</v>
      </c>
      <c r="F805" s="276">
        <f>ROUND(BV63,0)</f>
        <v>0</v>
      </c>
      <c r="G805" s="276">
        <f>ROUND(BV64,0)</f>
        <v>1470</v>
      </c>
      <c r="H805" s="276">
        <f>ROUND(BV65,0)</f>
        <v>0</v>
      </c>
      <c r="I805" s="276">
        <f>ROUND(BV66,0)</f>
        <v>31111</v>
      </c>
      <c r="J805" s="276">
        <f>ROUND(BV67,0)</f>
        <v>24244</v>
      </c>
      <c r="K805" s="276">
        <f>ROUND(BV68,0)</f>
        <v>0</v>
      </c>
      <c r="L805" s="276">
        <f>ROUND(BV69,0)</f>
        <v>526</v>
      </c>
      <c r="M805" s="276">
        <f>ROUND(BV70,0)</f>
        <v>4882</v>
      </c>
      <c r="N805" s="276"/>
      <c r="O805" s="276"/>
      <c r="P805" s="276">
        <f>IF(BV76&gt;0,ROUND(BV76,0),0)</f>
        <v>1409</v>
      </c>
      <c r="Q805" s="276">
        <f>IF(BV77&gt;0,ROUND(BV77,0),0)</f>
        <v>0</v>
      </c>
      <c r="R805" s="276">
        <f>IF(BV78&gt;0,ROUND(BV78,0),0)</f>
        <v>122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045*2017*8700*A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6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2049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045*2017*8710*A</v>
      </c>
      <c r="B807" s="276"/>
      <c r="C807" s="278">
        <f>ROUND(BX60,2)</f>
        <v>0.56999999999999995</v>
      </c>
      <c r="D807" s="276">
        <f>ROUND(BX61,0)</f>
        <v>44331</v>
      </c>
      <c r="E807" s="276">
        <f>ROUND(BX62,0)</f>
        <v>10799</v>
      </c>
      <c r="F807" s="276">
        <f>ROUND(BX63,0)</f>
        <v>0</v>
      </c>
      <c r="G807" s="276">
        <f>ROUND(BX64,0)</f>
        <v>22</v>
      </c>
      <c r="H807" s="276">
        <f>ROUND(BX65,0)</f>
        <v>0</v>
      </c>
      <c r="I807" s="276">
        <f>ROUND(BX66,0)</f>
        <v>3436</v>
      </c>
      <c r="J807" s="276">
        <f>ROUND(BX67,0)</f>
        <v>1480</v>
      </c>
      <c r="K807" s="276">
        <f>ROUND(BX68,0)</f>
        <v>0</v>
      </c>
      <c r="L807" s="276">
        <f>ROUND(BX69,0)</f>
        <v>2740</v>
      </c>
      <c r="M807" s="276">
        <f>ROUND(BX70,0)</f>
        <v>0</v>
      </c>
      <c r="N807" s="276"/>
      <c r="O807" s="276"/>
      <c r="P807" s="276">
        <f>IF(BX76&gt;0,ROUND(BX76,0),0)</f>
        <v>86</v>
      </c>
      <c r="Q807" s="276">
        <f>IF(BX77&gt;0,ROUND(BX77,0),0)</f>
        <v>0</v>
      </c>
      <c r="R807" s="276">
        <f>IF(BX78&gt;0,ROUND(BX78,0),0)</f>
        <v>17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045*2017*8720*A</v>
      </c>
      <c r="B808" s="276"/>
      <c r="C808" s="278">
        <f>ROUND(BY60,2)</f>
        <v>2.27</v>
      </c>
      <c r="D808" s="276">
        <f>ROUND(BY61,0)</f>
        <v>142386</v>
      </c>
      <c r="E808" s="276">
        <f>ROUND(BY62,0)</f>
        <v>34685</v>
      </c>
      <c r="F808" s="276">
        <f>ROUND(BY63,0)</f>
        <v>0</v>
      </c>
      <c r="G808" s="276">
        <f>ROUND(BY64,0)</f>
        <v>2190</v>
      </c>
      <c r="H808" s="276">
        <f>ROUND(BY65,0)</f>
        <v>0</v>
      </c>
      <c r="I808" s="276">
        <f>ROUND(BY66,0)</f>
        <v>0</v>
      </c>
      <c r="J808" s="276">
        <f>ROUND(BY67,0)</f>
        <v>4456</v>
      </c>
      <c r="K808" s="276">
        <f>ROUND(BY68,0)</f>
        <v>0</v>
      </c>
      <c r="L808" s="276">
        <f>ROUND(BY69,0)</f>
        <v>95</v>
      </c>
      <c r="M808" s="276">
        <f>ROUND(BY70,0)</f>
        <v>0</v>
      </c>
      <c r="N808" s="276"/>
      <c r="O808" s="276"/>
      <c r="P808" s="276">
        <f>IF(BY76&gt;0,ROUND(BY76,0),0)</f>
        <v>259</v>
      </c>
      <c r="Q808" s="276">
        <f>IF(BY77&gt;0,ROUND(BY77,0),0)</f>
        <v>0</v>
      </c>
      <c r="R808" s="276">
        <f>IF(BY78&gt;0,ROUND(BY78,0),0)</f>
        <v>331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045*2017*8730*A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045*2017*8740*A</v>
      </c>
      <c r="B810" s="276"/>
      <c r="C810" s="278">
        <f>ROUND(CA60,2)</f>
        <v>1</v>
      </c>
      <c r="D810" s="276">
        <f>ROUND(CA61,0)</f>
        <v>86569</v>
      </c>
      <c r="E810" s="276">
        <f>ROUND(CA62,0)</f>
        <v>21088</v>
      </c>
      <c r="F810" s="276">
        <f>ROUND(CA63,0)</f>
        <v>0</v>
      </c>
      <c r="G810" s="276">
        <f>ROUND(CA64,0)</f>
        <v>6712</v>
      </c>
      <c r="H810" s="276">
        <f>ROUND(CA65,0)</f>
        <v>0</v>
      </c>
      <c r="I810" s="276">
        <f>ROUND(CA66,0)</f>
        <v>0</v>
      </c>
      <c r="J810" s="276">
        <f>ROUND(CA67,0)</f>
        <v>4078</v>
      </c>
      <c r="K810" s="276">
        <f>ROUND(CA68,0)</f>
        <v>0</v>
      </c>
      <c r="L810" s="276">
        <f>ROUND(CA69,0)</f>
        <v>2039</v>
      </c>
      <c r="M810" s="276">
        <f>ROUND(CA70,0)</f>
        <v>0</v>
      </c>
      <c r="N810" s="276"/>
      <c r="O810" s="276"/>
      <c r="P810" s="276">
        <f>IF(CA76&gt;0,ROUND(CA76,0),0)</f>
        <v>237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045*2017*8770*A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045*2017*8790*A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-504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045*2017*9000*A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943435</v>
      </c>
      <c r="V813" s="277">
        <f>ROUND(CD70,0)</f>
        <v>284544</v>
      </c>
      <c r="W813" s="276">
        <f>ROUND(CE72,0)</f>
        <v>479315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138.74</v>
      </c>
      <c r="D815" s="277">
        <f t="shared" si="22"/>
        <v>7358123</v>
      </c>
      <c r="E815" s="277">
        <f t="shared" si="22"/>
        <v>1792411</v>
      </c>
      <c r="F815" s="277">
        <f t="shared" si="22"/>
        <v>3820970</v>
      </c>
      <c r="G815" s="277">
        <f t="shared" si="22"/>
        <v>1282944</v>
      </c>
      <c r="H815" s="277">
        <f t="shared" si="22"/>
        <v>223138</v>
      </c>
      <c r="I815" s="277">
        <f t="shared" si="22"/>
        <v>1261053</v>
      </c>
      <c r="J815" s="277">
        <f t="shared" si="22"/>
        <v>1337462</v>
      </c>
      <c r="K815" s="277">
        <f t="shared" si="22"/>
        <v>201335</v>
      </c>
      <c r="L815" s="277">
        <f>SUM(L734:L813)+SUM(U734:U813)</f>
        <v>1138548</v>
      </c>
      <c r="M815" s="277">
        <f>SUM(M734:M813)+SUM(V734:V813)</f>
        <v>1305817</v>
      </c>
      <c r="N815" s="277">
        <f t="shared" ref="N815:Y815" si="23">SUM(N734:N813)</f>
        <v>21841679</v>
      </c>
      <c r="O815" s="277">
        <f t="shared" si="23"/>
        <v>5957869</v>
      </c>
      <c r="P815" s="277">
        <f t="shared" si="23"/>
        <v>77730</v>
      </c>
      <c r="Q815" s="277">
        <f t="shared" si="23"/>
        <v>76515</v>
      </c>
      <c r="R815" s="277">
        <f t="shared" si="23"/>
        <v>15579</v>
      </c>
      <c r="S815" s="277">
        <f t="shared" si="23"/>
        <v>125748</v>
      </c>
      <c r="T815" s="281">
        <f t="shared" si="23"/>
        <v>63.34</v>
      </c>
      <c r="U815" s="277">
        <f t="shared" si="23"/>
        <v>943435</v>
      </c>
      <c r="V815" s="277">
        <f t="shared" si="23"/>
        <v>284544</v>
      </c>
      <c r="W815" s="277">
        <f t="shared" si="23"/>
        <v>479315</v>
      </c>
      <c r="X815" s="277">
        <f t="shared" si="23"/>
        <v>0</v>
      </c>
      <c r="Y815" s="277">
        <f t="shared" si="23"/>
        <v>6024340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138.74</v>
      </c>
      <c r="D816" s="277">
        <f>CE61</f>
        <v>7358123</v>
      </c>
      <c r="E816" s="277">
        <f>CE62</f>
        <v>1792411</v>
      </c>
      <c r="F816" s="277">
        <f>CE63</f>
        <v>3820970</v>
      </c>
      <c r="G816" s="277">
        <f>CE64</f>
        <v>1282944</v>
      </c>
      <c r="H816" s="280">
        <f>CE65</f>
        <v>223138</v>
      </c>
      <c r="I816" s="280">
        <f>CE66</f>
        <v>1261052.3799999999</v>
      </c>
      <c r="J816" s="280">
        <f>CE67</f>
        <v>1337462</v>
      </c>
      <c r="K816" s="280">
        <f>CE68</f>
        <v>201335</v>
      </c>
      <c r="L816" s="280">
        <f>CE69</f>
        <v>1138548.48</v>
      </c>
      <c r="M816" s="280">
        <f>CE70</f>
        <v>1305817</v>
      </c>
      <c r="N816" s="277">
        <f>CE75</f>
        <v>21841679</v>
      </c>
      <c r="O816" s="277">
        <f>CE73</f>
        <v>5957869</v>
      </c>
      <c r="P816" s="277">
        <f>CE76</f>
        <v>77730</v>
      </c>
      <c r="Q816" s="277">
        <f>CE77</f>
        <v>76515</v>
      </c>
      <c r="R816" s="277">
        <f>CE78</f>
        <v>15579</v>
      </c>
      <c r="S816" s="277">
        <f>CE79</f>
        <v>125748</v>
      </c>
      <c r="T816" s="281">
        <f>CE80</f>
        <v>63.339999999999996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6024340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7358123</v>
      </c>
      <c r="E817" s="180">
        <f>C379</f>
        <v>1792411</v>
      </c>
      <c r="F817" s="180">
        <f>C380</f>
        <v>3820970</v>
      </c>
      <c r="G817" s="240">
        <f>C381</f>
        <v>1282944</v>
      </c>
      <c r="H817" s="240">
        <f>C382</f>
        <v>223138</v>
      </c>
      <c r="I817" s="240">
        <f>C383</f>
        <v>1261052</v>
      </c>
      <c r="J817" s="240">
        <f>C384</f>
        <v>1337460</v>
      </c>
      <c r="K817" s="240">
        <f>C385</f>
        <v>201335</v>
      </c>
      <c r="L817" s="240">
        <f>C386+C387+C388+C389</f>
        <v>1138548</v>
      </c>
      <c r="M817" s="240">
        <f>C370</f>
        <v>1305817</v>
      </c>
      <c r="N817" s="180">
        <f>D361</f>
        <v>21841679</v>
      </c>
      <c r="O817" s="180">
        <f>C359</f>
        <v>5957869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Columbia Basin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H-045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200 Nat Washington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Ephrata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H-45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Columbia Basin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Rosalinda Kibby, Administrator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Rhonda Handly, Director of Finance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Amy Paynter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509-754-4631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509-754-6356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173</v>
      </c>
      <c r="G23" s="21">
        <f>data!D111</f>
        <v>470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187</v>
      </c>
      <c r="G24" s="21">
        <f>data!D112</f>
        <v>19436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21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32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Columbia Basin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146</v>
      </c>
      <c r="C7" s="48">
        <f>data!B139</f>
        <v>409</v>
      </c>
      <c r="D7" s="48">
        <f>data!B140</f>
        <v>0</v>
      </c>
      <c r="E7" s="48">
        <f>data!B141</f>
        <v>2170944.42</v>
      </c>
      <c r="F7" s="48">
        <f>data!B142</f>
        <v>6314684.7000000002</v>
      </c>
      <c r="G7" s="48">
        <f>data!B141+data!B142</f>
        <v>8485629.120000001</v>
      </c>
    </row>
    <row r="8" spans="1:13" ht="20.100000000000001" customHeight="1" x14ac:dyDescent="0.25">
      <c r="A8" s="23" t="s">
        <v>297</v>
      </c>
      <c r="B8" s="48">
        <f>data!C138</f>
        <v>17</v>
      </c>
      <c r="C8" s="48">
        <f>data!C139</f>
        <v>41</v>
      </c>
      <c r="D8" s="48">
        <f>data!C140</f>
        <v>0</v>
      </c>
      <c r="E8" s="48">
        <f>data!C141</f>
        <v>180482.36000000002</v>
      </c>
      <c r="F8" s="48">
        <f>data!C142</f>
        <v>2265908.4300000002</v>
      </c>
      <c r="G8" s="48">
        <f>data!C141+data!C142</f>
        <v>2446390.79</v>
      </c>
    </row>
    <row r="9" spans="1:13" ht="20.100000000000001" customHeight="1" x14ac:dyDescent="0.25">
      <c r="A9" s="23" t="s">
        <v>1058</v>
      </c>
      <c r="B9" s="48">
        <f>data!D138</f>
        <v>10</v>
      </c>
      <c r="C9" s="48">
        <f>data!D139</f>
        <v>20</v>
      </c>
      <c r="D9" s="48">
        <f>data!D140</f>
        <v>0</v>
      </c>
      <c r="E9" s="48">
        <f>data!D141</f>
        <v>527659.2200000002</v>
      </c>
      <c r="F9" s="48">
        <f>data!D142</f>
        <v>9447269.870000001</v>
      </c>
      <c r="G9" s="48">
        <f>data!D141+data!D142</f>
        <v>9974929.0900000017</v>
      </c>
    </row>
    <row r="10" spans="1:13" ht="20.100000000000001" customHeight="1" x14ac:dyDescent="0.25">
      <c r="A10" s="111" t="s">
        <v>203</v>
      </c>
      <c r="B10" s="48">
        <f>data!E138</f>
        <v>173</v>
      </c>
      <c r="C10" s="48">
        <f>data!E139</f>
        <v>470</v>
      </c>
      <c r="D10" s="48">
        <f>data!E140</f>
        <v>0</v>
      </c>
      <c r="E10" s="48">
        <f>data!E141</f>
        <v>2879086</v>
      </c>
      <c r="F10" s="48">
        <f>data!E142</f>
        <v>18027863</v>
      </c>
      <c r="G10" s="48">
        <f>data!E141+data!E142</f>
        <v>20906949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133</v>
      </c>
      <c r="C16" s="48">
        <f>data!B145</f>
        <v>2090</v>
      </c>
      <c r="D16" s="48">
        <f>data!B146</f>
        <v>0</v>
      </c>
      <c r="E16" s="48">
        <f>data!B147</f>
        <v>488104</v>
      </c>
      <c r="F16" s="48">
        <f>data!B148</f>
        <v>0</v>
      </c>
      <c r="G16" s="48">
        <f>data!B147+data!B148</f>
        <v>488104</v>
      </c>
    </row>
    <row r="17" spans="1:7" ht="20.100000000000001" customHeight="1" x14ac:dyDescent="0.25">
      <c r="A17" s="23" t="s">
        <v>297</v>
      </c>
      <c r="B17" s="48">
        <f>data!C144</f>
        <v>25</v>
      </c>
      <c r="C17" s="48">
        <f>data!C145</f>
        <v>9773</v>
      </c>
      <c r="D17" s="48">
        <f>data!C146</f>
        <v>0</v>
      </c>
      <c r="E17" s="48">
        <f>data!C147</f>
        <v>1871433</v>
      </c>
      <c r="F17" s="48">
        <f>data!C148</f>
        <v>0</v>
      </c>
      <c r="G17" s="48">
        <f>data!C147+data!C148</f>
        <v>1871433</v>
      </c>
    </row>
    <row r="18" spans="1:7" ht="20.100000000000001" customHeight="1" x14ac:dyDescent="0.25">
      <c r="A18" s="23" t="s">
        <v>1058</v>
      </c>
      <c r="B18" s="48">
        <f>data!D144</f>
        <v>29</v>
      </c>
      <c r="C18" s="48">
        <f>data!D145</f>
        <v>7573</v>
      </c>
      <c r="D18" s="48">
        <f>data!D146</f>
        <v>0</v>
      </c>
      <c r="E18" s="48">
        <f>data!D147</f>
        <v>1159908</v>
      </c>
      <c r="F18" s="48">
        <f>data!D148</f>
        <v>0</v>
      </c>
      <c r="G18" s="48">
        <f>data!D147+data!D148</f>
        <v>1159908</v>
      </c>
    </row>
    <row r="19" spans="1:7" ht="20.100000000000001" customHeight="1" x14ac:dyDescent="0.25">
      <c r="A19" s="111" t="s">
        <v>203</v>
      </c>
      <c r="B19" s="48">
        <f>data!E144</f>
        <v>187</v>
      </c>
      <c r="C19" s="48">
        <f>data!E145</f>
        <v>19436</v>
      </c>
      <c r="D19" s="48">
        <f>data!E146</f>
        <v>0</v>
      </c>
      <c r="E19" s="48">
        <f>data!E147</f>
        <v>3519445</v>
      </c>
      <c r="F19" s="48">
        <f>data!E148</f>
        <v>0</v>
      </c>
      <c r="G19" s="48">
        <f>data!E147+data!E148</f>
        <v>3519445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Columbia Basin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568158.24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14632.33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7625.52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910166.85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6703.93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268444.71999999997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57315.43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25138.3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1858185.3199999998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1546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119791.76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121337.76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125771.9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35740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161511.9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52907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52907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691737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691737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Columbia Basin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99457</v>
      </c>
      <c r="D7" s="21">
        <f>data!C195</f>
        <v>0</v>
      </c>
      <c r="E7" s="21">
        <f>data!D195</f>
        <v>0</v>
      </c>
      <c r="F7" s="21">
        <f>data!E195</f>
        <v>99457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186843</v>
      </c>
      <c r="D8" s="21">
        <f>data!C196</f>
        <v>0</v>
      </c>
      <c r="E8" s="21">
        <f>data!D196</f>
        <v>0</v>
      </c>
      <c r="F8" s="21">
        <f>data!E196</f>
        <v>186843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22442569</v>
      </c>
      <c r="D9" s="21">
        <f>data!C197</f>
        <v>2040002.9</v>
      </c>
      <c r="E9" s="21">
        <f>data!D197</f>
        <v>8547</v>
      </c>
      <c r="F9" s="21">
        <f>data!E197</f>
        <v>24474024.899999999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1281894</v>
      </c>
      <c r="D10" s="21">
        <f>data!C198</f>
        <v>3233880.96</v>
      </c>
      <c r="E10" s="21">
        <f>data!D198</f>
        <v>0</v>
      </c>
      <c r="F10" s="21">
        <f>data!E198</f>
        <v>4515774.96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2943433</v>
      </c>
      <c r="D12" s="21">
        <f>data!C200</f>
        <v>504703.06</v>
      </c>
      <c r="E12" s="21">
        <f>data!D200</f>
        <v>162228.79</v>
      </c>
      <c r="F12" s="21">
        <f>data!E200</f>
        <v>3285907.27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470635</v>
      </c>
      <c r="D13" s="21">
        <f>data!C201</f>
        <v>0</v>
      </c>
      <c r="E13" s="21">
        <f>data!D201</f>
        <v>0</v>
      </c>
      <c r="F13" s="21">
        <f>data!E201</f>
        <v>470635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4115797</v>
      </c>
      <c r="D15" s="21">
        <f>data!C203</f>
        <v>1671176.15</v>
      </c>
      <c r="E15" s="21">
        <f>data!D203</f>
        <v>5417382.5899999999</v>
      </c>
      <c r="F15" s="21">
        <f>data!E203</f>
        <v>369590.56000000052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31540628</v>
      </c>
      <c r="D16" s="21">
        <f>data!C204</f>
        <v>7449763.0699999984</v>
      </c>
      <c r="E16" s="21">
        <f>data!D204</f>
        <v>5588158.3799999999</v>
      </c>
      <c r="F16" s="21">
        <f>data!E204</f>
        <v>33402232.689999998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101641</v>
      </c>
      <c r="D24" s="21">
        <f>data!C209</f>
        <v>10636.38</v>
      </c>
      <c r="E24" s="21">
        <f>data!D209</f>
        <v>0</v>
      </c>
      <c r="F24" s="21">
        <f>data!E209</f>
        <v>112277.38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8073721</v>
      </c>
      <c r="D25" s="21">
        <f>data!C210</f>
        <v>1003943.97</v>
      </c>
      <c r="E25" s="21">
        <f>data!D210</f>
        <v>8546.76</v>
      </c>
      <c r="F25" s="21">
        <f>data!E210</f>
        <v>9069118.2100000009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795870</v>
      </c>
      <c r="D26" s="21">
        <f>data!C211</f>
        <v>237593.63</v>
      </c>
      <c r="E26" s="21">
        <f>data!D211</f>
        <v>0</v>
      </c>
      <c r="F26" s="21">
        <f>data!E211</f>
        <v>1033463.63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2354546</v>
      </c>
      <c r="D28" s="21">
        <f>data!C213</f>
        <v>242516.36000000002</v>
      </c>
      <c r="E28" s="21">
        <f>data!D213</f>
        <v>162228.79</v>
      </c>
      <c r="F28" s="21">
        <f>data!E213</f>
        <v>2434833.5699999998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430423</v>
      </c>
      <c r="D29" s="21">
        <f>data!C214</f>
        <v>40212.65</v>
      </c>
      <c r="E29" s="21">
        <f>data!D214</f>
        <v>0</v>
      </c>
      <c r="F29" s="21">
        <f>data!E214</f>
        <v>470635.65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11756201</v>
      </c>
      <c r="D32" s="21">
        <f>data!C217</f>
        <v>1534902.99</v>
      </c>
      <c r="E32" s="21">
        <f>data!D217</f>
        <v>170775.55000000002</v>
      </c>
      <c r="F32" s="21">
        <f>data!E217</f>
        <v>13120328.440000003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Columbia Basin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510938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1655730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2827151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154528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2281116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6918525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29226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3575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32801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15152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7477416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Columbia Basin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1280457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3009014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1259000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370995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158167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107752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170675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3838060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5222955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29627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5252582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99457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186843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24474025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4515775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3756542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369591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33402233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13120328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20281905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-426040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-426040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28946507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Columbia Basin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1007453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1003986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439756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7200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68419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2526814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17013000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68419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17081419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68419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17013000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9406693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9406693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28946507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Columbia Basin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6398531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18027863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24426394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510938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6918525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32801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15152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7477416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16948978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1303635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497377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1801012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18749990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7844693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1858185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4085067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1381513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212937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1321703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1534903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121338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161512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52907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691737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193717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19460212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-710222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1145867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435645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435645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Columbia Basin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470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12284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8329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271986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308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292907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322547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785880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-32000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753880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13771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1811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Columbia Basin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14423</v>
      </c>
      <c r="E41" s="14">
        <f>data!L59</f>
        <v>5013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21.880000000000003</v>
      </c>
      <c r="E42" s="26">
        <f>data!L60</f>
        <v>19.399999999999999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1117372</v>
      </c>
      <c r="E43" s="14">
        <f>data!L61</f>
        <v>1055800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264674</v>
      </c>
      <c r="E44" s="14">
        <f>data!L62</f>
        <v>250089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102882</v>
      </c>
      <c r="E45" s="14">
        <f>data!L63</f>
        <v>420409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30132</v>
      </c>
      <c r="E46" s="14">
        <f>data!L64</f>
        <v>63404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8206</v>
      </c>
      <c r="E48" s="14">
        <f>data!L66</f>
        <v>20103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336848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1935</v>
      </c>
      <c r="E51" s="14">
        <f>data!L69</f>
        <v>867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1862049</v>
      </c>
      <c r="E53" s="14">
        <f>data!L71</f>
        <v>1810672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1472287</v>
      </c>
      <c r="E55" s="48">
        <f>+data!M677</f>
        <v>892112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2036485</v>
      </c>
      <c r="E56" s="14">
        <f>data!L73</f>
        <v>1482960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2036485</v>
      </c>
      <c r="E58" s="14">
        <f>data!L75</f>
        <v>1482960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17055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42082</v>
      </c>
      <c r="E61" s="14">
        <f>data!L77</f>
        <v>15084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4665</v>
      </c>
      <c r="E62" s="14">
        <f>data!L78</f>
        <v>5486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35358</v>
      </c>
      <c r="E63" s="14">
        <f>data!L79</f>
        <v>41299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21.740000000000002</v>
      </c>
      <c r="E64" s="26">
        <f>data!L80</f>
        <v>22.75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Columbia Basin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129073</v>
      </c>
      <c r="H73" s="14">
        <f>data!V59</f>
        <v>0</v>
      </c>
      <c r="I73" s="14">
        <f>data!W59</f>
        <v>2639.2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1.23</v>
      </c>
      <c r="F74" s="26">
        <f>data!T60</f>
        <v>0</v>
      </c>
      <c r="G74" s="26">
        <f>data!U60</f>
        <v>6.16</v>
      </c>
      <c r="H74" s="26">
        <f>data!V60</f>
        <v>0</v>
      </c>
      <c r="I74" s="26">
        <f>data!W60</f>
        <v>0.03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50479</v>
      </c>
      <c r="F75" s="14">
        <f>data!T61</f>
        <v>0</v>
      </c>
      <c r="G75" s="14">
        <f>data!U61</f>
        <v>354484</v>
      </c>
      <c r="H75" s="14">
        <f>data!V61</f>
        <v>0</v>
      </c>
      <c r="I75" s="14">
        <f>data!W61</f>
        <v>1942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11957</v>
      </c>
      <c r="F76" s="14">
        <f>data!T62</f>
        <v>0</v>
      </c>
      <c r="G76" s="14">
        <f>data!U62</f>
        <v>83967</v>
      </c>
      <c r="H76" s="14">
        <f>data!V62</f>
        <v>0</v>
      </c>
      <c r="I76" s="14">
        <f>data!W62</f>
        <v>460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57330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21608</v>
      </c>
      <c r="F78" s="14">
        <f>data!T64</f>
        <v>379</v>
      </c>
      <c r="G78" s="14">
        <f>data!U64</f>
        <v>379002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1797</v>
      </c>
      <c r="G80" s="14">
        <f>data!U66</f>
        <v>40408</v>
      </c>
      <c r="H80" s="14">
        <f>data!V66</f>
        <v>0</v>
      </c>
      <c r="I80" s="14">
        <f>data!W66</f>
        <v>95843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14833</v>
      </c>
      <c r="F81" s="14">
        <f>data!T67</f>
        <v>0</v>
      </c>
      <c r="G81" s="14">
        <f>data!U67</f>
        <v>23365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8447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139</v>
      </c>
      <c r="F83" s="14">
        <f>data!T69</f>
        <v>0</v>
      </c>
      <c r="G83" s="14">
        <f>data!U69</f>
        <v>11901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-1356</v>
      </c>
      <c r="F84" s="14">
        <f>-data!T70</f>
        <v>0</v>
      </c>
      <c r="G84" s="14">
        <f>-data!U70</f>
        <v>-26565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97660</v>
      </c>
      <c r="F85" s="14">
        <f>data!T71</f>
        <v>2176</v>
      </c>
      <c r="G85" s="14">
        <f>data!U71</f>
        <v>932339</v>
      </c>
      <c r="H85" s="14">
        <f>data!V71</f>
        <v>0</v>
      </c>
      <c r="I85" s="14">
        <f>data!W71</f>
        <v>98245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41473</v>
      </c>
      <c r="F87" s="48">
        <f>+data!M685</f>
        <v>35561</v>
      </c>
      <c r="G87" s="48">
        <f>+data!M686</f>
        <v>447931</v>
      </c>
      <c r="H87" s="48">
        <f>+data!M687</f>
        <v>9226</v>
      </c>
      <c r="I87" s="48">
        <f>+data!M688</f>
        <v>50492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14629</v>
      </c>
      <c r="F88" s="14">
        <f>data!T73</f>
        <v>19861</v>
      </c>
      <c r="G88" s="14">
        <f>data!U73</f>
        <v>273559</v>
      </c>
      <c r="H88" s="14">
        <f>data!V73</f>
        <v>4288</v>
      </c>
      <c r="I88" s="14">
        <f>data!W73</f>
        <v>32356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112426</v>
      </c>
      <c r="F89" s="14">
        <f>data!T74</f>
        <v>340723</v>
      </c>
      <c r="G89" s="14">
        <f>data!U74</f>
        <v>2756786</v>
      </c>
      <c r="H89" s="14">
        <f>data!V74</f>
        <v>89728</v>
      </c>
      <c r="I89" s="14">
        <f>data!W74</f>
        <v>417477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127055</v>
      </c>
      <c r="F90" s="14">
        <f>data!T75</f>
        <v>360584</v>
      </c>
      <c r="G90" s="14">
        <f>data!U75</f>
        <v>3030345</v>
      </c>
      <c r="H90" s="14">
        <f>data!V75</f>
        <v>94016</v>
      </c>
      <c r="I90" s="14">
        <f>data!W75</f>
        <v>449833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751</v>
      </c>
      <c r="F92" s="14">
        <f>data!T76</f>
        <v>0</v>
      </c>
      <c r="G92" s="14">
        <f>data!U76</f>
        <v>1183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161</v>
      </c>
      <c r="F94" s="14">
        <f>data!T78</f>
        <v>0</v>
      </c>
      <c r="G94" s="14">
        <f>data!U78</f>
        <v>368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157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Columbia Basin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9840.42</v>
      </c>
      <c r="D105" s="14">
        <f>data!Y59</f>
        <v>6398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0.52</v>
      </c>
      <c r="D106" s="26">
        <f>data!Y60</f>
        <v>4.07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41994</v>
      </c>
      <c r="D107" s="14">
        <f>data!Y61</f>
        <v>308437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9947</v>
      </c>
      <c r="D108" s="14">
        <f>data!Y62</f>
        <v>73060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282360</v>
      </c>
      <c r="E109" s="14">
        <f>data!Z63</f>
        <v>0</v>
      </c>
      <c r="F109" s="14">
        <f>data!AA63</f>
        <v>0</v>
      </c>
      <c r="G109" s="14">
        <f>data!AB63</f>
        <v>157884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18150</v>
      </c>
      <c r="D110" s="14">
        <f>data!Y64</f>
        <v>9040</v>
      </c>
      <c r="E110" s="14">
        <f>data!Z64</f>
        <v>0</v>
      </c>
      <c r="F110" s="14">
        <f>data!AA64</f>
        <v>0</v>
      </c>
      <c r="G110" s="14">
        <f>data!AB64</f>
        <v>278436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88979</v>
      </c>
      <c r="D112" s="14">
        <f>data!Y66</f>
        <v>98788</v>
      </c>
      <c r="E112" s="14">
        <f>data!Z66</f>
        <v>0</v>
      </c>
      <c r="F112" s="14">
        <f>data!AA66</f>
        <v>0</v>
      </c>
      <c r="G112" s="14">
        <f>data!AB66</f>
        <v>237207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10093</v>
      </c>
      <c r="D113" s="14">
        <f>data!Y67</f>
        <v>27434</v>
      </c>
      <c r="E113" s="14">
        <f>data!Z67</f>
        <v>0</v>
      </c>
      <c r="F113" s="14">
        <f>data!AA67</f>
        <v>0</v>
      </c>
      <c r="G113" s="14">
        <f>data!AB67</f>
        <v>7327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64262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617</v>
      </c>
      <c r="E115" s="14">
        <f>data!Z69</f>
        <v>0</v>
      </c>
      <c r="F115" s="14">
        <f>data!AA69</f>
        <v>0</v>
      </c>
      <c r="G115" s="14">
        <f>data!AB69</f>
        <v>663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-801683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233425</v>
      </c>
      <c r="D117" s="14">
        <f>data!Y71</f>
        <v>799736</v>
      </c>
      <c r="E117" s="14">
        <f>data!Z71</f>
        <v>0</v>
      </c>
      <c r="F117" s="14">
        <f>data!AA71</f>
        <v>0</v>
      </c>
      <c r="G117" s="14">
        <f>data!AB71</f>
        <v>-120166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224259</v>
      </c>
      <c r="D119" s="48">
        <f>+data!M690</f>
        <v>293931</v>
      </c>
      <c r="E119" s="48">
        <f>+data!M691</f>
        <v>0</v>
      </c>
      <c r="F119" s="48">
        <f>+data!M692</f>
        <v>0</v>
      </c>
      <c r="G119" s="48">
        <f>+data!M693</f>
        <v>111110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110232</v>
      </c>
      <c r="D120" s="14">
        <f>data!Y73</f>
        <v>118299</v>
      </c>
      <c r="E120" s="14">
        <f>data!Z73</f>
        <v>0</v>
      </c>
      <c r="F120" s="14">
        <f>data!AA73</f>
        <v>0</v>
      </c>
      <c r="G120" s="14">
        <f>data!AB73</f>
        <v>522716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1729491</v>
      </c>
      <c r="D121" s="14">
        <f>data!Y74</f>
        <v>1777979</v>
      </c>
      <c r="E121" s="14">
        <f>data!Z74</f>
        <v>0</v>
      </c>
      <c r="F121" s="14">
        <f>data!AA74</f>
        <v>0</v>
      </c>
      <c r="G121" s="14">
        <f>data!AB74</f>
        <v>304418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1839723</v>
      </c>
      <c r="D122" s="14">
        <f>data!Y75</f>
        <v>1896278</v>
      </c>
      <c r="E122" s="14">
        <f>data!Z75</f>
        <v>0</v>
      </c>
      <c r="F122" s="14">
        <f>data!AA75</f>
        <v>0</v>
      </c>
      <c r="G122" s="14">
        <f>data!AB75</f>
        <v>827134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511</v>
      </c>
      <c r="D124" s="14">
        <f>data!Y76</f>
        <v>1389</v>
      </c>
      <c r="E124" s="14">
        <f>data!Z76</f>
        <v>0</v>
      </c>
      <c r="F124" s="14">
        <f>data!AA76</f>
        <v>0</v>
      </c>
      <c r="G124" s="14">
        <f>data!AB76</f>
        <v>371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524</v>
      </c>
      <c r="D126" s="14">
        <f>data!Y78</f>
        <v>526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1185</v>
      </c>
      <c r="D127" s="14">
        <f>data!Y79</f>
        <v>4101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Columbia Basin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23685</v>
      </c>
      <c r="D137" s="14">
        <f>data!AF59</f>
        <v>0</v>
      </c>
      <c r="E137" s="14">
        <f>data!AG59</f>
        <v>5032</v>
      </c>
      <c r="F137" s="14">
        <f>data!AH59</f>
        <v>0</v>
      </c>
      <c r="G137" s="14">
        <f>data!AI59</f>
        <v>168</v>
      </c>
      <c r="H137" s="14">
        <f>data!AJ59</f>
        <v>12446</v>
      </c>
      <c r="I137" s="14">
        <f>data!AK59</f>
        <v>9278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9.2100000000000009</v>
      </c>
      <c r="F138" s="26">
        <f>data!AH60</f>
        <v>0</v>
      </c>
      <c r="G138" s="26">
        <f>data!AI60</f>
        <v>0</v>
      </c>
      <c r="H138" s="26">
        <f>data!AJ60</f>
        <v>17.510000000000002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563825</v>
      </c>
      <c r="F139" s="14">
        <f>data!AH61</f>
        <v>0</v>
      </c>
      <c r="G139" s="14">
        <f>data!AI61</f>
        <v>0</v>
      </c>
      <c r="H139" s="14">
        <f>data!AJ61</f>
        <v>1506219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133554</v>
      </c>
      <c r="F140" s="14">
        <f>data!AH62</f>
        <v>0</v>
      </c>
      <c r="G140" s="14">
        <f>data!AI62</f>
        <v>0</v>
      </c>
      <c r="H140" s="14">
        <f>data!AJ62</f>
        <v>356781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783007</v>
      </c>
      <c r="D141" s="14">
        <f>data!AF63</f>
        <v>0</v>
      </c>
      <c r="E141" s="14">
        <f>data!AG63</f>
        <v>1556152</v>
      </c>
      <c r="F141" s="14">
        <f>data!AH63</f>
        <v>0</v>
      </c>
      <c r="G141" s="14">
        <f>data!AI63</f>
        <v>0</v>
      </c>
      <c r="H141" s="14">
        <f>data!AJ63</f>
        <v>27053</v>
      </c>
      <c r="I141" s="14">
        <f>data!AK63</f>
        <v>316704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23292</v>
      </c>
      <c r="D142" s="14">
        <f>data!AF64</f>
        <v>0</v>
      </c>
      <c r="E142" s="14">
        <f>data!AG64</f>
        <v>43253</v>
      </c>
      <c r="F142" s="14">
        <f>data!AH64</f>
        <v>0</v>
      </c>
      <c r="G142" s="14">
        <f>data!AI64</f>
        <v>0</v>
      </c>
      <c r="H142" s="14">
        <f>data!AJ64</f>
        <v>78486</v>
      </c>
      <c r="I142" s="14">
        <f>data!AK64</f>
        <v>7003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2141</v>
      </c>
      <c r="F144" s="14">
        <f>data!AH66</f>
        <v>0</v>
      </c>
      <c r="G144" s="14">
        <f>data!AI66</f>
        <v>0</v>
      </c>
      <c r="H144" s="14">
        <f>data!AJ66</f>
        <v>163035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56862</v>
      </c>
      <c r="D145" s="14">
        <f>data!AF67</f>
        <v>0</v>
      </c>
      <c r="E145" s="14">
        <f>data!AG67</f>
        <v>57356</v>
      </c>
      <c r="F145" s="14">
        <f>data!AH67</f>
        <v>0</v>
      </c>
      <c r="G145" s="14">
        <f>data!AI67</f>
        <v>0</v>
      </c>
      <c r="H145" s="14">
        <f>data!AJ67</f>
        <v>109478</v>
      </c>
      <c r="I145" s="14">
        <f>data!AK67</f>
        <v>13035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2947</v>
      </c>
      <c r="F147" s="14">
        <f>data!AH69</f>
        <v>0</v>
      </c>
      <c r="G147" s="14">
        <f>data!AI69</f>
        <v>0</v>
      </c>
      <c r="H147" s="14">
        <f>data!AJ69</f>
        <v>21195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863161</v>
      </c>
      <c r="D149" s="14">
        <f>data!AF71</f>
        <v>0</v>
      </c>
      <c r="E149" s="14">
        <f>data!AG71</f>
        <v>2359228</v>
      </c>
      <c r="F149" s="14">
        <f>data!AH71</f>
        <v>0</v>
      </c>
      <c r="G149" s="14">
        <f>data!AI71</f>
        <v>0</v>
      </c>
      <c r="H149" s="14">
        <f>data!AJ71</f>
        <v>2262247</v>
      </c>
      <c r="I149" s="14">
        <f>data!AK71</f>
        <v>336742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279972</v>
      </c>
      <c r="D151" s="48">
        <f>+data!M697</f>
        <v>0</v>
      </c>
      <c r="E151" s="48">
        <f>+data!M698</f>
        <v>842884</v>
      </c>
      <c r="F151" s="48">
        <f>+data!M699</f>
        <v>0</v>
      </c>
      <c r="G151" s="48">
        <f>+data!M700</f>
        <v>47059</v>
      </c>
      <c r="H151" s="48">
        <f>+data!M701</f>
        <v>758620</v>
      </c>
      <c r="I151" s="48">
        <f>+data!M702</f>
        <v>103056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341467</v>
      </c>
      <c r="D152" s="14">
        <f>data!AF73</f>
        <v>0</v>
      </c>
      <c r="E152" s="14">
        <f>data!AG73</f>
        <v>37133</v>
      </c>
      <c r="F152" s="14">
        <f>data!AH73</f>
        <v>0</v>
      </c>
      <c r="G152" s="14">
        <f>data!AI73</f>
        <v>19213</v>
      </c>
      <c r="H152" s="14">
        <f>data!AJ73</f>
        <v>0</v>
      </c>
      <c r="I152" s="14">
        <f>data!AK73</f>
        <v>486542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1376988</v>
      </c>
      <c r="D153" s="14">
        <f>data!AF74</f>
        <v>0</v>
      </c>
      <c r="E153" s="14">
        <f>data!AG74</f>
        <v>4672272</v>
      </c>
      <c r="F153" s="14">
        <f>data!AH74</f>
        <v>0</v>
      </c>
      <c r="G153" s="14">
        <f>data!AI74</f>
        <v>460322</v>
      </c>
      <c r="H153" s="14">
        <f>data!AJ74</f>
        <v>3578431</v>
      </c>
      <c r="I153" s="14">
        <f>data!AK74</f>
        <v>208769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1718455</v>
      </c>
      <c r="D154" s="14">
        <f>data!AF75</f>
        <v>0</v>
      </c>
      <c r="E154" s="14">
        <f>data!AG75</f>
        <v>4709405</v>
      </c>
      <c r="F154" s="14">
        <f>data!AH75</f>
        <v>0</v>
      </c>
      <c r="G154" s="14">
        <f>data!AI75</f>
        <v>479535</v>
      </c>
      <c r="H154" s="14">
        <f>data!AJ75</f>
        <v>3578431</v>
      </c>
      <c r="I154" s="14">
        <f>data!AK75</f>
        <v>695311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2879</v>
      </c>
      <c r="D156" s="14">
        <f>data!AF76</f>
        <v>0</v>
      </c>
      <c r="E156" s="14">
        <f>data!AG76</f>
        <v>2904</v>
      </c>
      <c r="F156" s="14">
        <f>data!AH76</f>
        <v>0</v>
      </c>
      <c r="G156" s="14">
        <f>data!AI76</f>
        <v>0</v>
      </c>
      <c r="H156" s="14">
        <f>data!AJ76</f>
        <v>5543</v>
      </c>
      <c r="I156" s="14">
        <f>data!AK76</f>
        <v>660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1923</v>
      </c>
      <c r="F158" s="14">
        <f>data!AH78</f>
        <v>0</v>
      </c>
      <c r="G158" s="14">
        <f>data!AI78</f>
        <v>0</v>
      </c>
      <c r="H158" s="14">
        <f>data!AJ78</f>
        <v>2021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7486</v>
      </c>
      <c r="D159" s="14">
        <f>data!AF79</f>
        <v>0</v>
      </c>
      <c r="E159" s="14">
        <f>data!AG79</f>
        <v>15055</v>
      </c>
      <c r="F159" s="14">
        <f>data!AH79</f>
        <v>0</v>
      </c>
      <c r="G159" s="14">
        <f>data!AI79</f>
        <v>0</v>
      </c>
      <c r="H159" s="14">
        <f>data!AJ79</f>
        <v>286</v>
      </c>
      <c r="I159" s="14">
        <f>data!AK79</f>
        <v>2111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10.41</v>
      </c>
      <c r="F160" s="26">
        <f>data!AH80</f>
        <v>0</v>
      </c>
      <c r="G160" s="26">
        <f>data!AI80</f>
        <v>0</v>
      </c>
      <c r="H160" s="26">
        <f>data!AJ80</f>
        <v>7.67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Columbia Basin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1710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121516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4427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1778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127721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43697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112911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234053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346964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Columbia Basin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72463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3.09</v>
      </c>
      <c r="G202" s="26">
        <f>data!AW60</f>
        <v>0</v>
      </c>
      <c r="H202" s="26">
        <f>data!AX60</f>
        <v>0</v>
      </c>
      <c r="I202" s="26">
        <f>data!AY60</f>
        <v>11.85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98936</v>
      </c>
      <c r="G203" s="14">
        <f>data!AW61</f>
        <v>0</v>
      </c>
      <c r="H203" s="14">
        <f>data!AX61</f>
        <v>0</v>
      </c>
      <c r="I203" s="14">
        <f>data!AY61</f>
        <v>406727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23435</v>
      </c>
      <c r="G204" s="14">
        <f>data!AW62</f>
        <v>0</v>
      </c>
      <c r="H204" s="14">
        <f>data!AX62</f>
        <v>0</v>
      </c>
      <c r="I204" s="14">
        <f>data!AY62</f>
        <v>96342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11977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5352</v>
      </c>
      <c r="G206" s="14">
        <f>data!AW64</f>
        <v>0</v>
      </c>
      <c r="H206" s="14">
        <f>data!AX64</f>
        <v>0</v>
      </c>
      <c r="I206" s="14">
        <f>data!AY64</f>
        <v>244390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900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37171</v>
      </c>
      <c r="G209" s="14">
        <f>data!AW67</f>
        <v>0</v>
      </c>
      <c r="H209" s="14">
        <f>data!AX67</f>
        <v>0</v>
      </c>
      <c r="I209" s="14">
        <f>data!AY67</f>
        <v>26663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1598</v>
      </c>
      <c r="G211" s="14">
        <f>data!AW69</f>
        <v>0</v>
      </c>
      <c r="H211" s="14">
        <f>data!AX69</f>
        <v>0</v>
      </c>
      <c r="I211" s="14">
        <f>data!AY69</f>
        <v>632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-1453</v>
      </c>
      <c r="G212" s="14">
        <f>-data!AW70</f>
        <v>0</v>
      </c>
      <c r="H212" s="14">
        <f>-data!AX70</f>
        <v>0</v>
      </c>
      <c r="I212" s="14">
        <f>-data!AY70</f>
        <v>-72803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165039</v>
      </c>
      <c r="G213" s="14">
        <f>data!AW71</f>
        <v>0</v>
      </c>
      <c r="H213" s="14">
        <f>data!AX71</f>
        <v>0</v>
      </c>
      <c r="I213" s="14">
        <f>data!AY71</f>
        <v>714828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57176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1882</v>
      </c>
      <c r="G220" s="14">
        <f>data!AW76</f>
        <v>0</v>
      </c>
      <c r="H220" s="14">
        <f>data!AX76</f>
        <v>0</v>
      </c>
      <c r="I220" s="85">
        <f>data!AY76</f>
        <v>1350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234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Columbia Basin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77714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2.48</v>
      </c>
      <c r="E234" s="26">
        <f>data!BB60</f>
        <v>2.04</v>
      </c>
      <c r="F234" s="26">
        <f>data!BC60</f>
        <v>0</v>
      </c>
      <c r="G234" s="26">
        <f>data!BD60</f>
        <v>0.81</v>
      </c>
      <c r="H234" s="26">
        <f>data!BE60</f>
        <v>3.23</v>
      </c>
      <c r="I234" s="26">
        <f>data!BF60</f>
        <v>9.5299999999999994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75793</v>
      </c>
      <c r="E235" s="14">
        <f>data!BB61</f>
        <v>115736</v>
      </c>
      <c r="F235" s="14">
        <f>data!BC61</f>
        <v>0</v>
      </c>
      <c r="G235" s="14">
        <f>data!BD61</f>
        <v>42786</v>
      </c>
      <c r="H235" s="14">
        <f>data!BE61</f>
        <v>152935</v>
      </c>
      <c r="I235" s="14">
        <f>data!BF61</f>
        <v>306914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17953</v>
      </c>
      <c r="E236" s="14">
        <f>data!BB62</f>
        <v>27415</v>
      </c>
      <c r="F236" s="14">
        <f>data!BC62</f>
        <v>0</v>
      </c>
      <c r="G236" s="14">
        <f>data!BD62</f>
        <v>10135</v>
      </c>
      <c r="H236" s="14">
        <f>data!BE62</f>
        <v>36226</v>
      </c>
      <c r="I236" s="14">
        <f>data!BF62</f>
        <v>72699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15681</v>
      </c>
      <c r="E238" s="14">
        <f>data!BB64</f>
        <v>159</v>
      </c>
      <c r="F238" s="14">
        <f>data!BC64</f>
        <v>0</v>
      </c>
      <c r="G238" s="14">
        <f>data!BD64</f>
        <v>7059</v>
      </c>
      <c r="H238" s="14">
        <f>data!BE64</f>
        <v>29594</v>
      </c>
      <c r="I238" s="14">
        <f>data!BF64</f>
        <v>25961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180977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42523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58561</v>
      </c>
      <c r="D241" s="14">
        <f>data!BA67</f>
        <v>27651</v>
      </c>
      <c r="E241" s="14">
        <f>data!BB67</f>
        <v>1778</v>
      </c>
      <c r="F241" s="14">
        <f>data!BC67</f>
        <v>0</v>
      </c>
      <c r="G241" s="14">
        <f>data!BD67</f>
        <v>48152</v>
      </c>
      <c r="H241" s="14">
        <f>data!BE67</f>
        <v>71181</v>
      </c>
      <c r="I241" s="14">
        <f>data!BF67</f>
        <v>30219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1546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506</v>
      </c>
      <c r="F243" s="14">
        <f>data!BC69</f>
        <v>0</v>
      </c>
      <c r="G243" s="14">
        <f>data!BD69</f>
        <v>598</v>
      </c>
      <c r="H243" s="14">
        <f>data!BE69</f>
        <v>817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58561</v>
      </c>
      <c r="D245" s="14">
        <f>data!BA71</f>
        <v>137078</v>
      </c>
      <c r="E245" s="14">
        <f>data!BB71</f>
        <v>145594</v>
      </c>
      <c r="F245" s="14">
        <f>data!BC71</f>
        <v>0</v>
      </c>
      <c r="G245" s="14">
        <f>data!BD71</f>
        <v>108730</v>
      </c>
      <c r="H245" s="14">
        <f>data!BE71</f>
        <v>515799</v>
      </c>
      <c r="I245" s="14">
        <f>data!BF71</f>
        <v>435793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2965</v>
      </c>
      <c r="D252" s="85">
        <f>data!BA76</f>
        <v>1400</v>
      </c>
      <c r="E252" s="85">
        <f>data!BB76</f>
        <v>90</v>
      </c>
      <c r="F252" s="85">
        <f>data!BC76</f>
        <v>0</v>
      </c>
      <c r="G252" s="85">
        <f>data!BD76</f>
        <v>2438</v>
      </c>
      <c r="H252" s="85">
        <f>data!BE76</f>
        <v>3604</v>
      </c>
      <c r="I252" s="85">
        <f>data!BF76</f>
        <v>1530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13486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79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Columbia Basin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2.27</v>
      </c>
      <c r="E266" s="26">
        <f>data!BI60</f>
        <v>0</v>
      </c>
      <c r="F266" s="26">
        <f>data!BJ60</f>
        <v>2.2000000000000002</v>
      </c>
      <c r="G266" s="26">
        <f>data!BK60</f>
        <v>5.96</v>
      </c>
      <c r="H266" s="26">
        <f>data!BL60</f>
        <v>4.01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168739</v>
      </c>
      <c r="E267" s="14">
        <f>data!BI61</f>
        <v>0</v>
      </c>
      <c r="F267" s="14">
        <f>data!BJ61</f>
        <v>181655</v>
      </c>
      <c r="G267" s="14">
        <f>data!BK61</f>
        <v>314136</v>
      </c>
      <c r="H267" s="14">
        <f>data!BL61</f>
        <v>143130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39969</v>
      </c>
      <c r="E268" s="14">
        <f>data!BI62</f>
        <v>0</v>
      </c>
      <c r="F268" s="14">
        <f>data!BJ62</f>
        <v>43029</v>
      </c>
      <c r="G268" s="14">
        <f>data!BK62</f>
        <v>74410</v>
      </c>
      <c r="H268" s="14">
        <f>data!BL62</f>
        <v>33903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677</v>
      </c>
      <c r="E269" s="14">
        <f>data!BI63</f>
        <v>0</v>
      </c>
      <c r="F269" s="14">
        <f>data!BJ63</f>
        <v>79949</v>
      </c>
      <c r="G269" s="14">
        <f>data!BK63</f>
        <v>59294</v>
      </c>
      <c r="H269" s="14">
        <f>data!BL63</f>
        <v>60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67185</v>
      </c>
      <c r="E270" s="14">
        <f>data!BI64</f>
        <v>0</v>
      </c>
      <c r="F270" s="14">
        <f>data!BJ64</f>
        <v>1669</v>
      </c>
      <c r="G270" s="14">
        <f>data!BK64</f>
        <v>2815</v>
      </c>
      <c r="H270" s="14">
        <f>data!BL64</f>
        <v>1837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31960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376197</v>
      </c>
      <c r="E272" s="14">
        <f>data!BI66</f>
        <v>0</v>
      </c>
      <c r="F272" s="14">
        <f>data!BJ66</f>
        <v>0</v>
      </c>
      <c r="G272" s="14">
        <f>data!BK66</f>
        <v>45843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10626</v>
      </c>
      <c r="E273" s="14">
        <f>data!BI67</f>
        <v>0</v>
      </c>
      <c r="F273" s="14">
        <f>data!BJ67</f>
        <v>14872</v>
      </c>
      <c r="G273" s="14">
        <f>data!BK67</f>
        <v>41812</v>
      </c>
      <c r="H273" s="14">
        <f>data!BL67</f>
        <v>77541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43367</v>
      </c>
      <c r="E274" s="14">
        <f>data!BI68</f>
        <v>0</v>
      </c>
      <c r="F274" s="14">
        <f>data!BJ68</f>
        <v>0</v>
      </c>
      <c r="G274" s="14">
        <f>data!BK68</f>
        <v>3716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1518</v>
      </c>
      <c r="E275" s="14">
        <f>data!BI69</f>
        <v>0</v>
      </c>
      <c r="F275" s="14">
        <f>data!BJ69</f>
        <v>1773</v>
      </c>
      <c r="G275" s="14">
        <f>data!BK69</f>
        <v>44582</v>
      </c>
      <c r="H275" s="14">
        <f>data!BL69</f>
        <v>71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740238</v>
      </c>
      <c r="E277" s="14">
        <f>data!BI71</f>
        <v>0</v>
      </c>
      <c r="F277" s="14">
        <f>data!BJ71</f>
        <v>322947</v>
      </c>
      <c r="G277" s="14">
        <f>data!BK71</f>
        <v>586608</v>
      </c>
      <c r="H277" s="14">
        <f>data!BL71</f>
        <v>256542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538</v>
      </c>
      <c r="E284" s="85">
        <f>data!BI76</f>
        <v>0</v>
      </c>
      <c r="F284" s="85">
        <f>data!BJ76</f>
        <v>753</v>
      </c>
      <c r="G284" s="85">
        <f>data!BK76</f>
        <v>2117</v>
      </c>
      <c r="H284" s="85">
        <f>data!BL76</f>
        <v>3926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459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Columbia Basin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</v>
      </c>
      <c r="D298" s="26">
        <f>data!BO60</f>
        <v>0</v>
      </c>
      <c r="E298" s="26">
        <f>data!BP60</f>
        <v>0.85</v>
      </c>
      <c r="F298" s="26">
        <f>data!BQ60</f>
        <v>0</v>
      </c>
      <c r="G298" s="26">
        <f>data!BR60</f>
        <v>1.19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197340</v>
      </c>
      <c r="D299" s="14">
        <f>data!BO61</f>
        <v>0</v>
      </c>
      <c r="E299" s="14">
        <f>data!BP61</f>
        <v>54653</v>
      </c>
      <c r="F299" s="14">
        <f>data!BQ61</f>
        <v>0</v>
      </c>
      <c r="G299" s="14">
        <f>data!BR61</f>
        <v>96835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46744</v>
      </c>
      <c r="D300" s="14">
        <f>data!BO62</f>
        <v>0</v>
      </c>
      <c r="E300" s="14">
        <f>data!BP62</f>
        <v>12946</v>
      </c>
      <c r="F300" s="14">
        <f>data!BQ62</f>
        <v>0</v>
      </c>
      <c r="G300" s="14">
        <f>data!BR62</f>
        <v>22937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101644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6169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120</v>
      </c>
      <c r="D302" s="14">
        <f>data!BO64</f>
        <v>0</v>
      </c>
      <c r="E302" s="14">
        <f>data!BP64</f>
        <v>1321</v>
      </c>
      <c r="F302" s="14">
        <f>data!BQ64</f>
        <v>0</v>
      </c>
      <c r="G302" s="14">
        <f>data!BR64</f>
        <v>672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12286</v>
      </c>
      <c r="D304" s="14">
        <f>data!BO66</f>
        <v>0</v>
      </c>
      <c r="E304" s="14">
        <f>data!BP66</f>
        <v>28336</v>
      </c>
      <c r="F304" s="14">
        <f>data!BQ66</f>
        <v>0</v>
      </c>
      <c r="G304" s="14">
        <f>data!BR66</f>
        <v>11675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116963</v>
      </c>
      <c r="D305" s="14">
        <f>data!BO67</f>
        <v>0</v>
      </c>
      <c r="E305" s="14">
        <f>data!BP67</f>
        <v>1995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81034</v>
      </c>
      <c r="D307" s="14">
        <f>data!BO69</f>
        <v>0</v>
      </c>
      <c r="E307" s="14">
        <f>data!BP69</f>
        <v>57</v>
      </c>
      <c r="F307" s="14">
        <f>data!BQ69</f>
        <v>0</v>
      </c>
      <c r="G307" s="14">
        <f>data!BR69</f>
        <v>4108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-33851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522280</v>
      </c>
      <c r="D309" s="14">
        <f>data!BO71</f>
        <v>0</v>
      </c>
      <c r="E309" s="14">
        <f>data!BP71</f>
        <v>99308</v>
      </c>
      <c r="F309" s="14">
        <f>data!BQ71</f>
        <v>0</v>
      </c>
      <c r="G309" s="14">
        <f>data!BR71</f>
        <v>142396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5922</v>
      </c>
      <c r="D316" s="85">
        <f>data!BO76</f>
        <v>0</v>
      </c>
      <c r="E316" s="85">
        <f>data!BP76</f>
        <v>101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Columbia Basin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2.9</v>
      </c>
      <c r="E330" s="26">
        <f>data!BW60</f>
        <v>0</v>
      </c>
      <c r="F330" s="26">
        <f>data!BX60</f>
        <v>0.7</v>
      </c>
      <c r="G330" s="26">
        <f>data!BY60</f>
        <v>2.5099999999999998</v>
      </c>
      <c r="H330" s="26">
        <f>data!BZ60</f>
        <v>0</v>
      </c>
      <c r="I330" s="26">
        <f>data!CA60</f>
        <v>1.01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144205</v>
      </c>
      <c r="E331" s="86">
        <f>data!BW61</f>
        <v>0</v>
      </c>
      <c r="F331" s="86">
        <f>data!BX61</f>
        <v>55671</v>
      </c>
      <c r="G331" s="86">
        <f>data!BY61</f>
        <v>195095</v>
      </c>
      <c r="H331" s="86">
        <f>data!BZ61</f>
        <v>0</v>
      </c>
      <c r="I331" s="86">
        <f>data!CA61</f>
        <v>92855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34158</v>
      </c>
      <c r="E332" s="86">
        <f>data!BW62</f>
        <v>0</v>
      </c>
      <c r="F332" s="86">
        <f>data!BX62</f>
        <v>13187</v>
      </c>
      <c r="G332" s="86">
        <f>data!BY62</f>
        <v>46212</v>
      </c>
      <c r="H332" s="86">
        <f>data!BZ62</f>
        <v>0</v>
      </c>
      <c r="I332" s="86">
        <f>data!CA62</f>
        <v>21995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1589</v>
      </c>
      <c r="E334" s="86">
        <f>data!BW64</f>
        <v>0</v>
      </c>
      <c r="F334" s="86">
        <f>data!BX64</f>
        <v>40</v>
      </c>
      <c r="G334" s="86">
        <f>data!BY64</f>
        <v>1687</v>
      </c>
      <c r="H334" s="86">
        <f>data!BZ64</f>
        <v>0</v>
      </c>
      <c r="I334" s="86">
        <f>data!CA64</f>
        <v>5486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36276</v>
      </c>
      <c r="E336" s="86">
        <f>data!BW66</f>
        <v>0</v>
      </c>
      <c r="F336" s="86">
        <f>data!BX66</f>
        <v>2831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27829</v>
      </c>
      <c r="E337" s="86">
        <f>data!BW67</f>
        <v>0</v>
      </c>
      <c r="F337" s="86">
        <f>data!BX67</f>
        <v>1699</v>
      </c>
      <c r="G337" s="86">
        <f>data!BY67</f>
        <v>5115</v>
      </c>
      <c r="H337" s="86">
        <f>data!BZ67</f>
        <v>0</v>
      </c>
      <c r="I337" s="86">
        <f>data!CA67</f>
        <v>4681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1212</v>
      </c>
      <c r="E339" s="86">
        <f>data!BW69</f>
        <v>2333</v>
      </c>
      <c r="F339" s="86">
        <f>data!BX69</f>
        <v>9490</v>
      </c>
      <c r="G339" s="86">
        <f>data!BY69</f>
        <v>482</v>
      </c>
      <c r="H339" s="86">
        <f>data!BZ69</f>
        <v>0</v>
      </c>
      <c r="I339" s="86">
        <f>data!CA69</f>
        <v>1629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-5036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240233</v>
      </c>
      <c r="E341" s="14">
        <f>data!BW71</f>
        <v>2333</v>
      </c>
      <c r="F341" s="14">
        <f>data!BX71</f>
        <v>82918</v>
      </c>
      <c r="G341" s="14">
        <f>data!BY71</f>
        <v>248591</v>
      </c>
      <c r="H341" s="14">
        <f>data!BZ71</f>
        <v>0</v>
      </c>
      <c r="I341" s="14">
        <f>data!CA71</f>
        <v>126646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1409</v>
      </c>
      <c r="E348" s="85">
        <f>data!BW76</f>
        <v>0</v>
      </c>
      <c r="F348" s="85">
        <f>data!BX76</f>
        <v>86</v>
      </c>
      <c r="G348" s="85">
        <f>data!BY76</f>
        <v>259</v>
      </c>
      <c r="H348" s="85">
        <f>data!BZ76</f>
        <v>0</v>
      </c>
      <c r="I348" s="85">
        <f>data!CA76</f>
        <v>237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178</v>
      </c>
      <c r="E350" s="85">
        <f>data!BW78</f>
        <v>0</v>
      </c>
      <c r="F350" s="85">
        <f>data!BX78</f>
        <v>23</v>
      </c>
      <c r="G350" s="85">
        <f>data!BY78</f>
        <v>558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Columbia Basin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138.63999999999999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7844693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1858184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4085067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1381513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212937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1321703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1534904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121338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705</v>
      </c>
      <c r="E371" s="86">
        <f>data!CD69</f>
        <v>906156</v>
      </c>
      <c r="F371" s="219"/>
      <c r="G371" s="219"/>
      <c r="H371" s="219"/>
      <c r="I371" s="86">
        <f>data!CE69</f>
        <v>1099873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360888</v>
      </c>
      <c r="F372" s="220"/>
      <c r="G372" s="220"/>
      <c r="H372" s="220"/>
      <c r="I372" s="14">
        <f>-data!CE70</f>
        <v>-1303635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705</v>
      </c>
      <c r="E373" s="86">
        <f>data!CD71</f>
        <v>545268</v>
      </c>
      <c r="F373" s="219"/>
      <c r="G373" s="219"/>
      <c r="H373" s="219"/>
      <c r="I373" s="14">
        <f>data!CE71</f>
        <v>18156577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-497377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6398531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18027863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24426394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77714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72463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17205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107038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62.570000000000007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Columbia Basin Hospital Year End Report</dc:title>
  <dc:subject>2018 Columbia Basin Hospital Year End Report</dc:subject>
  <dc:creator>Washington State Dept of Health - HSQA - Community Health Systems</dc:creator>
  <cp:keywords>hospital financial reports</cp:keywords>
  <cp:lastModifiedBy>Huyck, Randall  (DOH)</cp:lastModifiedBy>
  <cp:lastPrinted>2019-04-18T20:11:06Z</cp:lastPrinted>
  <dcterms:created xsi:type="dcterms:W3CDTF">1999-06-02T22:01:56Z</dcterms:created>
  <dcterms:modified xsi:type="dcterms:W3CDTF">2019-04-18T22:06:02Z</dcterms:modified>
</cp:coreProperties>
</file>