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A5B6BDE8-3089-47E7-999F-251A1E407193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0" i="1" l="1"/>
  <c r="BN76" i="1"/>
  <c r="AG76" i="1"/>
  <c r="C337" i="1"/>
  <c r="C305" i="1"/>
  <c r="C272" i="1"/>
  <c r="U74" i="1"/>
  <c r="E73" i="1"/>
  <c r="CD70" i="1"/>
  <c r="BR69" i="1"/>
  <c r="C184" i="1"/>
  <c r="C383" i="1"/>
  <c r="C381" i="1"/>
  <c r="C370" i="1" l="1"/>
  <c r="C365" i="1"/>
  <c r="C364" i="1" s="1"/>
  <c r="C312" i="1"/>
  <c r="C269" i="1"/>
  <c r="C268" i="1"/>
  <c r="C267" i="1"/>
  <c r="C253" i="1"/>
  <c r="C252" i="1"/>
  <c r="C228" i="1"/>
  <c r="C142" i="1"/>
  <c r="B142" i="1"/>
  <c r="C147" i="1"/>
  <c r="B147" i="1"/>
  <c r="B141" i="1" s="1"/>
  <c r="D142" i="1" l="1"/>
  <c r="D147" i="1"/>
  <c r="C141" i="1"/>
  <c r="D141" i="1" s="1"/>
  <c r="U69" i="1"/>
  <c r="AG63" i="1" l="1"/>
  <c r="Y74" i="1"/>
  <c r="Y73" i="1"/>
  <c r="K63" i="1"/>
  <c r="K61" i="1"/>
  <c r="AB64" i="1" l="1"/>
  <c r="U64" i="1"/>
  <c r="K64" i="1"/>
  <c r="AG74" i="1"/>
  <c r="AG73" i="1"/>
  <c r="AB66" i="1"/>
  <c r="U66" i="1"/>
  <c r="K66" i="1"/>
  <c r="U73" i="1"/>
  <c r="K69" i="1"/>
  <c r="K73" i="1"/>
  <c r="BK78" i="1" l="1"/>
  <c r="AG78" i="1"/>
  <c r="K78" i="1" l="1"/>
  <c r="AJ76" i="1" l="1"/>
  <c r="AE76" i="1"/>
  <c r="Y76" i="1"/>
  <c r="K76" i="1"/>
  <c r="E76" i="1"/>
  <c r="K77" i="1"/>
  <c r="K79" i="1"/>
  <c r="K59" i="1"/>
  <c r="K60" i="1"/>
  <c r="C213" i="1" l="1"/>
  <c r="C210" i="1"/>
  <c r="C176" i="1"/>
  <c r="C172" i="1"/>
  <c r="C171" i="1"/>
  <c r="D145" i="1" l="1"/>
  <c r="C145" i="1"/>
  <c r="B145" i="1"/>
  <c r="D144" i="1"/>
  <c r="C144" i="1"/>
  <c r="B144" i="1"/>
  <c r="B139" i="1"/>
  <c r="D138" i="1"/>
  <c r="B138" i="1"/>
  <c r="D112" i="1"/>
  <c r="C112" i="1"/>
  <c r="E550" i="10" l="1"/>
  <c r="F550" i="10"/>
  <c r="E546" i="10"/>
  <c r="E545" i="10"/>
  <c r="F545" i="10"/>
  <c r="E544" i="10"/>
  <c r="F544" i="10"/>
  <c r="H540" i="10"/>
  <c r="E540" i="10"/>
  <c r="F540" i="10"/>
  <c r="H539" i="10"/>
  <c r="F539" i="10"/>
  <c r="E539" i="10"/>
  <c r="F538" i="10"/>
  <c r="E538" i="10"/>
  <c r="H538" i="10"/>
  <c r="F537" i="10"/>
  <c r="E537" i="10"/>
  <c r="H537" i="10"/>
  <c r="H536" i="10"/>
  <c r="F536" i="10"/>
  <c r="E536" i="10"/>
  <c r="E535" i="10"/>
  <c r="F535" i="10"/>
  <c r="F534" i="10"/>
  <c r="E534" i="10"/>
  <c r="H534" i="10"/>
  <c r="E533" i="10"/>
  <c r="H533" i="10"/>
  <c r="H532" i="10"/>
  <c r="E532" i="10"/>
  <c r="F532" i="10"/>
  <c r="F531" i="10"/>
  <c r="E531" i="10"/>
  <c r="E530" i="10"/>
  <c r="F529" i="10"/>
  <c r="H528" i="10"/>
  <c r="F528" i="10"/>
  <c r="E528" i="10"/>
  <c r="E527" i="10"/>
  <c r="F526" i="10"/>
  <c r="E526" i="10"/>
  <c r="E525" i="10"/>
  <c r="F525" i="10"/>
  <c r="E524" i="10"/>
  <c r="H523" i="10"/>
  <c r="F523" i="10"/>
  <c r="E523" i="10"/>
  <c r="F522" i="10"/>
  <c r="E522" i="10"/>
  <c r="H522" i="10"/>
  <c r="F520" i="10"/>
  <c r="E520" i="10"/>
  <c r="H520" i="10"/>
  <c r="E519" i="10"/>
  <c r="F519" i="10"/>
  <c r="E518" i="10"/>
  <c r="F517" i="10"/>
  <c r="E517" i="10"/>
  <c r="F516" i="10"/>
  <c r="E516" i="10"/>
  <c r="H515" i="10"/>
  <c r="F515" i="10"/>
  <c r="E515" i="10"/>
  <c r="F514" i="10"/>
  <c r="E514" i="10"/>
  <c r="F513" i="10"/>
  <c r="H511" i="10"/>
  <c r="F511" i="10"/>
  <c r="E511" i="10"/>
  <c r="H510" i="10"/>
  <c r="F510" i="10"/>
  <c r="E510" i="10"/>
  <c r="E509" i="10"/>
  <c r="H509" i="10"/>
  <c r="E508" i="10"/>
  <c r="H507" i="10"/>
  <c r="E507" i="10"/>
  <c r="F507" i="10"/>
  <c r="H506" i="10"/>
  <c r="F506" i="10"/>
  <c r="E506" i="10"/>
  <c r="E505" i="10"/>
  <c r="E503" i="10"/>
  <c r="H503" i="10"/>
  <c r="E502" i="10"/>
  <c r="H501" i="10"/>
  <c r="F501" i="10"/>
  <c r="E501" i="10"/>
  <c r="H500" i="10"/>
  <c r="F500" i="10"/>
  <c r="E500" i="10"/>
  <c r="F499" i="10"/>
  <c r="E499" i="10"/>
  <c r="H499" i="10"/>
  <c r="F498" i="10"/>
  <c r="E498" i="10"/>
  <c r="E497" i="10"/>
  <c r="H497" i="10"/>
  <c r="E496" i="10"/>
  <c r="H496" i="10"/>
  <c r="G493" i="10"/>
  <c r="E493" i="10"/>
  <c r="C493" i="10"/>
  <c r="A493" i="10"/>
  <c r="B478" i="10"/>
  <c r="B474" i="10"/>
  <c r="B472" i="10"/>
  <c r="B465" i="10"/>
  <c r="B464" i="10"/>
  <c r="B463" i="10"/>
  <c r="C459" i="10"/>
  <c r="B459" i="10"/>
  <c r="B455" i="10"/>
  <c r="B454" i="10"/>
  <c r="B453" i="10"/>
  <c r="C447" i="10"/>
  <c r="C444" i="10"/>
  <c r="B439" i="10"/>
  <c r="C438" i="10"/>
  <c r="B438" i="10"/>
  <c r="B437" i="10"/>
  <c r="B436" i="10"/>
  <c r="B435" i="10"/>
  <c r="B434" i="10"/>
  <c r="B433" i="10"/>
  <c r="B432" i="10"/>
  <c r="B431" i="10"/>
  <c r="B430" i="10"/>
  <c r="B428" i="10"/>
  <c r="B427" i="10"/>
  <c r="D424" i="10"/>
  <c r="B424" i="10"/>
  <c r="B423" i="10"/>
  <c r="D421" i="10"/>
  <c r="B421" i="10"/>
  <c r="B420" i="10"/>
  <c r="D415" i="10"/>
  <c r="B415" i="10"/>
  <c r="B414" i="10"/>
  <c r="A412" i="10"/>
  <c r="C380" i="10"/>
  <c r="D390" i="10" s="1"/>
  <c r="B441" i="10" s="1"/>
  <c r="C379" i="10"/>
  <c r="C370" i="10"/>
  <c r="B458" i="10" s="1"/>
  <c r="C365" i="10"/>
  <c r="C446" i="10" s="1"/>
  <c r="C364" i="10"/>
  <c r="D361" i="10"/>
  <c r="C337" i="10"/>
  <c r="D329" i="10"/>
  <c r="D328" i="10"/>
  <c r="D330" i="10" s="1"/>
  <c r="D319" i="10"/>
  <c r="C311" i="10"/>
  <c r="D314" i="10" s="1"/>
  <c r="D290" i="10"/>
  <c r="D283" i="10"/>
  <c r="C274" i="10"/>
  <c r="B475" i="10" s="1"/>
  <c r="C272" i="10"/>
  <c r="B473" i="10" s="1"/>
  <c r="C270" i="10"/>
  <c r="B471" i="10" s="1"/>
  <c r="C269" i="10"/>
  <c r="B470" i="10" s="1"/>
  <c r="C268" i="10"/>
  <c r="B469" i="10" s="1"/>
  <c r="C267" i="10"/>
  <c r="D265" i="10"/>
  <c r="C253" i="10"/>
  <c r="C250" i="10"/>
  <c r="D240" i="10"/>
  <c r="B447" i="10" s="1"/>
  <c r="D236" i="10"/>
  <c r="B446" i="10" s="1"/>
  <c r="C228" i="10"/>
  <c r="D229" i="10" s="1"/>
  <c r="B445" i="10" s="1"/>
  <c r="D221" i="10"/>
  <c r="D217" i="10"/>
  <c r="B217" i="10"/>
  <c r="E216" i="10"/>
  <c r="E215" i="10"/>
  <c r="E214" i="10"/>
  <c r="C213" i="10"/>
  <c r="E213" i="10" s="1"/>
  <c r="E212" i="10"/>
  <c r="E211" i="10"/>
  <c r="E210" i="10"/>
  <c r="C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E197" i="10"/>
  <c r="C470" i="10" s="1"/>
  <c r="E196" i="10"/>
  <c r="C469" i="10" s="1"/>
  <c r="E195" i="10"/>
  <c r="C468" i="10" s="1"/>
  <c r="D190" i="10"/>
  <c r="D437" i="10" s="1"/>
  <c r="C184" i="10"/>
  <c r="D186" i="10" s="1"/>
  <c r="D436" i="10" s="1"/>
  <c r="D181" i="10"/>
  <c r="D435" i="10" s="1"/>
  <c r="C176" i="10"/>
  <c r="D177" i="10" s="1"/>
  <c r="D434" i="10" s="1"/>
  <c r="C172" i="10"/>
  <c r="D173" i="10" s="1"/>
  <c r="D428" i="10" s="1"/>
  <c r="E154" i="10"/>
  <c r="E153" i="10"/>
  <c r="E152" i="10"/>
  <c r="E151" i="10"/>
  <c r="C421" i="10" s="1"/>
  <c r="E150" i="10"/>
  <c r="C420" i="10" s="1"/>
  <c r="E148" i="10"/>
  <c r="D147" i="10"/>
  <c r="C147" i="10"/>
  <c r="E147" i="10" s="1"/>
  <c r="E146" i="10"/>
  <c r="D145" i="10"/>
  <c r="C145" i="10"/>
  <c r="B145" i="10"/>
  <c r="D144" i="10"/>
  <c r="C144" i="10"/>
  <c r="B144" i="10"/>
  <c r="C142" i="10"/>
  <c r="B142" i="10"/>
  <c r="D142" i="10" s="1"/>
  <c r="B141" i="10"/>
  <c r="E140" i="10"/>
  <c r="B139" i="10"/>
  <c r="E139" i="10" s="1"/>
  <c r="C415" i="10" s="1"/>
  <c r="E138" i="10"/>
  <c r="C414" i="10" s="1"/>
  <c r="B138" i="10"/>
  <c r="E127" i="10"/>
  <c r="D112" i="10"/>
  <c r="B418" i="10" s="1"/>
  <c r="C112" i="10"/>
  <c r="B417" i="10" s="1"/>
  <c r="AJ80" i="10"/>
  <c r="AG80" i="10"/>
  <c r="L80" i="10"/>
  <c r="CF79" i="10"/>
  <c r="AG79" i="10"/>
  <c r="K79" i="10"/>
  <c r="CE79" i="10" s="1"/>
  <c r="J612" i="10" s="1"/>
  <c r="BK78" i="10"/>
  <c r="AG78" i="10"/>
  <c r="K78" i="10"/>
  <c r="CE78" i="10" s="1"/>
  <c r="I612" i="10" s="1"/>
  <c r="K77" i="10"/>
  <c r="CE77" i="10" s="1"/>
  <c r="AV76" i="10"/>
  <c r="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I75" i="10"/>
  <c r="AH75" i="10"/>
  <c r="AF75" i="10"/>
  <c r="AE75" i="10"/>
  <c r="AD75" i="10"/>
  <c r="AC75" i="10"/>
  <c r="AB75" i="10"/>
  <c r="AA75" i="10"/>
  <c r="Z75" i="10"/>
  <c r="X75" i="10"/>
  <c r="W75" i="10"/>
  <c r="V75" i="10"/>
  <c r="T75" i="10"/>
  <c r="S75" i="10"/>
  <c r="R75" i="10"/>
  <c r="Q75" i="10"/>
  <c r="P75" i="10"/>
  <c r="O75" i="10"/>
  <c r="N75" i="10"/>
  <c r="M75" i="10"/>
  <c r="L75" i="10"/>
  <c r="J75" i="10"/>
  <c r="I75" i="10"/>
  <c r="H75" i="10"/>
  <c r="G75" i="10"/>
  <c r="F75" i="10"/>
  <c r="E75" i="10"/>
  <c r="D75" i="10"/>
  <c r="C75" i="10"/>
  <c r="AJ74" i="10"/>
  <c r="AJ75" i="10" s="1"/>
  <c r="AG74" i="10"/>
  <c r="Y74" i="10"/>
  <c r="U74" i="10"/>
  <c r="AG73" i="10"/>
  <c r="Y73" i="10"/>
  <c r="U73" i="10"/>
  <c r="K73" i="10"/>
  <c r="K75" i="10" s="1"/>
  <c r="CD70" i="10"/>
  <c r="C615" i="10" s="1"/>
  <c r="CC69" i="10"/>
  <c r="U69" i="10"/>
  <c r="K69" i="10"/>
  <c r="CE68" i="10"/>
  <c r="C434" i="10" s="1"/>
  <c r="AB66" i="10"/>
  <c r="U66" i="10"/>
  <c r="K66" i="10"/>
  <c r="CE65" i="10"/>
  <c r="C431" i="10" s="1"/>
  <c r="BH64" i="10"/>
  <c r="CE64" i="10" s="1"/>
  <c r="AB64" i="10"/>
  <c r="U64" i="10"/>
  <c r="K64" i="10"/>
  <c r="AG63" i="10"/>
  <c r="K63" i="10"/>
  <c r="AY61" i="10"/>
  <c r="K61" i="10"/>
  <c r="K60" i="10"/>
  <c r="K80" i="10" s="1"/>
  <c r="CE80" i="10" s="1"/>
  <c r="L612" i="10" s="1"/>
  <c r="AJ59" i="10"/>
  <c r="E529" i="10" s="1"/>
  <c r="K59" i="10"/>
  <c r="B53" i="10"/>
  <c r="CE51" i="10"/>
  <c r="B49" i="10"/>
  <c r="CE47" i="10"/>
  <c r="CD71" i="10" l="1"/>
  <c r="C575" i="10" s="1"/>
  <c r="D260" i="10"/>
  <c r="AG75" i="10"/>
  <c r="B440" i="10"/>
  <c r="CE74" i="10"/>
  <c r="C464" i="10" s="1"/>
  <c r="D339" i="10"/>
  <c r="C482" i="10" s="1"/>
  <c r="C141" i="10"/>
  <c r="CE76" i="10"/>
  <c r="D372" i="10"/>
  <c r="CE66" i="10"/>
  <c r="C432" i="10" s="1"/>
  <c r="CE70" i="10"/>
  <c r="CE63" i="10"/>
  <c r="C429" i="10" s="1"/>
  <c r="E144" i="10"/>
  <c r="C417" i="10" s="1"/>
  <c r="C473" i="10"/>
  <c r="C217" i="10"/>
  <c r="D433" i="10" s="1"/>
  <c r="U75" i="10"/>
  <c r="CE75" i="10" s="1"/>
  <c r="E145" i="10"/>
  <c r="C418" i="10" s="1"/>
  <c r="C439" i="10"/>
  <c r="Y75" i="10"/>
  <c r="D275" i="10"/>
  <c r="B468" i="10"/>
  <c r="D418" i="10"/>
  <c r="E504" i="10"/>
  <c r="F612" i="10"/>
  <c r="C430" i="10"/>
  <c r="C471" i="10"/>
  <c r="E204" i="10"/>
  <c r="C476" i="10" s="1"/>
  <c r="E217" i="10"/>
  <c r="C478" i="10" s="1"/>
  <c r="D141" i="10"/>
  <c r="E141" i="10" s="1"/>
  <c r="D463" i="10" s="1"/>
  <c r="D465" i="10" s="1"/>
  <c r="CE60" i="10"/>
  <c r="H612" i="10" s="1"/>
  <c r="CE69" i="10"/>
  <c r="C440" i="10" s="1"/>
  <c r="G612" i="10"/>
  <c r="CF77" i="10"/>
  <c r="D438" i="10"/>
  <c r="C458" i="10"/>
  <c r="E142" i="10"/>
  <c r="D464" i="10" s="1"/>
  <c r="H508" i="10"/>
  <c r="F508" i="10"/>
  <c r="CE73" i="10"/>
  <c r="C463" i="10" s="1"/>
  <c r="F527" i="10"/>
  <c r="H527" i="10"/>
  <c r="CE61" i="10"/>
  <c r="B444" i="10"/>
  <c r="D242" i="10"/>
  <c r="B448" i="10" s="1"/>
  <c r="F512" i="10"/>
  <c r="F521" i="10"/>
  <c r="F530" i="10"/>
  <c r="H502" i="10"/>
  <c r="F502" i="10"/>
  <c r="D367" i="10"/>
  <c r="C445" i="10"/>
  <c r="F497" i="10"/>
  <c r="F505" i="10"/>
  <c r="F509" i="10"/>
  <c r="F518" i="10"/>
  <c r="F524" i="10"/>
  <c r="B429" i="10"/>
  <c r="F496" i="10"/>
  <c r="F504" i="10"/>
  <c r="H519" i="10"/>
  <c r="H525" i="10"/>
  <c r="F503" i="10"/>
  <c r="F533" i="10"/>
  <c r="H535" i="10"/>
  <c r="F546" i="10"/>
  <c r="F493" i="1"/>
  <c r="D493" i="1"/>
  <c r="B493" i="1"/>
  <c r="B575" i="1"/>
  <c r="BR52" i="10" l="1"/>
  <c r="BR67" i="10" s="1"/>
  <c r="BM52" i="10"/>
  <c r="BM67" i="10" s="1"/>
  <c r="AD52" i="10"/>
  <c r="AD67" i="10" s="1"/>
  <c r="CF76" i="10"/>
  <c r="L52" i="10" s="1"/>
  <c r="L67" i="10" s="1"/>
  <c r="BC52" i="10"/>
  <c r="BC67" i="10" s="1"/>
  <c r="CC52" i="10"/>
  <c r="CC67" i="10" s="1"/>
  <c r="D612" i="10"/>
  <c r="CA52" i="10"/>
  <c r="CA67" i="10" s="1"/>
  <c r="BQ52" i="10"/>
  <c r="BQ67" i="10" s="1"/>
  <c r="AU52" i="10"/>
  <c r="AU67" i="10" s="1"/>
  <c r="E52" i="10"/>
  <c r="E67" i="10" s="1"/>
  <c r="AO52" i="10"/>
  <c r="AO67" i="10" s="1"/>
  <c r="J52" i="10"/>
  <c r="J67" i="10" s="1"/>
  <c r="Z52" i="10"/>
  <c r="Z67" i="10" s="1"/>
  <c r="T52" i="10"/>
  <c r="T67" i="10" s="1"/>
  <c r="BB52" i="10"/>
  <c r="BB67" i="10" s="1"/>
  <c r="BA52" i="10"/>
  <c r="BA67" i="10" s="1"/>
  <c r="P52" i="10"/>
  <c r="P67" i="10" s="1"/>
  <c r="BZ52" i="10"/>
  <c r="BZ67" i="10" s="1"/>
  <c r="AL52" i="10"/>
  <c r="AL67" i="10" s="1"/>
  <c r="AN52" i="10"/>
  <c r="AN67" i="10" s="1"/>
  <c r="AF52" i="10"/>
  <c r="AF67" i="10" s="1"/>
  <c r="BN52" i="10"/>
  <c r="BN67" i="10" s="1"/>
  <c r="O52" i="10"/>
  <c r="O67" i="10" s="1"/>
  <c r="BJ52" i="10"/>
  <c r="BJ67" i="10" s="1"/>
  <c r="BT52" i="10"/>
  <c r="BT67" i="10" s="1"/>
  <c r="AV52" i="10"/>
  <c r="AV67" i="10" s="1"/>
  <c r="BV52" i="10"/>
  <c r="BV67" i="10" s="1"/>
  <c r="AZ52" i="10"/>
  <c r="AZ67" i="10" s="1"/>
  <c r="AB52" i="10"/>
  <c r="AB67" i="10" s="1"/>
  <c r="AE52" i="10"/>
  <c r="AE67" i="10" s="1"/>
  <c r="BD52" i="10"/>
  <c r="BD67" i="10" s="1"/>
  <c r="Y52" i="10"/>
  <c r="Y67" i="10" s="1"/>
  <c r="Q52" i="10"/>
  <c r="Q67" i="10" s="1"/>
  <c r="G52" i="10"/>
  <c r="G67" i="10" s="1"/>
  <c r="BS52" i="10"/>
  <c r="BS67" i="10" s="1"/>
  <c r="AR52" i="10"/>
  <c r="AR67" i="10" s="1"/>
  <c r="X52" i="10"/>
  <c r="X67" i="10" s="1"/>
  <c r="BP52" i="10"/>
  <c r="BP67" i="10" s="1"/>
  <c r="I52" i="10"/>
  <c r="I67" i="10" s="1"/>
  <c r="R52" i="10"/>
  <c r="R67" i="10" s="1"/>
  <c r="AJ52" i="10"/>
  <c r="AJ67" i="10" s="1"/>
  <c r="C448" i="10"/>
  <c r="D368" i="10"/>
  <c r="D373" i="10" s="1"/>
  <c r="D391" i="10" s="1"/>
  <c r="D393" i="10" s="1"/>
  <c r="D396" i="10" s="1"/>
  <c r="C427" i="10"/>
  <c r="AU48" i="10"/>
  <c r="AU62" i="10" s="1"/>
  <c r="AU71" i="10" s="1"/>
  <c r="BX48" i="10"/>
  <c r="BX62" i="10" s="1"/>
  <c r="BP48" i="10"/>
  <c r="BP62" i="10" s="1"/>
  <c r="BP71" i="10" s="1"/>
  <c r="BH48" i="10"/>
  <c r="BH62" i="10" s="1"/>
  <c r="AZ48" i="10"/>
  <c r="AZ62" i="10" s="1"/>
  <c r="AR48" i="10"/>
  <c r="AR62" i="10" s="1"/>
  <c r="AR71" i="10" s="1"/>
  <c r="AJ48" i="10"/>
  <c r="AJ62" i="10" s="1"/>
  <c r="AB48" i="10"/>
  <c r="AB62" i="10" s="1"/>
  <c r="AB71" i="10" s="1"/>
  <c r="T48" i="10"/>
  <c r="T62" i="10" s="1"/>
  <c r="T71" i="10" s="1"/>
  <c r="L48" i="10"/>
  <c r="L62" i="10" s="1"/>
  <c r="L71" i="10" s="1"/>
  <c r="D48" i="10"/>
  <c r="D62" i="10" s="1"/>
  <c r="BW48" i="10"/>
  <c r="BW62" i="10" s="1"/>
  <c r="BO48" i="10"/>
  <c r="BO62" i="10" s="1"/>
  <c r="BG48" i="10"/>
  <c r="BG62" i="10" s="1"/>
  <c r="AQ48" i="10"/>
  <c r="AQ62" i="10" s="1"/>
  <c r="AI48" i="10"/>
  <c r="AI62" i="10" s="1"/>
  <c r="AA48" i="10"/>
  <c r="AA62" i="10" s="1"/>
  <c r="K48" i="10"/>
  <c r="K62" i="10" s="1"/>
  <c r="C48" i="10"/>
  <c r="BV48" i="10"/>
  <c r="BV62" i="10" s="1"/>
  <c r="BN48" i="10"/>
  <c r="BN62" i="10" s="1"/>
  <c r="BN71" i="10" s="1"/>
  <c r="AX48" i="10"/>
  <c r="AX62" i="10" s="1"/>
  <c r="AH48" i="10"/>
  <c r="AH62" i="10" s="1"/>
  <c r="J48" i="10"/>
  <c r="J62" i="10" s="1"/>
  <c r="AN48" i="10"/>
  <c r="AN62" i="10" s="1"/>
  <c r="AN71" i="10" s="1"/>
  <c r="H48" i="10"/>
  <c r="H62" i="10" s="1"/>
  <c r="CA48" i="10"/>
  <c r="CA62" i="10" s="1"/>
  <c r="CA71" i="10" s="1"/>
  <c r="AM48" i="10"/>
  <c r="AM62" i="10" s="1"/>
  <c r="AY48" i="10"/>
  <c r="AY62" i="10" s="1"/>
  <c r="S48" i="10"/>
  <c r="S62" i="10" s="1"/>
  <c r="BF48" i="10"/>
  <c r="BF62" i="10" s="1"/>
  <c r="AP48" i="10"/>
  <c r="AP62" i="10" s="1"/>
  <c r="Z48" i="10"/>
  <c r="Z62" i="10" s="1"/>
  <c r="BT48" i="10"/>
  <c r="BT62" i="10" s="1"/>
  <c r="BT71" i="10" s="1"/>
  <c r="AV48" i="10"/>
  <c r="AV62" i="10" s="1"/>
  <c r="P48" i="10"/>
  <c r="P62" i="10" s="1"/>
  <c r="P71" i="10" s="1"/>
  <c r="BC48" i="10"/>
  <c r="BC62" i="10" s="1"/>
  <c r="BC71" i="10" s="1"/>
  <c r="O48" i="10"/>
  <c r="O62" i="10" s="1"/>
  <c r="O71" i="10" s="1"/>
  <c r="R48" i="10"/>
  <c r="R62" i="10" s="1"/>
  <c r="R71" i="10" s="1"/>
  <c r="B511" i="1" s="1"/>
  <c r="BL48" i="10"/>
  <c r="BL62" i="10" s="1"/>
  <c r="AF48" i="10"/>
  <c r="AF62" i="10" s="1"/>
  <c r="AF71" i="10" s="1"/>
  <c r="BK48" i="10"/>
  <c r="BK62" i="10" s="1"/>
  <c r="W48" i="10"/>
  <c r="W62" i="10" s="1"/>
  <c r="CC48" i="10"/>
  <c r="CC62" i="10" s="1"/>
  <c r="CC71" i="10" s="1"/>
  <c r="BU48" i="10"/>
  <c r="BU62" i="10" s="1"/>
  <c r="BM48" i="10"/>
  <c r="BM62" i="10" s="1"/>
  <c r="BM71" i="10" s="1"/>
  <c r="BE48" i="10"/>
  <c r="BE62" i="10" s="1"/>
  <c r="AW48" i="10"/>
  <c r="AW62" i="10" s="1"/>
  <c r="AO48" i="10"/>
  <c r="AO62" i="10" s="1"/>
  <c r="AO71" i="10" s="1"/>
  <c r="AG48" i="10"/>
  <c r="AG62" i="10" s="1"/>
  <c r="Y48" i="10"/>
  <c r="Y62" i="10" s="1"/>
  <c r="Y71" i="10" s="1"/>
  <c r="Q48" i="10"/>
  <c r="Q62" i="10" s="1"/>
  <c r="Q71" i="10" s="1"/>
  <c r="I48" i="10"/>
  <c r="I62" i="10" s="1"/>
  <c r="I71" i="10" s="1"/>
  <c r="CB48" i="10"/>
  <c r="CB62" i="10" s="1"/>
  <c r="BD48" i="10"/>
  <c r="BD62" i="10" s="1"/>
  <c r="BD71" i="10" s="1"/>
  <c r="X48" i="10"/>
  <c r="X62" i="10" s="1"/>
  <c r="X71" i="10" s="1"/>
  <c r="BS48" i="10"/>
  <c r="BS62" i="10" s="1"/>
  <c r="AE48" i="10"/>
  <c r="AE62" i="10" s="1"/>
  <c r="AE71" i="10" s="1"/>
  <c r="G48" i="10"/>
  <c r="G62" i="10" s="1"/>
  <c r="BJ48" i="10"/>
  <c r="BJ62" i="10" s="1"/>
  <c r="BJ71" i="10" s="1"/>
  <c r="BB48" i="10"/>
  <c r="BB62" i="10" s="1"/>
  <c r="BB71" i="10" s="1"/>
  <c r="V48" i="10"/>
  <c r="V62" i="10" s="1"/>
  <c r="BA48" i="10"/>
  <c r="BA62" i="10" s="1"/>
  <c r="BA71" i="10" s="1"/>
  <c r="U48" i="10"/>
  <c r="U62" i="10" s="1"/>
  <c r="M48" i="10"/>
  <c r="M62" i="10" s="1"/>
  <c r="BI48" i="10"/>
  <c r="BI62" i="10" s="1"/>
  <c r="BZ48" i="10"/>
  <c r="BZ62" i="10" s="1"/>
  <c r="AT48" i="10"/>
  <c r="AT62" i="10" s="1"/>
  <c r="N48" i="10"/>
  <c r="N62" i="10" s="1"/>
  <c r="BY48" i="10"/>
  <c r="BY62" i="10" s="1"/>
  <c r="AS48" i="10"/>
  <c r="AS62" i="10" s="1"/>
  <c r="AS71" i="10" s="1"/>
  <c r="AC48" i="10"/>
  <c r="AC62" i="10" s="1"/>
  <c r="BR48" i="10"/>
  <c r="BR62" i="10" s="1"/>
  <c r="BR71" i="10" s="1"/>
  <c r="AL48" i="10"/>
  <c r="AL62" i="10" s="1"/>
  <c r="F48" i="10"/>
  <c r="F62" i="10" s="1"/>
  <c r="BQ48" i="10"/>
  <c r="BQ62" i="10" s="1"/>
  <c r="BQ71" i="10" s="1"/>
  <c r="AK48" i="10"/>
  <c r="AK62" i="10" s="1"/>
  <c r="E48" i="10"/>
  <c r="E62" i="10" s="1"/>
  <c r="E71" i="10" s="1"/>
  <c r="AD48" i="10"/>
  <c r="AD62" i="10" s="1"/>
  <c r="AD71" i="10" s="1"/>
  <c r="BH52" i="10"/>
  <c r="BH67" i="10" s="1"/>
  <c r="W52" i="10"/>
  <c r="W67" i="10" s="1"/>
  <c r="U52" i="10"/>
  <c r="U67" i="10" s="1"/>
  <c r="AS52" i="10"/>
  <c r="AS67" i="10" s="1"/>
  <c r="BL52" i="10"/>
  <c r="BL67" i="10" s="1"/>
  <c r="BI52" i="10"/>
  <c r="BI67" i="10" s="1"/>
  <c r="AG52" i="10"/>
  <c r="AG67" i="10" s="1"/>
  <c r="AH52" i="10"/>
  <c r="AH67" i="10" s="1"/>
  <c r="M52" i="10"/>
  <c r="M67" i="10" s="1"/>
  <c r="K612" i="10"/>
  <c r="C465" i="10"/>
  <c r="C52" i="10"/>
  <c r="BW52" i="10"/>
  <c r="BW67" i="10" s="1"/>
  <c r="AA52" i="10"/>
  <c r="AA67" i="10" s="1"/>
  <c r="BG52" i="10"/>
  <c r="BG67" i="10" s="1"/>
  <c r="S52" i="10"/>
  <c r="S67" i="10" s="1"/>
  <c r="D52" i="10"/>
  <c r="D67" i="10" s="1"/>
  <c r="AY52" i="10"/>
  <c r="AY67" i="10" s="1"/>
  <c r="K52" i="10"/>
  <c r="K67" i="10" s="1"/>
  <c r="AQ52" i="10"/>
  <c r="AQ67" i="10" s="1"/>
  <c r="AI52" i="10"/>
  <c r="AI67" i="10" s="1"/>
  <c r="AW52" i="10"/>
  <c r="AW67" i="10" s="1"/>
  <c r="AP52" i="10"/>
  <c r="AP67" i="10" s="1"/>
  <c r="BY52" i="10"/>
  <c r="BY67" i="10" s="1"/>
  <c r="AM52" i="10"/>
  <c r="AM67" i="10" s="1"/>
  <c r="N52" i="10"/>
  <c r="N67" i="10" s="1"/>
  <c r="V52" i="10"/>
  <c r="V67" i="10" s="1"/>
  <c r="CB52" i="10"/>
  <c r="CB67" i="10" s="1"/>
  <c r="F52" i="10"/>
  <c r="F67" i="10" s="1"/>
  <c r="BE52" i="10"/>
  <c r="BE67" i="10" s="1"/>
  <c r="AX52" i="10"/>
  <c r="AX67" i="10" s="1"/>
  <c r="D277" i="10"/>
  <c r="D292" i="10" s="1"/>
  <c r="D341" i="10" s="1"/>
  <c r="C481" i="10" s="1"/>
  <c r="B476" i="10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E63" i="1"/>
  <c r="I365" i="9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AF75" i="1"/>
  <c r="D154" i="9" s="1"/>
  <c r="AD75" i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B445" i="1" s="1"/>
  <c r="D236" i="1"/>
  <c r="D240" i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D433" i="1" s="1"/>
  <c r="E196" i="1"/>
  <c r="F8" i="6" s="1"/>
  <c r="E197" i="1"/>
  <c r="C470" i="1" s="1"/>
  <c r="E198" i="1"/>
  <c r="E199" i="1"/>
  <c r="E200" i="1"/>
  <c r="E201" i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181" i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C415" i="1" s="1"/>
  <c r="E127" i="1"/>
  <c r="CF79" i="1"/>
  <c r="B53" i="1"/>
  <c r="CE51" i="1"/>
  <c r="B49" i="1"/>
  <c r="AS48" i="1"/>
  <c r="AS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C472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P48" i="1"/>
  <c r="P62" i="1" s="1"/>
  <c r="L48" i="1"/>
  <c r="L62" i="1" s="1"/>
  <c r="E44" i="9" s="1"/>
  <c r="H48" i="1"/>
  <c r="H62" i="1" s="1"/>
  <c r="D48" i="1"/>
  <c r="D62" i="1" s="1"/>
  <c r="D368" i="1"/>
  <c r="C120" i="8" s="1"/>
  <c r="D330" i="1"/>
  <c r="C86" i="8" s="1"/>
  <c r="D436" i="1"/>
  <c r="C34" i="5"/>
  <c r="C16" i="8"/>
  <c r="C473" i="1"/>
  <c r="F12" i="6"/>
  <c r="C469" i="1"/>
  <c r="G122" i="9"/>
  <c r="I26" i="9"/>
  <c r="C218" i="9"/>
  <c r="D366" i="9"/>
  <c r="CE64" i="1"/>
  <c r="F612" i="1" s="1"/>
  <c r="D368" i="9"/>
  <c r="C276" i="9"/>
  <c r="CE70" i="1"/>
  <c r="C458" i="1" s="1"/>
  <c r="CE76" i="1"/>
  <c r="CE77" i="1"/>
  <c r="I381" i="9" s="1"/>
  <c r="I29" i="9"/>
  <c r="C95" i="9"/>
  <c r="CE79" i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BZ48" i="1"/>
  <c r="BZ62" i="1" s="1"/>
  <c r="G48" i="1"/>
  <c r="G62" i="1" s="1"/>
  <c r="G12" i="9" s="1"/>
  <c r="AC48" i="1"/>
  <c r="AC62" i="1" s="1"/>
  <c r="H108" i="9" s="1"/>
  <c r="AU48" i="1"/>
  <c r="AU62" i="1" s="1"/>
  <c r="BS48" i="1"/>
  <c r="BS6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BI48" i="1"/>
  <c r="BI62" i="1" s="1"/>
  <c r="E268" i="9" s="1"/>
  <c r="C427" i="1"/>
  <c r="CD71" i="1"/>
  <c r="E373" i="9" s="1"/>
  <c r="BQ48" i="1"/>
  <c r="BQ62" i="1" s="1"/>
  <c r="F300" i="9" s="1"/>
  <c r="BA48" i="1"/>
  <c r="BA62" i="1" s="1"/>
  <c r="D236" i="9" s="1"/>
  <c r="AK48" i="1"/>
  <c r="AK62" i="1" s="1"/>
  <c r="U48" i="1"/>
  <c r="U62" i="1" s="1"/>
  <c r="E48" i="1"/>
  <c r="E62" i="1" s="1"/>
  <c r="BU48" i="1"/>
  <c r="BU62" i="1" s="1"/>
  <c r="C332" i="9" s="1"/>
  <c r="BM48" i="1"/>
  <c r="BM62" i="1" s="1"/>
  <c r="BE48" i="1"/>
  <c r="BE62" i="1" s="1"/>
  <c r="AW48" i="1"/>
  <c r="AW62" i="1" s="1"/>
  <c r="AO48" i="1"/>
  <c r="AO62" i="1" s="1"/>
  <c r="AG48" i="1"/>
  <c r="AG62" i="1" s="1"/>
  <c r="Y48" i="1"/>
  <c r="Y62" i="1" s="1"/>
  <c r="Q48" i="1"/>
  <c r="Q62" i="1" s="1"/>
  <c r="I48" i="1"/>
  <c r="I62" i="1" s="1"/>
  <c r="CC48" i="1"/>
  <c r="CC62" i="1" s="1"/>
  <c r="BW48" i="1"/>
  <c r="BW62" i="1" s="1"/>
  <c r="BO48" i="1"/>
  <c r="BO62" i="1" s="1"/>
  <c r="D300" i="9" s="1"/>
  <c r="BG48" i="1"/>
  <c r="BG62" i="1" s="1"/>
  <c r="C268" i="9" s="1"/>
  <c r="AY48" i="1"/>
  <c r="AY62" i="1" s="1"/>
  <c r="AQ48" i="1"/>
  <c r="AQ62" i="1" s="1"/>
  <c r="AI48" i="1"/>
  <c r="AI62" i="1" s="1"/>
  <c r="AA48" i="1"/>
  <c r="AA62" i="1" s="1"/>
  <c r="F108" i="9" s="1"/>
  <c r="S48" i="1"/>
  <c r="S62" i="1" s="1"/>
  <c r="C615" i="1"/>
  <c r="B440" i="1"/>
  <c r="C48" i="1"/>
  <c r="C62" i="1" s="1"/>
  <c r="C12" i="9" s="1"/>
  <c r="CB48" i="1"/>
  <c r="CB62" i="1" s="1"/>
  <c r="C364" i="9" s="1"/>
  <c r="E372" i="9"/>
  <c r="I44" i="9"/>
  <c r="CA48" i="1"/>
  <c r="CA62" i="1" s="1"/>
  <c r="BY48" i="1"/>
  <c r="BY62" i="1" s="1"/>
  <c r="BX48" i="1"/>
  <c r="BX62" i="1" s="1"/>
  <c r="BV48" i="1"/>
  <c r="BV62" i="1" s="1"/>
  <c r="BT48" i="1"/>
  <c r="BT62" i="1" s="1"/>
  <c r="I300" i="9" s="1"/>
  <c r="BR48" i="1"/>
  <c r="BR62" i="1" s="1"/>
  <c r="BP48" i="1"/>
  <c r="BP62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BB48" i="1"/>
  <c r="BB62" i="1" s="1"/>
  <c r="AZ48" i="1"/>
  <c r="AZ62" i="1" s="1"/>
  <c r="C236" i="9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AL48" i="1"/>
  <c r="AL62" i="1" s="1"/>
  <c r="AJ48" i="1"/>
  <c r="AJ62" i="1" s="1"/>
  <c r="AH48" i="1"/>
  <c r="AH62" i="1" s="1"/>
  <c r="AF48" i="1"/>
  <c r="AF62" i="1" s="1"/>
  <c r="AD48" i="1"/>
  <c r="AD62" i="1" s="1"/>
  <c r="Z48" i="1"/>
  <c r="Z62" i="1" s="1"/>
  <c r="V48" i="1"/>
  <c r="V62" i="1" s="1"/>
  <c r="R48" i="1"/>
  <c r="R62" i="1" s="1"/>
  <c r="N48" i="1"/>
  <c r="N62" i="1" s="1"/>
  <c r="J48" i="1"/>
  <c r="J62" i="1" s="1"/>
  <c r="F48" i="1"/>
  <c r="F62" i="1" s="1"/>
  <c r="J612" i="1"/>
  <c r="C432" i="1" l="1"/>
  <c r="I122" i="9"/>
  <c r="AC71" i="10"/>
  <c r="C522" i="10" s="1"/>
  <c r="G522" i="10" s="1"/>
  <c r="J71" i="10"/>
  <c r="AC52" i="10"/>
  <c r="AC67" i="10" s="1"/>
  <c r="AZ71" i="10"/>
  <c r="C628" i="10" s="1"/>
  <c r="BF52" i="10"/>
  <c r="BF67" i="10" s="1"/>
  <c r="BF71" i="10" s="1"/>
  <c r="AK52" i="10"/>
  <c r="AK67" i="10" s="1"/>
  <c r="AK71" i="10" s="1"/>
  <c r="BK52" i="10"/>
  <c r="BK67" i="10" s="1"/>
  <c r="BK71" i="10" s="1"/>
  <c r="BX52" i="10"/>
  <c r="BX67" i="10" s="1"/>
  <c r="BX71" i="10" s="1"/>
  <c r="H12" i="9"/>
  <c r="AT71" i="10"/>
  <c r="H52" i="10"/>
  <c r="H67" i="10" s="1"/>
  <c r="H71" i="10" s="1"/>
  <c r="BU52" i="10"/>
  <c r="BU67" i="10" s="1"/>
  <c r="BU71" i="10" s="1"/>
  <c r="BO52" i="10"/>
  <c r="BO67" i="10" s="1"/>
  <c r="BO71" i="10" s="1"/>
  <c r="AT52" i="10"/>
  <c r="AT67" i="10" s="1"/>
  <c r="BZ71" i="10"/>
  <c r="G71" i="10"/>
  <c r="AV71" i="10"/>
  <c r="C713" i="10" s="1"/>
  <c r="AH71" i="10"/>
  <c r="F26" i="9"/>
  <c r="I90" i="9"/>
  <c r="F154" i="9"/>
  <c r="AE52" i="1"/>
  <c r="C429" i="1"/>
  <c r="C475" i="1"/>
  <c r="G28" i="4"/>
  <c r="BY71" i="10"/>
  <c r="V71" i="10"/>
  <c r="S71" i="10"/>
  <c r="AX71" i="10"/>
  <c r="BG71" i="10"/>
  <c r="C618" i="10" s="1"/>
  <c r="D186" i="9"/>
  <c r="BK48" i="1"/>
  <c r="BK62" i="1" s="1"/>
  <c r="K48" i="1"/>
  <c r="K62" i="1" s="1"/>
  <c r="N71" i="10"/>
  <c r="AY71" i="10"/>
  <c r="C417" i="1"/>
  <c r="G19" i="4"/>
  <c r="BV71" i="10"/>
  <c r="D32" i="6"/>
  <c r="AL71" i="10"/>
  <c r="K71" i="10"/>
  <c r="Z71" i="10"/>
  <c r="C691" i="10" s="1"/>
  <c r="I380" i="9"/>
  <c r="C575" i="1"/>
  <c r="C141" i="8"/>
  <c r="C33" i="8"/>
  <c r="B476" i="1"/>
  <c r="D13" i="7"/>
  <c r="D5" i="7"/>
  <c r="G10" i="4"/>
  <c r="D463" i="1"/>
  <c r="E19" i="4"/>
  <c r="C440" i="1"/>
  <c r="W48" i="1"/>
  <c r="W62" i="1" s="1"/>
  <c r="H300" i="9"/>
  <c r="D140" i="9"/>
  <c r="D44" i="9"/>
  <c r="D76" i="9"/>
  <c r="CE48" i="1"/>
  <c r="E108" i="9"/>
  <c r="H268" i="9"/>
  <c r="C76" i="9"/>
  <c r="C140" i="9"/>
  <c r="F76" i="9"/>
  <c r="C44" i="9"/>
  <c r="E172" i="9"/>
  <c r="G236" i="9"/>
  <c r="I366" i="9"/>
  <c r="C430" i="1"/>
  <c r="I372" i="9"/>
  <c r="C464" i="1"/>
  <c r="I612" i="1"/>
  <c r="D612" i="1"/>
  <c r="CF76" i="1"/>
  <c r="AI52" i="1" s="1"/>
  <c r="G612" i="1"/>
  <c r="CF77" i="1"/>
  <c r="I362" i="9"/>
  <c r="H140" i="9"/>
  <c r="H236" i="9"/>
  <c r="H332" i="9"/>
  <c r="I268" i="9"/>
  <c r="F332" i="9"/>
  <c r="D172" i="9"/>
  <c r="I332" i="9"/>
  <c r="I172" i="9"/>
  <c r="E300" i="9"/>
  <c r="G108" i="9"/>
  <c r="G76" i="9"/>
  <c r="E76" i="9"/>
  <c r="F204" i="9"/>
  <c r="F172" i="9"/>
  <c r="D268" i="9"/>
  <c r="E140" i="9"/>
  <c r="C204" i="9"/>
  <c r="I12" i="9"/>
  <c r="I140" i="9"/>
  <c r="F9" i="6"/>
  <c r="D428" i="1"/>
  <c r="C10" i="4"/>
  <c r="B10" i="4"/>
  <c r="H511" i="1"/>
  <c r="F511" i="1"/>
  <c r="C632" i="10"/>
  <c r="C547" i="10"/>
  <c r="C623" i="10"/>
  <c r="C562" i="10"/>
  <c r="C711" i="10"/>
  <c r="C539" i="10"/>
  <c r="G539" i="10" s="1"/>
  <c r="C617" i="10"/>
  <c r="C555" i="10"/>
  <c r="C682" i="10"/>
  <c r="C510" i="10"/>
  <c r="G510" i="10" s="1"/>
  <c r="C620" i="10"/>
  <c r="C574" i="10"/>
  <c r="C681" i="10"/>
  <c r="C509" i="10"/>
  <c r="G509" i="10" s="1"/>
  <c r="AM71" i="10"/>
  <c r="C642" i="10"/>
  <c r="C567" i="10"/>
  <c r="BW71" i="10"/>
  <c r="BH71" i="10"/>
  <c r="C679" i="10"/>
  <c r="C507" i="10"/>
  <c r="G507" i="10" s="1"/>
  <c r="F71" i="10"/>
  <c r="C646" i="10"/>
  <c r="C571" i="10"/>
  <c r="C672" i="10"/>
  <c r="C500" i="10"/>
  <c r="G500" i="10" s="1"/>
  <c r="C518" i="10"/>
  <c r="C690" i="10"/>
  <c r="W71" i="10"/>
  <c r="B516" i="1" s="1"/>
  <c r="C647" i="10"/>
  <c r="C572" i="10"/>
  <c r="CE48" i="10"/>
  <c r="C62" i="10"/>
  <c r="D71" i="10"/>
  <c r="B497" i="1" s="1"/>
  <c r="C621" i="10"/>
  <c r="C561" i="10"/>
  <c r="C703" i="10"/>
  <c r="C531" i="10"/>
  <c r="BI71" i="10"/>
  <c r="C524" i="10"/>
  <c r="C696" i="10"/>
  <c r="AG71" i="10"/>
  <c r="C640" i="10"/>
  <c r="C565" i="10"/>
  <c r="C676" i="10"/>
  <c r="C504" i="10"/>
  <c r="C677" i="10"/>
  <c r="C505" i="10"/>
  <c r="C544" i="10"/>
  <c r="C625" i="10"/>
  <c r="C626" i="10"/>
  <c r="C563" i="10"/>
  <c r="M71" i="10"/>
  <c r="BS71" i="10"/>
  <c r="B564" i="1" s="1"/>
  <c r="C534" i="10"/>
  <c r="G534" i="10" s="1"/>
  <c r="C706" i="10"/>
  <c r="C697" i="10"/>
  <c r="C525" i="10"/>
  <c r="G525" i="10" s="1"/>
  <c r="C705" i="10"/>
  <c r="C533" i="10"/>
  <c r="G533" i="10" s="1"/>
  <c r="AA71" i="10"/>
  <c r="B520" i="1" s="1"/>
  <c r="C685" i="10"/>
  <c r="C513" i="10"/>
  <c r="C712" i="10"/>
  <c r="C540" i="10"/>
  <c r="G540" i="10" s="1"/>
  <c r="C67" i="10"/>
  <c r="CE67" i="10" s="1"/>
  <c r="C433" i="10" s="1"/>
  <c r="CE52" i="10"/>
  <c r="C619" i="10"/>
  <c r="C559" i="10"/>
  <c r="U71" i="10"/>
  <c r="B514" i="1" s="1"/>
  <c r="C689" i="10"/>
  <c r="C517" i="10"/>
  <c r="AW71" i="10"/>
  <c r="B542" i="1" s="1"/>
  <c r="BL71" i="10"/>
  <c r="AP71" i="10"/>
  <c r="C675" i="10"/>
  <c r="C503" i="10"/>
  <c r="G503" i="10" s="1"/>
  <c r="AI71" i="10"/>
  <c r="B528" i="1" s="1"/>
  <c r="C693" i="10"/>
  <c r="C521" i="10"/>
  <c r="C633" i="10"/>
  <c r="C548" i="10"/>
  <c r="C695" i="10"/>
  <c r="C523" i="10"/>
  <c r="G523" i="10" s="1"/>
  <c r="C710" i="10"/>
  <c r="C538" i="10"/>
  <c r="G538" i="10" s="1"/>
  <c r="C630" i="10"/>
  <c r="C546" i="10"/>
  <c r="C549" i="10"/>
  <c r="C624" i="10"/>
  <c r="BE71" i="10"/>
  <c r="C683" i="10"/>
  <c r="C511" i="10"/>
  <c r="G511" i="10" s="1"/>
  <c r="C699" i="10"/>
  <c r="C527" i="10"/>
  <c r="G527" i="10" s="1"/>
  <c r="AQ71" i="10"/>
  <c r="B536" i="1" s="1"/>
  <c r="AJ71" i="10"/>
  <c r="B529" i="1" s="1"/>
  <c r="C674" i="10"/>
  <c r="C502" i="10"/>
  <c r="G502" i="10" s="1"/>
  <c r="C670" i="10"/>
  <c r="C498" i="10"/>
  <c r="C645" i="10"/>
  <c r="C570" i="10"/>
  <c r="C687" i="10"/>
  <c r="C515" i="10"/>
  <c r="G515" i="10" s="1"/>
  <c r="CB71" i="10"/>
  <c r="C638" i="10"/>
  <c r="C558" i="10"/>
  <c r="C680" i="10"/>
  <c r="C508" i="10"/>
  <c r="G508" i="10" s="1"/>
  <c r="C512" i="10"/>
  <c r="C684" i="10"/>
  <c r="C616" i="10"/>
  <c r="C543" i="10"/>
  <c r="C709" i="10"/>
  <c r="C537" i="10"/>
  <c r="G537" i="10" s="1"/>
  <c r="B525" i="1"/>
  <c r="B543" i="1"/>
  <c r="B549" i="1"/>
  <c r="B517" i="1"/>
  <c r="B509" i="1"/>
  <c r="B513" i="1"/>
  <c r="B537" i="1"/>
  <c r="B547" i="1"/>
  <c r="B534" i="1"/>
  <c r="B538" i="1"/>
  <c r="B524" i="1"/>
  <c r="B558" i="1"/>
  <c r="B506" i="1"/>
  <c r="B531" i="1"/>
  <c r="B570" i="1"/>
  <c r="B562" i="1"/>
  <c r="B546" i="1"/>
  <c r="B518" i="1"/>
  <c r="B561" i="1"/>
  <c r="B555" i="1"/>
  <c r="B540" i="1"/>
  <c r="B548" i="1"/>
  <c r="B571" i="1"/>
  <c r="B568" i="1"/>
  <c r="B553" i="1"/>
  <c r="B559" i="1"/>
  <c r="B507" i="1"/>
  <c r="B563" i="1"/>
  <c r="B498" i="1"/>
  <c r="B567" i="1"/>
  <c r="B574" i="1"/>
  <c r="B499" i="1"/>
  <c r="B527" i="1"/>
  <c r="B505" i="1"/>
  <c r="B572" i="1"/>
  <c r="B503" i="1"/>
  <c r="B544" i="1"/>
  <c r="B519" i="1"/>
  <c r="B504" i="1"/>
  <c r="B533" i="1"/>
  <c r="B521" i="1"/>
  <c r="B510" i="1"/>
  <c r="B508" i="1"/>
  <c r="B539" i="1"/>
  <c r="B512" i="1"/>
  <c r="B515" i="1"/>
  <c r="B526" i="1"/>
  <c r="B502" i="1"/>
  <c r="B565" i="1"/>
  <c r="B500" i="1"/>
  <c r="B523" i="1"/>
  <c r="F140" i="9"/>
  <c r="D12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G300" i="9"/>
  <c r="F44" i="9"/>
  <c r="H44" i="9"/>
  <c r="B446" i="1"/>
  <c r="D242" i="1"/>
  <c r="F12" i="9"/>
  <c r="G140" i="9"/>
  <c r="E332" i="9"/>
  <c r="E12" i="9"/>
  <c r="C418" i="1"/>
  <c r="D438" i="1"/>
  <c r="C108" i="9"/>
  <c r="F14" i="6"/>
  <c r="C471" i="1"/>
  <c r="F10" i="6"/>
  <c r="D339" i="1"/>
  <c r="D26" i="9"/>
  <c r="CE75" i="1"/>
  <c r="G204" i="9"/>
  <c r="D108" i="9"/>
  <c r="E204" i="9"/>
  <c r="F7" i="6"/>
  <c r="E204" i="1"/>
  <c r="C468" i="1"/>
  <c r="I383" i="9"/>
  <c r="D22" i="7"/>
  <c r="C40" i="5"/>
  <c r="I76" i="9"/>
  <c r="C420" i="1"/>
  <c r="B28" i="4"/>
  <c r="F186" i="9"/>
  <c r="I204" i="9"/>
  <c r="H172" i="9"/>
  <c r="I376" i="9"/>
  <c r="C463" i="1"/>
  <c r="D58" i="9"/>
  <c r="G26" i="9"/>
  <c r="E217" i="1"/>
  <c r="I384" i="9"/>
  <c r="L612" i="1"/>
  <c r="F218" i="9"/>
  <c r="D90" i="9"/>
  <c r="D364" i="9"/>
  <c r="D464" i="1"/>
  <c r="H154" i="9"/>
  <c r="I367" i="9"/>
  <c r="D373" i="1"/>
  <c r="D434" i="1"/>
  <c r="D292" i="1"/>
  <c r="C58" i="9"/>
  <c r="AO52" i="1" l="1"/>
  <c r="AO67" i="1" s="1"/>
  <c r="AO71" i="1" s="1"/>
  <c r="F181" i="9" s="1"/>
  <c r="C627" i="10"/>
  <c r="C560" i="10"/>
  <c r="B560" i="1"/>
  <c r="C569" i="10"/>
  <c r="C644" i="10"/>
  <c r="B569" i="1"/>
  <c r="C641" i="10"/>
  <c r="C566" i="10"/>
  <c r="B566" i="1"/>
  <c r="C635" i="10"/>
  <c r="B556" i="1"/>
  <c r="C556" i="10"/>
  <c r="C501" i="10"/>
  <c r="G501" i="10" s="1"/>
  <c r="C673" i="10"/>
  <c r="B501" i="1"/>
  <c r="H501" i="1" s="1"/>
  <c r="C702" i="10"/>
  <c r="C530" i="10"/>
  <c r="B530" i="1"/>
  <c r="B551" i="1"/>
  <c r="C629" i="10"/>
  <c r="C551" i="10"/>
  <c r="B552" i="1"/>
  <c r="AG52" i="1"/>
  <c r="BV52" i="1"/>
  <c r="BV67" i="1" s="1"/>
  <c r="B522" i="1"/>
  <c r="BC52" i="1"/>
  <c r="BC67" i="1" s="1"/>
  <c r="BC71" i="1" s="1"/>
  <c r="C633" i="1" s="1"/>
  <c r="R52" i="1"/>
  <c r="R67" i="1" s="1"/>
  <c r="R71" i="1" s="1"/>
  <c r="C552" i="10"/>
  <c r="C519" i="10"/>
  <c r="G519" i="10" s="1"/>
  <c r="BI52" i="1"/>
  <c r="BI67" i="1" s="1"/>
  <c r="BI71" i="1" s="1"/>
  <c r="E277" i="9" s="1"/>
  <c r="B541" i="1"/>
  <c r="C541" i="10"/>
  <c r="E52" i="1"/>
  <c r="BL52" i="1"/>
  <c r="BL67" i="1" s="1"/>
  <c r="BL71" i="1" s="1"/>
  <c r="C557" i="1" s="1"/>
  <c r="B545" i="1"/>
  <c r="C694" i="10"/>
  <c r="C545" i="10"/>
  <c r="AZ52" i="1"/>
  <c r="AA52" i="1"/>
  <c r="AA67" i="1" s="1"/>
  <c r="AM52" i="1"/>
  <c r="AM67" i="1" s="1"/>
  <c r="AR52" i="1"/>
  <c r="J52" i="1"/>
  <c r="J67" i="1" s="1"/>
  <c r="J71" i="1" s="1"/>
  <c r="C53" i="9" s="1"/>
  <c r="AD52" i="1"/>
  <c r="AD67" i="1" s="1"/>
  <c r="AD71" i="1" s="1"/>
  <c r="C523" i="1" s="1"/>
  <c r="G523" i="1" s="1"/>
  <c r="H52" i="1"/>
  <c r="V52" i="1"/>
  <c r="BS52" i="1"/>
  <c r="BS67" i="1" s="1"/>
  <c r="BS71" i="1" s="1"/>
  <c r="BQ52" i="1"/>
  <c r="BQ67" i="1" s="1"/>
  <c r="BQ71" i="1" s="1"/>
  <c r="F309" i="9" s="1"/>
  <c r="G268" i="9"/>
  <c r="AW52" i="1"/>
  <c r="AW67" i="1" s="1"/>
  <c r="AF52" i="1"/>
  <c r="AF67" i="1" s="1"/>
  <c r="AF71" i="1" s="1"/>
  <c r="D149" i="9" s="1"/>
  <c r="AL52" i="1"/>
  <c r="BY52" i="1"/>
  <c r="BY67" i="1" s="1"/>
  <c r="M52" i="1"/>
  <c r="M67" i="1" s="1"/>
  <c r="BH52" i="1"/>
  <c r="BH67" i="1" s="1"/>
  <c r="BH71" i="1" s="1"/>
  <c r="C553" i="1" s="1"/>
  <c r="AN52" i="1"/>
  <c r="AN67" i="1" s="1"/>
  <c r="AN71" i="1" s="1"/>
  <c r="C705" i="1" s="1"/>
  <c r="AQ52" i="1"/>
  <c r="AQ67" i="1" s="1"/>
  <c r="AQ71" i="1" s="1"/>
  <c r="H181" i="9" s="1"/>
  <c r="BK52" i="1"/>
  <c r="Z52" i="1"/>
  <c r="Z67" i="1" s="1"/>
  <c r="Z71" i="1" s="1"/>
  <c r="E117" i="9" s="1"/>
  <c r="Y52" i="1"/>
  <c r="BZ52" i="1"/>
  <c r="N52" i="1"/>
  <c r="N67" i="1" s="1"/>
  <c r="N71" i="1" s="1"/>
  <c r="BA52" i="1"/>
  <c r="BA67" i="1" s="1"/>
  <c r="BA71" i="1" s="1"/>
  <c r="C546" i="1" s="1"/>
  <c r="G546" i="1" s="1"/>
  <c r="X52" i="1"/>
  <c r="X67" i="1" s="1"/>
  <c r="X71" i="1" s="1"/>
  <c r="AJ52" i="1"/>
  <c r="W52" i="1"/>
  <c r="W67" i="1" s="1"/>
  <c r="W71" i="1" s="1"/>
  <c r="S52" i="1"/>
  <c r="S67" i="1" s="1"/>
  <c r="S71" i="1" s="1"/>
  <c r="C512" i="1" s="1"/>
  <c r="G512" i="1" s="1"/>
  <c r="BN52" i="1"/>
  <c r="BN67" i="1" s="1"/>
  <c r="BN71" i="1" s="1"/>
  <c r="CC52" i="1"/>
  <c r="CC67" i="1" s="1"/>
  <c r="CC71" i="1" s="1"/>
  <c r="D373" i="9" s="1"/>
  <c r="Q52" i="1"/>
  <c r="Q67" i="1" s="1"/>
  <c r="Q71" i="1" s="1"/>
  <c r="C85" i="9" s="1"/>
  <c r="BR52" i="1"/>
  <c r="BR67" i="1" s="1"/>
  <c r="F52" i="1"/>
  <c r="F67" i="1" s="1"/>
  <c r="AS52" i="1"/>
  <c r="AS67" i="1" s="1"/>
  <c r="AS71" i="1" s="1"/>
  <c r="C538" i="1" s="1"/>
  <c r="G538" i="1" s="1"/>
  <c r="CA52" i="1"/>
  <c r="CA67" i="1" s="1"/>
  <c r="CA71" i="1" s="1"/>
  <c r="C572" i="1" s="1"/>
  <c r="AB52" i="1"/>
  <c r="AB67" i="1" s="1"/>
  <c r="AB71" i="1" s="1"/>
  <c r="G117" i="9" s="1"/>
  <c r="BW52" i="1"/>
  <c r="K52" i="1"/>
  <c r="BF52" i="1"/>
  <c r="BF67" i="1" s="1"/>
  <c r="CE62" i="1"/>
  <c r="C428" i="1" s="1"/>
  <c r="BU52" i="1"/>
  <c r="I52" i="1"/>
  <c r="I67" i="1" s="1"/>
  <c r="I71" i="1" s="1"/>
  <c r="BJ52" i="1"/>
  <c r="BJ67" i="1" s="1"/>
  <c r="BJ71" i="1" s="1"/>
  <c r="C555" i="1" s="1"/>
  <c r="BT52" i="1"/>
  <c r="BT67" i="1" s="1"/>
  <c r="BT71" i="1" s="1"/>
  <c r="C640" i="1" s="1"/>
  <c r="AK52" i="1"/>
  <c r="O52" i="1"/>
  <c r="O67" i="1" s="1"/>
  <c r="O71" i="1" s="1"/>
  <c r="H53" i="9" s="1"/>
  <c r="T52" i="1"/>
  <c r="T67" i="1" s="1"/>
  <c r="BO52" i="1"/>
  <c r="BO67" i="1" s="1"/>
  <c r="BO71" i="1" s="1"/>
  <c r="C627" i="1" s="1"/>
  <c r="C52" i="1"/>
  <c r="AX52" i="1"/>
  <c r="BM52" i="1"/>
  <c r="BM67" i="1" s="1"/>
  <c r="CB52" i="1"/>
  <c r="CB67" i="1" s="1"/>
  <c r="BB52" i="1"/>
  <c r="AU52" i="1"/>
  <c r="AU67" i="1" s="1"/>
  <c r="AU71" i="1" s="1"/>
  <c r="AC52" i="1"/>
  <c r="AC67" i="1" s="1"/>
  <c r="AC71" i="1" s="1"/>
  <c r="C694" i="1" s="1"/>
  <c r="BX52" i="1"/>
  <c r="BX67" i="1" s="1"/>
  <c r="BX71" i="1" s="1"/>
  <c r="C644" i="1" s="1"/>
  <c r="L52" i="1"/>
  <c r="L67" i="1" s="1"/>
  <c r="L71" i="1" s="1"/>
  <c r="C677" i="1" s="1"/>
  <c r="BG52" i="1"/>
  <c r="BG67" i="1" s="1"/>
  <c r="BG71" i="1" s="1"/>
  <c r="C618" i="1" s="1"/>
  <c r="BD52" i="1"/>
  <c r="BD67" i="1" s="1"/>
  <c r="AP52" i="1"/>
  <c r="AP67" i="1" s="1"/>
  <c r="AP71" i="1" s="1"/>
  <c r="BE52" i="1"/>
  <c r="BE67" i="1" s="1"/>
  <c r="AV52" i="1"/>
  <c r="AV67" i="1" s="1"/>
  <c r="AV71" i="1" s="1"/>
  <c r="C713" i="1" s="1"/>
  <c r="AT52" i="1"/>
  <c r="AT67" i="1" s="1"/>
  <c r="AT71" i="1" s="1"/>
  <c r="D213" i="9" s="1"/>
  <c r="G52" i="1"/>
  <c r="G67" i="1" s="1"/>
  <c r="U52" i="1"/>
  <c r="U67" i="1" s="1"/>
  <c r="U71" i="1" s="1"/>
  <c r="G85" i="9" s="1"/>
  <c r="BP52" i="1"/>
  <c r="BP67" i="1" s="1"/>
  <c r="BP71" i="1" s="1"/>
  <c r="C621" i="1" s="1"/>
  <c r="D52" i="1"/>
  <c r="D67" i="1" s="1"/>
  <c r="AY52" i="1"/>
  <c r="AY67" i="1" s="1"/>
  <c r="P52" i="1"/>
  <c r="AH52" i="1"/>
  <c r="AH67" i="1" s="1"/>
  <c r="AH71" i="1" s="1"/>
  <c r="C527" i="1" s="1"/>
  <c r="G527" i="1" s="1"/>
  <c r="D465" i="1"/>
  <c r="I364" i="9"/>
  <c r="AK67" i="1"/>
  <c r="I145" i="9" s="1"/>
  <c r="AX67" i="1"/>
  <c r="K67" i="1"/>
  <c r="K71" i="1" s="1"/>
  <c r="D53" i="9" s="1"/>
  <c r="AE67" i="1"/>
  <c r="AE71" i="1" s="1"/>
  <c r="C524" i="1" s="1"/>
  <c r="G524" i="1" s="1"/>
  <c r="BZ67" i="1"/>
  <c r="BZ71" i="1" s="1"/>
  <c r="C646" i="1" s="1"/>
  <c r="AL67" i="1"/>
  <c r="AL71" i="1" s="1"/>
  <c r="C703" i="1" s="1"/>
  <c r="BK67" i="1"/>
  <c r="BK71" i="1" s="1"/>
  <c r="BU67" i="1"/>
  <c r="BU71" i="1" s="1"/>
  <c r="C641" i="1" s="1"/>
  <c r="H67" i="1"/>
  <c r="H71" i="1" s="1"/>
  <c r="H21" i="9" s="1"/>
  <c r="AI67" i="1"/>
  <c r="AI71" i="1" s="1"/>
  <c r="G149" i="9" s="1"/>
  <c r="P67" i="1"/>
  <c r="P71" i="1" s="1"/>
  <c r="BB67" i="1"/>
  <c r="BB71" i="1" s="1"/>
  <c r="C547" i="1" s="1"/>
  <c r="AZ67" i="1"/>
  <c r="AZ71" i="1" s="1"/>
  <c r="C545" i="1" s="1"/>
  <c r="G545" i="1" s="1"/>
  <c r="AR67" i="1"/>
  <c r="AR71" i="1" s="1"/>
  <c r="C537" i="1" s="1"/>
  <c r="G537" i="1" s="1"/>
  <c r="AJ67" i="1"/>
  <c r="AJ71" i="1" s="1"/>
  <c r="H149" i="9" s="1"/>
  <c r="V67" i="1"/>
  <c r="V71" i="1" s="1"/>
  <c r="C687" i="1" s="1"/>
  <c r="AG67" i="1"/>
  <c r="AG71" i="1" s="1"/>
  <c r="C698" i="1" s="1"/>
  <c r="Y67" i="1"/>
  <c r="Y71" i="1" s="1"/>
  <c r="E67" i="1"/>
  <c r="E71" i="1" s="1"/>
  <c r="E21" i="9" s="1"/>
  <c r="BW67" i="1"/>
  <c r="BW71" i="1" s="1"/>
  <c r="C568" i="1" s="1"/>
  <c r="G513" i="10"/>
  <c r="H513" i="10"/>
  <c r="G544" i="10"/>
  <c r="H544" i="10" s="1"/>
  <c r="C634" i="10"/>
  <c r="C554" i="10"/>
  <c r="C688" i="10"/>
  <c r="C516" i="10"/>
  <c r="G545" i="10"/>
  <c r="H545" i="10"/>
  <c r="C532" i="10"/>
  <c r="G532" i="10" s="1"/>
  <c r="C704" i="10"/>
  <c r="B532" i="1"/>
  <c r="H532" i="1" s="1"/>
  <c r="G531" i="10"/>
  <c r="H531" i="10" s="1"/>
  <c r="C669" i="10"/>
  <c r="C497" i="10"/>
  <c r="G497" i="10" s="1"/>
  <c r="G512" i="10"/>
  <c r="H512" i="10"/>
  <c r="C701" i="10"/>
  <c r="C529" i="10"/>
  <c r="C550" i="10"/>
  <c r="C614" i="10"/>
  <c r="C707" i="10"/>
  <c r="C535" i="10"/>
  <c r="G535" i="10" s="1"/>
  <c r="C692" i="10"/>
  <c r="C520" i="10"/>
  <c r="G520" i="10" s="1"/>
  <c r="C71" i="10"/>
  <c r="CE62" i="10"/>
  <c r="G518" i="10"/>
  <c r="H518" i="10" s="1"/>
  <c r="C708" i="10"/>
  <c r="C536" i="10"/>
  <c r="G536" i="10" s="1"/>
  <c r="C637" i="10"/>
  <c r="C557" i="10"/>
  <c r="C639" i="10"/>
  <c r="C564" i="10"/>
  <c r="G498" i="10"/>
  <c r="H498" i="10" s="1"/>
  <c r="B554" i="1"/>
  <c r="G546" i="10"/>
  <c r="H546" i="10"/>
  <c r="G521" i="10"/>
  <c r="H521" i="10"/>
  <c r="G517" i="10"/>
  <c r="H517" i="10" s="1"/>
  <c r="G504" i="10"/>
  <c r="H504" i="10" s="1"/>
  <c r="C698" i="10"/>
  <c r="C526" i="10"/>
  <c r="G530" i="10"/>
  <c r="H530" i="10" s="1"/>
  <c r="C643" i="10"/>
  <c r="C568" i="10"/>
  <c r="G505" i="10"/>
  <c r="H505" i="10" s="1"/>
  <c r="C631" i="10"/>
  <c r="C542" i="10"/>
  <c r="C678" i="10"/>
  <c r="C506" i="10"/>
  <c r="G506" i="10" s="1"/>
  <c r="C636" i="10"/>
  <c r="C553" i="10"/>
  <c r="B550" i="1"/>
  <c r="F550" i="1" s="1"/>
  <c r="B535" i="1"/>
  <c r="B557" i="1"/>
  <c r="C622" i="10"/>
  <c r="C573" i="10"/>
  <c r="B573" i="1"/>
  <c r="C700" i="10"/>
  <c r="C528" i="10"/>
  <c r="G528" i="10" s="1"/>
  <c r="C686" i="10"/>
  <c r="C514" i="10"/>
  <c r="G524" i="10"/>
  <c r="H524" i="10" s="1"/>
  <c r="C671" i="10"/>
  <c r="C499" i="10"/>
  <c r="G499" i="10" s="1"/>
  <c r="F517" i="1"/>
  <c r="F499" i="1"/>
  <c r="H499" i="1"/>
  <c r="F505" i="1"/>
  <c r="H497" i="1"/>
  <c r="F497" i="1"/>
  <c r="F515" i="1"/>
  <c r="H515" i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I378" i="9"/>
  <c r="K612" i="1"/>
  <c r="C465" i="1"/>
  <c r="C619" i="1"/>
  <c r="C559" i="1"/>
  <c r="C309" i="9"/>
  <c r="C126" i="8"/>
  <c r="D391" i="1"/>
  <c r="F32" i="6"/>
  <c r="C478" i="1"/>
  <c r="C305" i="9"/>
  <c r="C102" i="8"/>
  <c r="C482" i="1"/>
  <c r="F498" i="1"/>
  <c r="C476" i="1"/>
  <c r="F16" i="6"/>
  <c r="F516" i="1"/>
  <c r="F540" i="1"/>
  <c r="H540" i="1"/>
  <c r="F532" i="1"/>
  <c r="F524" i="1"/>
  <c r="F501" i="1" l="1"/>
  <c r="F305" i="9"/>
  <c r="C535" i="1"/>
  <c r="G535" i="1" s="1"/>
  <c r="C707" i="1"/>
  <c r="G181" i="9"/>
  <c r="C516" i="1"/>
  <c r="G516" i="1" s="1"/>
  <c r="C688" i="1"/>
  <c r="I85" i="9"/>
  <c r="G71" i="1"/>
  <c r="C672" i="1" s="1"/>
  <c r="G17" i="9"/>
  <c r="C623" i="1"/>
  <c r="C632" i="1"/>
  <c r="C562" i="1"/>
  <c r="G53" i="9"/>
  <c r="C507" i="1"/>
  <c r="G507" i="1" s="1"/>
  <c r="C679" i="1"/>
  <c r="BD71" i="1"/>
  <c r="G241" i="9"/>
  <c r="H341" i="9"/>
  <c r="C571" i="1"/>
  <c r="C541" i="1"/>
  <c r="G21" i="9"/>
  <c r="H524" i="1"/>
  <c r="C500" i="1"/>
  <c r="G500" i="1" s="1"/>
  <c r="C670" i="1"/>
  <c r="C693" i="1"/>
  <c r="F149" i="9"/>
  <c r="C699" i="1"/>
  <c r="E245" i="9"/>
  <c r="I117" i="9"/>
  <c r="C522" i="1"/>
  <c r="G522" i="1" s="1"/>
  <c r="C647" i="1"/>
  <c r="C552" i="1"/>
  <c r="C686" i="1"/>
  <c r="H117" i="9"/>
  <c r="F341" i="9"/>
  <c r="C708" i="1"/>
  <c r="D277" i="9"/>
  <c r="C501" i="1"/>
  <c r="G501" i="1" s="1"/>
  <c r="C643" i="1"/>
  <c r="C515" i="1"/>
  <c r="G515" i="1" s="1"/>
  <c r="C498" i="1"/>
  <c r="G498" i="1" s="1"/>
  <c r="C521" i="1"/>
  <c r="G521" i="1" s="1"/>
  <c r="C514" i="1"/>
  <c r="G514" i="1" s="1"/>
  <c r="C711" i="1"/>
  <c r="C636" i="1"/>
  <c r="C569" i="1"/>
  <c r="E341" i="9"/>
  <c r="H85" i="9"/>
  <c r="C536" i="1"/>
  <c r="G536" i="1" s="1"/>
  <c r="F277" i="9"/>
  <c r="D309" i="9"/>
  <c r="C630" i="1"/>
  <c r="C617" i="1"/>
  <c r="D245" i="9"/>
  <c r="C700" i="1"/>
  <c r="I341" i="9"/>
  <c r="C539" i="1"/>
  <c r="G539" i="1" s="1"/>
  <c r="C673" i="1"/>
  <c r="C684" i="1"/>
  <c r="F213" i="9"/>
  <c r="I181" i="9"/>
  <c r="E85" i="9"/>
  <c r="C709" i="1"/>
  <c r="C695" i="1"/>
  <c r="C680" i="1"/>
  <c r="C213" i="9"/>
  <c r="C710" i="1"/>
  <c r="C620" i="1"/>
  <c r="C508" i="1"/>
  <c r="G508" i="1" s="1"/>
  <c r="C574" i="1"/>
  <c r="C697" i="1"/>
  <c r="C676" i="1"/>
  <c r="C560" i="1"/>
  <c r="C503" i="1"/>
  <c r="G503" i="1" s="1"/>
  <c r="C533" i="1"/>
  <c r="G533" i="1" s="1"/>
  <c r="C529" i="1"/>
  <c r="G529" i="1" s="1"/>
  <c r="C701" i="1"/>
  <c r="C528" i="1"/>
  <c r="G528" i="1" s="1"/>
  <c r="C277" i="9"/>
  <c r="F49" i="9"/>
  <c r="M71" i="1"/>
  <c r="C181" i="9"/>
  <c r="C639" i="1"/>
  <c r="H309" i="9"/>
  <c r="C564" i="1"/>
  <c r="C556" i="1"/>
  <c r="C635" i="1"/>
  <c r="G277" i="9"/>
  <c r="C369" i="9"/>
  <c r="CB71" i="1"/>
  <c r="AY71" i="1"/>
  <c r="H241" i="9"/>
  <c r="BE71" i="1"/>
  <c r="I309" i="9"/>
  <c r="H277" i="9"/>
  <c r="C628" i="1"/>
  <c r="I53" i="9"/>
  <c r="C509" i="1"/>
  <c r="G509" i="1" s="1"/>
  <c r="C681" i="1"/>
  <c r="C706" i="1"/>
  <c r="D85" i="9"/>
  <c r="C511" i="1"/>
  <c r="G511" i="1" s="1"/>
  <c r="C683" i="1"/>
  <c r="F113" i="9"/>
  <c r="AA71" i="1"/>
  <c r="BV71" i="1"/>
  <c r="D71" i="1"/>
  <c r="C691" i="1"/>
  <c r="C682" i="1"/>
  <c r="E149" i="9"/>
  <c r="E53" i="9"/>
  <c r="BR71" i="1"/>
  <c r="AX71" i="1"/>
  <c r="AW71" i="1"/>
  <c r="C675" i="1"/>
  <c r="C525" i="1"/>
  <c r="G525" i="1" s="1"/>
  <c r="C505" i="1"/>
  <c r="C117" i="9"/>
  <c r="C517" i="1"/>
  <c r="C689" i="1"/>
  <c r="C696" i="1"/>
  <c r="E181" i="9"/>
  <c r="C637" i="1"/>
  <c r="C554" i="1"/>
  <c r="T71" i="1"/>
  <c r="F245" i="9"/>
  <c r="C540" i="1"/>
  <c r="G540" i="1" s="1"/>
  <c r="C712" i="1"/>
  <c r="E213" i="9"/>
  <c r="G337" i="9"/>
  <c r="BY71" i="1"/>
  <c r="C561" i="1"/>
  <c r="C149" i="9"/>
  <c r="C565" i="1"/>
  <c r="C526" i="1"/>
  <c r="G526" i="1" s="1"/>
  <c r="C634" i="1"/>
  <c r="C534" i="1"/>
  <c r="G534" i="1" s="1"/>
  <c r="C531" i="1"/>
  <c r="G531" i="1" s="1"/>
  <c r="C548" i="1"/>
  <c r="AK71" i="1"/>
  <c r="C245" i="9"/>
  <c r="C504" i="1"/>
  <c r="G504" i="1" s="1"/>
  <c r="C566" i="1"/>
  <c r="I21" i="9"/>
  <c r="C502" i="1"/>
  <c r="G502" i="1" s="1"/>
  <c r="C674" i="1"/>
  <c r="I273" i="9"/>
  <c r="BM71" i="1"/>
  <c r="C690" i="1"/>
  <c r="D117" i="9"/>
  <c r="C518" i="1"/>
  <c r="G518" i="1" s="1"/>
  <c r="F17" i="9"/>
  <c r="F71" i="1"/>
  <c r="I241" i="9"/>
  <c r="BF71" i="1"/>
  <c r="D177" i="9"/>
  <c r="AM71" i="1"/>
  <c r="E309" i="9"/>
  <c r="C510" i="1"/>
  <c r="G510" i="1" s="1"/>
  <c r="C519" i="1"/>
  <c r="G519" i="1" s="1"/>
  <c r="C341" i="9"/>
  <c r="I209" i="9"/>
  <c r="D17" i="9"/>
  <c r="G209" i="9"/>
  <c r="G305" i="9"/>
  <c r="H209" i="9"/>
  <c r="D337" i="9"/>
  <c r="F81" i="9"/>
  <c r="F209" i="9"/>
  <c r="C209" i="9"/>
  <c r="D113" i="9"/>
  <c r="I337" i="9"/>
  <c r="C241" i="9"/>
  <c r="G177" i="9"/>
  <c r="I81" i="9"/>
  <c r="C145" i="9"/>
  <c r="E17" i="9"/>
  <c r="C49" i="9"/>
  <c r="F145" i="9"/>
  <c r="D369" i="9"/>
  <c r="E81" i="9"/>
  <c r="C273" i="9"/>
  <c r="E241" i="9"/>
  <c r="G145" i="9"/>
  <c r="H305" i="9"/>
  <c r="E49" i="9"/>
  <c r="G273" i="9"/>
  <c r="D305" i="9"/>
  <c r="G49" i="9"/>
  <c r="D49" i="9"/>
  <c r="F273" i="9"/>
  <c r="F337" i="9"/>
  <c r="H177" i="9"/>
  <c r="E113" i="9"/>
  <c r="D273" i="9"/>
  <c r="C67" i="1"/>
  <c r="C71" i="1" s="1"/>
  <c r="CE52" i="1"/>
  <c r="D209" i="9"/>
  <c r="H516" i="1"/>
  <c r="E305" i="9"/>
  <c r="D145" i="9"/>
  <c r="I17" i="9"/>
  <c r="E209" i="9"/>
  <c r="F177" i="9"/>
  <c r="H145" i="9"/>
  <c r="I49" i="9"/>
  <c r="H49" i="9"/>
  <c r="F241" i="9"/>
  <c r="C81" i="9"/>
  <c r="C177" i="9"/>
  <c r="I113" i="9"/>
  <c r="C113" i="9"/>
  <c r="H273" i="9"/>
  <c r="E337" i="9"/>
  <c r="G81" i="9"/>
  <c r="D241" i="9"/>
  <c r="E145" i="9"/>
  <c r="H81" i="9"/>
  <c r="E177" i="9"/>
  <c r="I177" i="9"/>
  <c r="I305" i="9"/>
  <c r="H17" i="9"/>
  <c r="C337" i="9"/>
  <c r="H113" i="9"/>
  <c r="H337" i="9"/>
  <c r="E273" i="9"/>
  <c r="D81" i="9"/>
  <c r="G113" i="9"/>
  <c r="G516" i="10"/>
  <c r="H516" i="10"/>
  <c r="C648" i="10"/>
  <c r="M716" i="10" s="1"/>
  <c r="D615" i="10"/>
  <c r="G514" i="10"/>
  <c r="H514" i="10" s="1"/>
  <c r="G550" i="10"/>
  <c r="H550" i="10" s="1"/>
  <c r="C428" i="10"/>
  <c r="C441" i="10" s="1"/>
  <c r="CE71" i="10"/>
  <c r="C716" i="10" s="1"/>
  <c r="G529" i="10"/>
  <c r="H529" i="10" s="1"/>
  <c r="G526" i="10"/>
  <c r="H526" i="10" s="1"/>
  <c r="C496" i="10"/>
  <c r="G496" i="10" s="1"/>
  <c r="C668" i="10"/>
  <c r="C715" i="10" s="1"/>
  <c r="B496" i="1"/>
  <c r="H496" i="1" s="1"/>
  <c r="F522" i="1"/>
  <c r="H522" i="1"/>
  <c r="F510" i="1"/>
  <c r="H510" i="1"/>
  <c r="F513" i="1"/>
  <c r="C142" i="8"/>
  <c r="D393" i="1"/>
  <c r="F538" i="1"/>
  <c r="H538" i="1"/>
  <c r="F534" i="1"/>
  <c r="H534" i="1"/>
  <c r="H502" i="1"/>
  <c r="F502" i="1"/>
  <c r="F504" i="1"/>
  <c r="F530" i="1"/>
  <c r="F512" i="1"/>
  <c r="H512" i="1"/>
  <c r="F526" i="1"/>
  <c r="F503" i="1"/>
  <c r="H503" i="1"/>
  <c r="H508" i="1"/>
  <c r="F508" i="1"/>
  <c r="F514" i="1"/>
  <c r="H507" i="1"/>
  <c r="F507" i="1"/>
  <c r="F518" i="1"/>
  <c r="H546" i="1"/>
  <c r="F546" i="1"/>
  <c r="F506" i="1"/>
  <c r="H506" i="1"/>
  <c r="H500" i="1"/>
  <c r="F500" i="1"/>
  <c r="F509" i="1"/>
  <c r="H509" i="1"/>
  <c r="F496" i="1" l="1"/>
  <c r="G245" i="9"/>
  <c r="C549" i="1"/>
  <c r="C624" i="1"/>
  <c r="H514" i="1"/>
  <c r="H498" i="1"/>
  <c r="H518" i="1"/>
  <c r="H526" i="1"/>
  <c r="C704" i="1"/>
  <c r="C532" i="1"/>
  <c r="G532" i="1" s="1"/>
  <c r="D181" i="9"/>
  <c r="C543" i="1"/>
  <c r="H213" i="9"/>
  <c r="C616" i="1"/>
  <c r="C497" i="1"/>
  <c r="G497" i="1" s="1"/>
  <c r="C669" i="1"/>
  <c r="D21" i="9"/>
  <c r="C614" i="1"/>
  <c r="C550" i="1"/>
  <c r="H245" i="9"/>
  <c r="C638" i="1"/>
  <c r="I277" i="9"/>
  <c r="C558" i="1"/>
  <c r="G517" i="1"/>
  <c r="H517" i="1"/>
  <c r="H504" i="1"/>
  <c r="I245" i="9"/>
  <c r="C551" i="1"/>
  <c r="C629" i="1"/>
  <c r="C530" i="1"/>
  <c r="I149" i="9"/>
  <c r="C702" i="1"/>
  <c r="C685" i="1"/>
  <c r="F85" i="9"/>
  <c r="C513" i="1"/>
  <c r="G309" i="9"/>
  <c r="C626" i="1"/>
  <c r="C563" i="1"/>
  <c r="D341" i="9"/>
  <c r="C642" i="1"/>
  <c r="C567" i="1"/>
  <c r="I213" i="9"/>
  <c r="C625" i="1"/>
  <c r="C544" i="1"/>
  <c r="G505" i="1"/>
  <c r="H505" i="1" s="1"/>
  <c r="F21" i="9"/>
  <c r="C499" i="1"/>
  <c r="G499" i="1" s="1"/>
  <c r="C671" i="1"/>
  <c r="G341" i="9"/>
  <c r="C570" i="1"/>
  <c r="C645" i="1"/>
  <c r="F117" i="9"/>
  <c r="C520" i="1"/>
  <c r="G520" i="1" s="1"/>
  <c r="C692" i="1"/>
  <c r="C622" i="1"/>
  <c r="C573" i="1"/>
  <c r="C373" i="9"/>
  <c r="C496" i="1"/>
  <c r="G496" i="1" s="1"/>
  <c r="C668" i="1"/>
  <c r="C21" i="9"/>
  <c r="C678" i="1"/>
  <c r="C506" i="1"/>
  <c r="G506" i="1" s="1"/>
  <c r="F53" i="9"/>
  <c r="G213" i="9"/>
  <c r="C631" i="1"/>
  <c r="C542" i="1"/>
  <c r="CE67" i="1"/>
  <c r="C17" i="9"/>
  <c r="D710" i="10"/>
  <c r="D712" i="10"/>
  <c r="D704" i="10"/>
  <c r="D696" i="10"/>
  <c r="D688" i="10"/>
  <c r="D680" i="10"/>
  <c r="D672" i="10"/>
  <c r="D706" i="10"/>
  <c r="D698" i="10"/>
  <c r="D690" i="10"/>
  <c r="D682" i="10"/>
  <c r="D674" i="10"/>
  <c r="D711" i="10"/>
  <c r="D708" i="10"/>
  <c r="D700" i="10"/>
  <c r="D692" i="10"/>
  <c r="D684" i="10"/>
  <c r="D676" i="10"/>
  <c r="D668" i="10"/>
  <c r="D703" i="10"/>
  <c r="D689" i="10"/>
  <c r="D697" i="10"/>
  <c r="D705" i="10"/>
  <c r="D683" i="10"/>
  <c r="D669" i="10"/>
  <c r="D624" i="10"/>
  <c r="D716" i="10"/>
  <c r="D713" i="10"/>
  <c r="D691" i="10"/>
  <c r="D709" i="10"/>
  <c r="D699" i="10"/>
  <c r="D685" i="10"/>
  <c r="D678" i="10"/>
  <c r="D671" i="10"/>
  <c r="D646" i="10"/>
  <c r="D643" i="10"/>
  <c r="D631" i="10"/>
  <c r="D627" i="10"/>
  <c r="D707" i="10"/>
  <c r="D693" i="10"/>
  <c r="D686" i="10"/>
  <c r="D679" i="10"/>
  <c r="D640" i="10"/>
  <c r="D636" i="10"/>
  <c r="D632" i="10"/>
  <c r="D623" i="10"/>
  <c r="D619" i="10"/>
  <c r="D701" i="10"/>
  <c r="D694" i="10"/>
  <c r="D687" i="10"/>
  <c r="D673" i="10"/>
  <c r="D625" i="10"/>
  <c r="D702" i="10"/>
  <c r="D642" i="10"/>
  <c r="D635" i="10"/>
  <c r="D628" i="10"/>
  <c r="D638" i="10"/>
  <c r="D622" i="10"/>
  <c r="D681" i="10"/>
  <c r="D675" i="10"/>
  <c r="D645" i="10"/>
  <c r="D641" i="10"/>
  <c r="D634" i="10"/>
  <c r="D621" i="10"/>
  <c r="D637" i="10"/>
  <c r="D620" i="10"/>
  <c r="D644" i="10"/>
  <c r="D633" i="10"/>
  <c r="D630" i="10"/>
  <c r="D626" i="10"/>
  <c r="D618" i="10"/>
  <c r="D677" i="10"/>
  <c r="D617" i="10"/>
  <c r="D695" i="10"/>
  <c r="D647" i="10"/>
  <c r="D629" i="10"/>
  <c r="D616" i="10"/>
  <c r="D639" i="10"/>
  <c r="D670" i="10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CE71" i="1" l="1"/>
  <c r="C716" i="1" s="1"/>
  <c r="C433" i="1"/>
  <c r="C441" i="1" s="1"/>
  <c r="G530" i="1"/>
  <c r="H530" i="1" s="1"/>
  <c r="G544" i="1"/>
  <c r="H544" i="1"/>
  <c r="G513" i="1"/>
  <c r="H513" i="1"/>
  <c r="G550" i="1"/>
  <c r="H550" i="1" s="1"/>
  <c r="C715" i="1"/>
  <c r="C648" i="1"/>
  <c r="M716" i="1" s="1"/>
  <c r="D615" i="1"/>
  <c r="I369" i="9"/>
  <c r="D715" i="10"/>
  <c r="E623" i="10"/>
  <c r="E612" i="10"/>
  <c r="I373" i="9" l="1"/>
  <c r="D673" i="1"/>
  <c r="D619" i="1"/>
  <c r="D645" i="1"/>
  <c r="D676" i="1"/>
  <c r="D690" i="1"/>
  <c r="D671" i="1"/>
  <c r="D678" i="1"/>
  <c r="D692" i="1"/>
  <c r="D682" i="1"/>
  <c r="D616" i="1"/>
  <c r="D689" i="1"/>
  <c r="D677" i="1"/>
  <c r="D695" i="1"/>
  <c r="D704" i="1"/>
  <c r="D672" i="1"/>
  <c r="D707" i="1"/>
  <c r="D634" i="1"/>
  <c r="D626" i="1"/>
  <c r="D622" i="1"/>
  <c r="D684" i="1"/>
  <c r="D706" i="1"/>
  <c r="D698" i="1"/>
  <c r="D642" i="1"/>
  <c r="D640" i="1"/>
  <c r="D683" i="1"/>
  <c r="D639" i="1"/>
  <c r="D679" i="1"/>
  <c r="D637" i="1"/>
  <c r="D638" i="1"/>
  <c r="D641" i="1"/>
  <c r="D700" i="1"/>
  <c r="D674" i="1"/>
  <c r="D702" i="1"/>
  <c r="D696" i="1"/>
  <c r="D624" i="1"/>
  <c r="D628" i="1"/>
  <c r="D701" i="1"/>
  <c r="D694" i="1"/>
  <c r="D703" i="1"/>
  <c r="D633" i="1"/>
  <c r="D623" i="1"/>
  <c r="D716" i="1"/>
  <c r="D629" i="1"/>
  <c r="D710" i="1"/>
  <c r="D625" i="1"/>
  <c r="D705" i="1"/>
  <c r="D632" i="1"/>
  <c r="D647" i="1"/>
  <c r="D670" i="1"/>
  <c r="D708" i="1"/>
  <c r="D686" i="1"/>
  <c r="D709" i="1"/>
  <c r="D691" i="1"/>
  <c r="D643" i="1"/>
  <c r="D644" i="1"/>
  <c r="D685" i="1"/>
  <c r="D687" i="1"/>
  <c r="D620" i="1"/>
  <c r="D668" i="1"/>
  <c r="D681" i="1"/>
  <c r="D711" i="1"/>
  <c r="D617" i="1"/>
  <c r="D635" i="1"/>
  <c r="D627" i="1"/>
  <c r="D688" i="1"/>
  <c r="D699" i="1"/>
  <c r="D636" i="1"/>
  <c r="D630" i="1"/>
  <c r="D669" i="1"/>
  <c r="D680" i="1"/>
  <c r="D618" i="1"/>
  <c r="D631" i="1"/>
  <c r="D697" i="1"/>
  <c r="D646" i="1"/>
  <c r="D621" i="1"/>
  <c r="D693" i="1"/>
  <c r="D675" i="1"/>
  <c r="D713" i="1"/>
  <c r="D712" i="1"/>
  <c r="E716" i="10"/>
  <c r="E707" i="10"/>
  <c r="E709" i="10"/>
  <c r="E701" i="10"/>
  <c r="E693" i="10"/>
  <c r="E685" i="10"/>
  <c r="E677" i="10"/>
  <c r="E669" i="10"/>
  <c r="E711" i="10"/>
  <c r="E703" i="10"/>
  <c r="E695" i="10"/>
  <c r="E687" i="10"/>
  <c r="E679" i="10"/>
  <c r="E671" i="10"/>
  <c r="E708" i="10"/>
  <c r="E713" i="10"/>
  <c r="E705" i="10"/>
  <c r="E697" i="10"/>
  <c r="E689" i="10"/>
  <c r="E681" i="10"/>
  <c r="E673" i="10"/>
  <c r="E696" i="10"/>
  <c r="E682" i="10"/>
  <c r="E675" i="10"/>
  <c r="E668" i="10"/>
  <c r="E645" i="10"/>
  <c r="E642" i="10"/>
  <c r="E638" i="10"/>
  <c r="E634" i="10"/>
  <c r="E629" i="10"/>
  <c r="E626" i="10"/>
  <c r="E704" i="10"/>
  <c r="E690" i="10"/>
  <c r="E698" i="10"/>
  <c r="E691" i="10"/>
  <c r="E684" i="10"/>
  <c r="E670" i="10"/>
  <c r="E639" i="10"/>
  <c r="E635" i="10"/>
  <c r="E630" i="10"/>
  <c r="E706" i="10"/>
  <c r="E699" i="10"/>
  <c r="E692" i="10"/>
  <c r="E700" i="10"/>
  <c r="E686" i="10"/>
  <c r="E640" i="10"/>
  <c r="E636" i="10"/>
  <c r="E632" i="10"/>
  <c r="E694" i="10"/>
  <c r="E672" i="10"/>
  <c r="E625" i="10"/>
  <c r="E702" i="10"/>
  <c r="E680" i="10"/>
  <c r="E647" i="10"/>
  <c r="E644" i="10"/>
  <c r="E641" i="10"/>
  <c r="E637" i="10"/>
  <c r="E633" i="10"/>
  <c r="E628" i="10"/>
  <c r="E646" i="10"/>
  <c r="E712" i="10"/>
  <c r="E631" i="10"/>
  <c r="E710" i="10"/>
  <c r="E678" i="10"/>
  <c r="E627" i="10"/>
  <c r="E688" i="10"/>
  <c r="E674" i="10"/>
  <c r="E683" i="10"/>
  <c r="E643" i="10"/>
  <c r="E676" i="10"/>
  <c r="E624" i="10"/>
  <c r="E612" i="1" l="1"/>
  <c r="E623" i="1"/>
  <c r="D715" i="1"/>
  <c r="E715" i="10"/>
  <c r="F624" i="10"/>
  <c r="E709" i="1" l="1"/>
  <c r="E690" i="1"/>
  <c r="E686" i="1"/>
  <c r="E646" i="1"/>
  <c r="E698" i="1"/>
  <c r="E629" i="1"/>
  <c r="E625" i="1"/>
  <c r="E697" i="1"/>
  <c r="E684" i="1"/>
  <c r="E716" i="1"/>
  <c r="E682" i="1"/>
  <c r="E631" i="1"/>
  <c r="E710" i="1"/>
  <c r="E687" i="1"/>
  <c r="E694" i="1"/>
  <c r="E672" i="1"/>
  <c r="E645" i="1"/>
  <c r="E696" i="1"/>
  <c r="E636" i="1"/>
  <c r="E634" i="1"/>
  <c r="E678" i="1"/>
  <c r="E626" i="1"/>
  <c r="E681" i="1"/>
  <c r="E695" i="1"/>
  <c r="E689" i="1"/>
  <c r="E630" i="1"/>
  <c r="E669" i="1"/>
  <c r="E668" i="1"/>
  <c r="E685" i="1"/>
  <c r="E701" i="1"/>
  <c r="E713" i="1"/>
  <c r="E691" i="1"/>
  <c r="E703" i="1"/>
  <c r="E699" i="1"/>
  <c r="E711" i="1"/>
  <c r="E680" i="1"/>
  <c r="E670" i="1"/>
  <c r="E674" i="1"/>
  <c r="E642" i="1"/>
  <c r="E705" i="1"/>
  <c r="E693" i="1"/>
  <c r="E692" i="1"/>
  <c r="E676" i="1"/>
  <c r="E643" i="1"/>
  <c r="E632" i="1"/>
  <c r="E641" i="1"/>
  <c r="E638" i="1"/>
  <c r="E624" i="1"/>
  <c r="E671" i="1"/>
  <c r="E673" i="1"/>
  <c r="E647" i="1"/>
  <c r="E637" i="1"/>
  <c r="E627" i="1"/>
  <c r="E677" i="1"/>
  <c r="E702" i="1"/>
  <c r="E706" i="1"/>
  <c r="E712" i="1"/>
  <c r="E688" i="1"/>
  <c r="E679" i="1"/>
  <c r="E639" i="1"/>
  <c r="E700" i="1"/>
  <c r="E640" i="1"/>
  <c r="E633" i="1"/>
  <c r="E708" i="1"/>
  <c r="E704" i="1"/>
  <c r="E707" i="1"/>
  <c r="E675" i="1"/>
  <c r="E628" i="1"/>
  <c r="E644" i="1"/>
  <c r="E683" i="1"/>
  <c r="E635" i="1"/>
  <c r="F712" i="10"/>
  <c r="F706" i="10"/>
  <c r="F698" i="10"/>
  <c r="F690" i="10"/>
  <c r="F682" i="10"/>
  <c r="F674" i="10"/>
  <c r="F708" i="10"/>
  <c r="F700" i="10"/>
  <c r="F692" i="10"/>
  <c r="F684" i="10"/>
  <c r="F676" i="10"/>
  <c r="F668" i="10"/>
  <c r="F713" i="10"/>
  <c r="F710" i="10"/>
  <c r="F702" i="10"/>
  <c r="F694" i="10"/>
  <c r="F686" i="10"/>
  <c r="F678" i="10"/>
  <c r="F670" i="10"/>
  <c r="F647" i="10"/>
  <c r="F646" i="10"/>
  <c r="F645" i="10"/>
  <c r="F704" i="10"/>
  <c r="F697" i="10"/>
  <c r="F683" i="10"/>
  <c r="F705" i="10"/>
  <c r="F691" i="10"/>
  <c r="F716" i="10"/>
  <c r="F699" i="10"/>
  <c r="F677" i="10"/>
  <c r="F643" i="10"/>
  <c r="F631" i="10"/>
  <c r="F627" i="10"/>
  <c r="F711" i="10"/>
  <c r="F709" i="10"/>
  <c r="F707" i="10"/>
  <c r="F693" i="10"/>
  <c r="F679" i="10"/>
  <c r="F672" i="10"/>
  <c r="F625" i="10"/>
  <c r="F701" i="10"/>
  <c r="F687" i="10"/>
  <c r="F680" i="10"/>
  <c r="F673" i="10"/>
  <c r="F644" i="10"/>
  <c r="F641" i="10"/>
  <c r="F637" i="10"/>
  <c r="F633" i="10"/>
  <c r="F628" i="10"/>
  <c r="F695" i="10"/>
  <c r="F688" i="10"/>
  <c r="F681" i="10"/>
  <c r="F685" i="10"/>
  <c r="F638" i="10"/>
  <c r="F675" i="10"/>
  <c r="F669" i="10"/>
  <c r="F634" i="10"/>
  <c r="F689" i="10"/>
  <c r="F630" i="10"/>
  <c r="F626" i="10"/>
  <c r="F671" i="10"/>
  <c r="F640" i="10"/>
  <c r="F696" i="10"/>
  <c r="F636" i="10"/>
  <c r="F629" i="10"/>
  <c r="F639" i="10"/>
  <c r="F632" i="10"/>
  <c r="F703" i="10"/>
  <c r="F642" i="10"/>
  <c r="F635" i="10"/>
  <c r="E715" i="1" l="1"/>
  <c r="F624" i="1"/>
  <c r="F715" i="10"/>
  <c r="G625" i="10"/>
  <c r="F708" i="1" l="1"/>
  <c r="F682" i="1"/>
  <c r="F668" i="1"/>
  <c r="F712" i="1"/>
  <c r="F636" i="1"/>
  <c r="F683" i="1"/>
  <c r="F630" i="1"/>
  <c r="F626" i="1"/>
  <c r="F686" i="1"/>
  <c r="F675" i="1"/>
  <c r="F694" i="1"/>
  <c r="F670" i="1"/>
  <c r="F634" i="1"/>
  <c r="F710" i="1"/>
  <c r="F646" i="1"/>
  <c r="F701" i="1"/>
  <c r="F631" i="1"/>
  <c r="F638" i="1"/>
  <c r="F640" i="1"/>
  <c r="F684" i="1"/>
  <c r="F690" i="1"/>
  <c r="F644" i="1"/>
  <c r="F647" i="1"/>
  <c r="F637" i="1"/>
  <c r="F635" i="1"/>
  <c r="F677" i="1"/>
  <c r="F713" i="1"/>
  <c r="F702" i="1"/>
  <c r="F706" i="1"/>
  <c r="F704" i="1"/>
  <c r="F699" i="1"/>
  <c r="F687" i="1"/>
  <c r="F707" i="1"/>
  <c r="F703" i="1"/>
  <c r="F671" i="1"/>
  <c r="F629" i="1"/>
  <c r="F691" i="1"/>
  <c r="F698" i="1"/>
  <c r="F645" i="1"/>
  <c r="F695" i="1"/>
  <c r="F639" i="1"/>
  <c r="F669" i="1"/>
  <c r="F628" i="1"/>
  <c r="F679" i="1"/>
  <c r="F632" i="1"/>
  <c r="F643" i="1"/>
  <c r="F680" i="1"/>
  <c r="F692" i="1"/>
  <c r="F685" i="1"/>
  <c r="F641" i="1"/>
  <c r="F711" i="1"/>
  <c r="F678" i="1"/>
  <c r="F625" i="1"/>
  <c r="F689" i="1"/>
  <c r="F672" i="1"/>
  <c r="F681" i="1"/>
  <c r="F716" i="1"/>
  <c r="F709" i="1"/>
  <c r="F674" i="1"/>
  <c r="F688" i="1"/>
  <c r="F697" i="1"/>
  <c r="F700" i="1"/>
  <c r="F642" i="1"/>
  <c r="F627" i="1"/>
  <c r="F676" i="1"/>
  <c r="F705" i="1"/>
  <c r="F693" i="1"/>
  <c r="F633" i="1"/>
  <c r="F696" i="1"/>
  <c r="F673" i="1"/>
  <c r="G709" i="10"/>
  <c r="G711" i="10"/>
  <c r="G703" i="10"/>
  <c r="G695" i="10"/>
  <c r="G687" i="10"/>
  <c r="G679" i="10"/>
  <c r="G671" i="10"/>
  <c r="G713" i="10"/>
  <c r="G705" i="10"/>
  <c r="G697" i="10"/>
  <c r="G689" i="10"/>
  <c r="G681" i="10"/>
  <c r="G673" i="10"/>
  <c r="G710" i="10"/>
  <c r="G716" i="10"/>
  <c r="G707" i="10"/>
  <c r="G699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90" i="10"/>
  <c r="G676" i="10"/>
  <c r="G669" i="10"/>
  <c r="G630" i="10"/>
  <c r="G698" i="10"/>
  <c r="G706" i="10"/>
  <c r="G692" i="10"/>
  <c r="G685" i="10"/>
  <c r="G678" i="10"/>
  <c r="G646" i="10"/>
  <c r="G700" i="10"/>
  <c r="G693" i="10"/>
  <c r="G686" i="10"/>
  <c r="G701" i="10"/>
  <c r="G694" i="10"/>
  <c r="G680" i="10"/>
  <c r="G628" i="10"/>
  <c r="G702" i="10"/>
  <c r="G688" i="10"/>
  <c r="G647" i="10"/>
  <c r="G712" i="10"/>
  <c r="G696" i="10"/>
  <c r="G674" i="10"/>
  <c r="G629" i="10"/>
  <c r="G626" i="10"/>
  <c r="G631" i="10"/>
  <c r="G672" i="10"/>
  <c r="G645" i="10"/>
  <c r="G627" i="10"/>
  <c r="G684" i="10"/>
  <c r="G708" i="10"/>
  <c r="G668" i="10"/>
  <c r="G677" i="10"/>
  <c r="G704" i="10"/>
  <c r="G670" i="10"/>
  <c r="G682" i="10"/>
  <c r="F715" i="1" l="1"/>
  <c r="G625" i="1"/>
  <c r="G715" i="10"/>
  <c r="H628" i="10"/>
  <c r="G674" i="1" l="1"/>
  <c r="G678" i="1"/>
  <c r="G691" i="1"/>
  <c r="G684" i="1"/>
  <c r="G695" i="1"/>
  <c r="G676" i="1"/>
  <c r="G702" i="1"/>
  <c r="G701" i="1"/>
  <c r="G643" i="1"/>
  <c r="G696" i="1"/>
  <c r="G699" i="1"/>
  <c r="G673" i="1"/>
  <c r="G637" i="1"/>
  <c r="G710" i="1"/>
  <c r="G709" i="1"/>
  <c r="G689" i="1"/>
  <c r="G627" i="1"/>
  <c r="G641" i="1"/>
  <c r="G677" i="1"/>
  <c r="G687" i="1"/>
  <c r="G668" i="1"/>
  <c r="G626" i="1"/>
  <c r="G632" i="1"/>
  <c r="G644" i="1"/>
  <c r="G692" i="1"/>
  <c r="G685" i="1"/>
  <c r="G646" i="1"/>
  <c r="G639" i="1"/>
  <c r="G679" i="1"/>
  <c r="G645" i="1"/>
  <c r="G708" i="1"/>
  <c r="G638" i="1"/>
  <c r="G711" i="1"/>
  <c r="G705" i="1"/>
  <c r="G640" i="1"/>
  <c r="G633" i="1"/>
  <c r="G636" i="1"/>
  <c r="G680" i="1"/>
  <c r="G693" i="1"/>
  <c r="G635" i="1"/>
  <c r="G686" i="1"/>
  <c r="G712" i="1"/>
  <c r="G683" i="1"/>
  <c r="G697" i="1"/>
  <c r="G634" i="1"/>
  <c r="G700" i="1"/>
  <c r="G670" i="1"/>
  <c r="G675" i="1"/>
  <c r="G671" i="1"/>
  <c r="G642" i="1"/>
  <c r="G716" i="1"/>
  <c r="G688" i="1"/>
  <c r="G706" i="1"/>
  <c r="G682" i="1"/>
  <c r="G698" i="1"/>
  <c r="G704" i="1"/>
  <c r="G629" i="1"/>
  <c r="G669" i="1"/>
  <c r="G694" i="1"/>
  <c r="G631" i="1"/>
  <c r="G628" i="1"/>
  <c r="G681" i="1"/>
  <c r="G630" i="1"/>
  <c r="G647" i="1"/>
  <c r="G690" i="1"/>
  <c r="G707" i="1"/>
  <c r="G672" i="1"/>
  <c r="G703" i="1"/>
  <c r="G713" i="1"/>
  <c r="H708" i="10"/>
  <c r="H700" i="10"/>
  <c r="H692" i="10"/>
  <c r="H684" i="10"/>
  <c r="H676" i="10"/>
  <c r="H668" i="10"/>
  <c r="H710" i="10"/>
  <c r="H702" i="10"/>
  <c r="H694" i="10"/>
  <c r="H686" i="10"/>
  <c r="H678" i="10"/>
  <c r="H670" i="10"/>
  <c r="H647" i="10"/>
  <c r="H646" i="10"/>
  <c r="H645" i="10"/>
  <c r="H716" i="10"/>
  <c r="H712" i="10"/>
  <c r="H704" i="10"/>
  <c r="H696" i="10"/>
  <c r="H688" i="10"/>
  <c r="H680" i="10"/>
  <c r="H672" i="10"/>
  <c r="H705" i="10"/>
  <c r="H698" i="10"/>
  <c r="H691" i="10"/>
  <c r="H677" i="10"/>
  <c r="H639" i="10"/>
  <c r="H635" i="10"/>
  <c r="H631" i="10"/>
  <c r="H706" i="10"/>
  <c r="H699" i="10"/>
  <c r="H713" i="10"/>
  <c r="H711" i="10"/>
  <c r="H709" i="10"/>
  <c r="H693" i="10"/>
  <c r="H671" i="10"/>
  <c r="H640" i="10"/>
  <c r="H636" i="10"/>
  <c r="H632" i="10"/>
  <c r="H707" i="10"/>
  <c r="H701" i="10"/>
  <c r="H687" i="10"/>
  <c r="H673" i="10"/>
  <c r="H644" i="10"/>
  <c r="H641" i="10"/>
  <c r="H637" i="10"/>
  <c r="H633" i="10"/>
  <c r="H695" i="10"/>
  <c r="H681" i="10"/>
  <c r="H674" i="10"/>
  <c r="H629" i="10"/>
  <c r="H703" i="10"/>
  <c r="H689" i="10"/>
  <c r="H682" i="10"/>
  <c r="H675" i="10"/>
  <c r="H642" i="10"/>
  <c r="H638" i="10"/>
  <c r="H634" i="10"/>
  <c r="H669" i="10"/>
  <c r="H690" i="10"/>
  <c r="H630" i="10"/>
  <c r="H697" i="10"/>
  <c r="H683" i="10"/>
  <c r="H643" i="10"/>
  <c r="H685" i="10"/>
  <c r="H679" i="10"/>
  <c r="H628" i="1" l="1"/>
  <c r="G715" i="1"/>
  <c r="H713" i="1"/>
  <c r="H632" i="1"/>
  <c r="H686" i="1"/>
  <c r="H707" i="1"/>
  <c r="H638" i="1"/>
  <c r="H642" i="1"/>
  <c r="H644" i="1"/>
  <c r="H716" i="1"/>
  <c r="H641" i="1"/>
  <c r="H669" i="1"/>
  <c r="H676" i="1"/>
  <c r="H698" i="1"/>
  <c r="H672" i="1"/>
  <c r="H696" i="1"/>
  <c r="H678" i="1"/>
  <c r="H640" i="1"/>
  <c r="H671" i="1"/>
  <c r="H630" i="1"/>
  <c r="H646" i="1"/>
  <c r="H685" i="1"/>
  <c r="H697" i="1"/>
  <c r="H684" i="1"/>
  <c r="H683" i="1"/>
  <c r="H700" i="1"/>
  <c r="H639" i="1"/>
  <c r="H701" i="1"/>
  <c r="H675" i="1"/>
  <c r="H633" i="1"/>
  <c r="H634" i="1"/>
  <c r="H694" i="1"/>
  <c r="H695" i="1"/>
  <c r="H703" i="1"/>
  <c r="H677" i="1"/>
  <c r="H688" i="1"/>
  <c r="H670" i="1"/>
  <c r="H699" i="1"/>
  <c r="H668" i="1"/>
  <c r="H689" i="1"/>
  <c r="H687" i="1"/>
  <c r="H645" i="1"/>
  <c r="H681" i="1"/>
  <c r="H680" i="1"/>
  <c r="H702" i="1"/>
  <c r="H704" i="1"/>
  <c r="H629" i="1"/>
  <c r="H682" i="1"/>
  <c r="H706" i="1"/>
  <c r="H674" i="1"/>
  <c r="H647" i="1"/>
  <c r="H708" i="1"/>
  <c r="H711" i="1"/>
  <c r="H673" i="1"/>
  <c r="H635" i="1"/>
  <c r="H712" i="1"/>
  <c r="H690" i="1"/>
  <c r="H710" i="1"/>
  <c r="H705" i="1"/>
  <c r="H693" i="1"/>
  <c r="H631" i="1"/>
  <c r="H679" i="1"/>
  <c r="H643" i="1"/>
  <c r="H636" i="1"/>
  <c r="H709" i="1"/>
  <c r="H691" i="1"/>
  <c r="H637" i="1"/>
  <c r="H692" i="1"/>
  <c r="H715" i="10"/>
  <c r="I629" i="10"/>
  <c r="H715" i="1" l="1"/>
  <c r="I629" i="1"/>
  <c r="I711" i="10"/>
  <c r="I713" i="10"/>
  <c r="I705" i="10"/>
  <c r="I697" i="10"/>
  <c r="I689" i="10"/>
  <c r="I681" i="10"/>
  <c r="I673" i="10"/>
  <c r="I716" i="10"/>
  <c r="I707" i="10"/>
  <c r="I699" i="10"/>
  <c r="I691" i="10"/>
  <c r="I683" i="10"/>
  <c r="I675" i="10"/>
  <c r="I644" i="10"/>
  <c r="I643" i="10"/>
  <c r="I642" i="10"/>
  <c r="I712" i="10"/>
  <c r="I709" i="10"/>
  <c r="I701" i="10"/>
  <c r="I693" i="10"/>
  <c r="I685" i="10"/>
  <c r="I677" i="10"/>
  <c r="I669" i="10"/>
  <c r="I706" i="10"/>
  <c r="I684" i="10"/>
  <c r="I670" i="10"/>
  <c r="I692" i="10"/>
  <c r="I700" i="10"/>
  <c r="I686" i="10"/>
  <c r="I679" i="10"/>
  <c r="I672" i="10"/>
  <c r="I694" i="10"/>
  <c r="I687" i="10"/>
  <c r="I702" i="10"/>
  <c r="I695" i="10"/>
  <c r="I688" i="10"/>
  <c r="I674" i="10"/>
  <c r="I647" i="10"/>
  <c r="I703" i="10"/>
  <c r="I696" i="10"/>
  <c r="I682" i="10"/>
  <c r="I638" i="10"/>
  <c r="I634" i="10"/>
  <c r="I710" i="10"/>
  <c r="I708" i="10"/>
  <c r="I704" i="10"/>
  <c r="I690" i="10"/>
  <c r="I668" i="10"/>
  <c r="I645" i="10"/>
  <c r="I630" i="10"/>
  <c r="I678" i="10"/>
  <c r="I641" i="10"/>
  <c r="I637" i="10"/>
  <c r="I698" i="10"/>
  <c r="I671" i="10"/>
  <c r="I640" i="10"/>
  <c r="I633" i="10"/>
  <c r="I680" i="10"/>
  <c r="I636" i="10"/>
  <c r="I639" i="10"/>
  <c r="I632" i="10"/>
  <c r="I676" i="10"/>
  <c r="I635" i="10"/>
  <c r="I646" i="10"/>
  <c r="I631" i="10"/>
  <c r="I676" i="1" l="1"/>
  <c r="I702" i="1"/>
  <c r="I694" i="1"/>
  <c r="I696" i="1"/>
  <c r="I703" i="1"/>
  <c r="I693" i="1"/>
  <c r="I704" i="1"/>
  <c r="I686" i="1"/>
  <c r="I672" i="1"/>
  <c r="I673" i="1"/>
  <c r="I700" i="1"/>
  <c r="I644" i="1"/>
  <c r="I707" i="1"/>
  <c r="I634" i="1"/>
  <c r="I712" i="1"/>
  <c r="I639" i="1"/>
  <c r="I640" i="1"/>
  <c r="I699" i="1"/>
  <c r="I691" i="1"/>
  <c r="I680" i="1"/>
  <c r="I645" i="1"/>
  <c r="I671" i="1"/>
  <c r="I708" i="1"/>
  <c r="I631" i="1"/>
  <c r="I709" i="1"/>
  <c r="I698" i="1"/>
  <c r="I701" i="1"/>
  <c r="I695" i="1"/>
  <c r="I670" i="1"/>
  <c r="I636" i="1"/>
  <c r="I687" i="1"/>
  <c r="I638" i="1"/>
  <c r="I630" i="1"/>
  <c r="I679" i="1"/>
  <c r="I632" i="1"/>
  <c r="I713" i="1"/>
  <c r="I642" i="1"/>
  <c r="I716" i="1"/>
  <c r="I646" i="1"/>
  <c r="I668" i="1"/>
  <c r="I637" i="1"/>
  <c r="I669" i="1"/>
  <c r="I710" i="1"/>
  <c r="I682" i="1"/>
  <c r="I643" i="1"/>
  <c r="I681" i="1"/>
  <c r="I677" i="1"/>
  <c r="I685" i="1"/>
  <c r="I706" i="1"/>
  <c r="I692" i="1"/>
  <c r="I674" i="1"/>
  <c r="I705" i="1"/>
  <c r="I688" i="1"/>
  <c r="I678" i="1"/>
  <c r="I684" i="1"/>
  <c r="I683" i="1"/>
  <c r="I675" i="1"/>
  <c r="I647" i="1"/>
  <c r="I641" i="1"/>
  <c r="I689" i="1"/>
  <c r="I635" i="1"/>
  <c r="I633" i="1"/>
  <c r="I711" i="1"/>
  <c r="I697" i="1"/>
  <c r="I690" i="1"/>
  <c r="I715" i="10"/>
  <c r="J630" i="10"/>
  <c r="I715" i="1" l="1"/>
  <c r="J630" i="1"/>
  <c r="J708" i="10"/>
  <c r="J710" i="10"/>
  <c r="J702" i="10"/>
  <c r="J694" i="10"/>
  <c r="J686" i="10"/>
  <c r="J678" i="10"/>
  <c r="J670" i="10"/>
  <c r="J647" i="10"/>
  <c r="J646" i="10"/>
  <c r="J645" i="10"/>
  <c r="J712" i="10"/>
  <c r="J704" i="10"/>
  <c r="J696" i="10"/>
  <c r="J688" i="10"/>
  <c r="J680" i="10"/>
  <c r="J672" i="10"/>
  <c r="J709" i="10"/>
  <c r="J706" i="10"/>
  <c r="J698" i="10"/>
  <c r="J690" i="10"/>
  <c r="J682" i="10"/>
  <c r="J674" i="10"/>
  <c r="J699" i="10"/>
  <c r="J692" i="10"/>
  <c r="J685" i="10"/>
  <c r="J671" i="10"/>
  <c r="J643" i="10"/>
  <c r="J640" i="10"/>
  <c r="J636" i="10"/>
  <c r="J632" i="10"/>
  <c r="J716" i="10"/>
  <c r="J713" i="10"/>
  <c r="J711" i="10"/>
  <c r="J700" i="10"/>
  <c r="J693" i="10"/>
  <c r="J707" i="10"/>
  <c r="J701" i="10"/>
  <c r="J687" i="10"/>
  <c r="J641" i="10"/>
  <c r="J637" i="10"/>
  <c r="J633" i="10"/>
  <c r="J695" i="10"/>
  <c r="J703" i="10"/>
  <c r="J681" i="10"/>
  <c r="J638" i="10"/>
  <c r="J634" i="10"/>
  <c r="J689" i="10"/>
  <c r="J675" i="10"/>
  <c r="J668" i="10"/>
  <c r="J642" i="10"/>
  <c r="J697" i="10"/>
  <c r="J683" i="10"/>
  <c r="J676" i="10"/>
  <c r="J669" i="10"/>
  <c r="J639" i="10"/>
  <c r="J635" i="10"/>
  <c r="J631" i="10"/>
  <c r="J691" i="10"/>
  <c r="J684" i="10"/>
  <c r="J677" i="10"/>
  <c r="J644" i="10"/>
  <c r="J705" i="10"/>
  <c r="J679" i="10"/>
  <c r="J673" i="10"/>
  <c r="L647" i="10" l="1"/>
  <c r="J695" i="1"/>
  <c r="J645" i="1"/>
  <c r="J693" i="1"/>
  <c r="J669" i="1"/>
  <c r="J687" i="1"/>
  <c r="J690" i="1"/>
  <c r="J670" i="1"/>
  <c r="J710" i="1"/>
  <c r="J683" i="1"/>
  <c r="J694" i="1"/>
  <c r="J707" i="1"/>
  <c r="J679" i="1"/>
  <c r="J635" i="1"/>
  <c r="J680" i="1"/>
  <c r="J688" i="1"/>
  <c r="J671" i="1"/>
  <c r="J668" i="1"/>
  <c r="J713" i="1"/>
  <c r="J705" i="1"/>
  <c r="J642" i="1"/>
  <c r="J678" i="1"/>
  <c r="J672" i="1"/>
  <c r="J639" i="1"/>
  <c r="J675" i="1"/>
  <c r="J702" i="1"/>
  <c r="J685" i="1"/>
  <c r="J640" i="1"/>
  <c r="J706" i="1"/>
  <c r="J681" i="1"/>
  <c r="J673" i="1"/>
  <c r="J638" i="1"/>
  <c r="J633" i="1"/>
  <c r="J632" i="1"/>
  <c r="J716" i="1"/>
  <c r="J646" i="1"/>
  <c r="J704" i="1"/>
  <c r="J708" i="1"/>
  <c r="J674" i="1"/>
  <c r="J701" i="1"/>
  <c r="J712" i="1"/>
  <c r="J700" i="1"/>
  <c r="J644" i="1"/>
  <c r="J676" i="1"/>
  <c r="J703" i="1"/>
  <c r="J689" i="1"/>
  <c r="J643" i="1"/>
  <c r="J697" i="1"/>
  <c r="J637" i="1"/>
  <c r="J696" i="1"/>
  <c r="J709" i="1"/>
  <c r="J698" i="1"/>
  <c r="J684" i="1"/>
  <c r="J682" i="1"/>
  <c r="J699" i="1"/>
  <c r="J692" i="1"/>
  <c r="J634" i="1"/>
  <c r="J711" i="1"/>
  <c r="J647" i="1"/>
  <c r="J691" i="1"/>
  <c r="J686" i="1"/>
  <c r="J677" i="1"/>
  <c r="J636" i="1"/>
  <c r="J631" i="1"/>
  <c r="J641" i="1"/>
  <c r="K644" i="10"/>
  <c r="L710" i="10"/>
  <c r="L712" i="10"/>
  <c r="L704" i="10"/>
  <c r="L696" i="10"/>
  <c r="L688" i="10"/>
  <c r="L680" i="10"/>
  <c r="L672" i="10"/>
  <c r="L706" i="10"/>
  <c r="L698" i="10"/>
  <c r="L690" i="10"/>
  <c r="L682" i="10"/>
  <c r="L674" i="10"/>
  <c r="L711" i="10"/>
  <c r="L708" i="10"/>
  <c r="L700" i="10"/>
  <c r="L692" i="10"/>
  <c r="L684" i="10"/>
  <c r="L676" i="10"/>
  <c r="L668" i="10"/>
  <c r="L716" i="10"/>
  <c r="L713" i="10"/>
  <c r="L693" i="10"/>
  <c r="L686" i="10"/>
  <c r="L679" i="10"/>
  <c r="L709" i="10"/>
  <c r="L707" i="10"/>
  <c r="L701" i="10"/>
  <c r="L694" i="10"/>
  <c r="L687" i="10"/>
  <c r="L702" i="10"/>
  <c r="L695" i="10"/>
  <c r="L681" i="10"/>
  <c r="L703" i="10"/>
  <c r="L689" i="10"/>
  <c r="L697" i="10"/>
  <c r="L675" i="10"/>
  <c r="L705" i="10"/>
  <c r="L683" i="10"/>
  <c r="L669" i="10"/>
  <c r="L691" i="10"/>
  <c r="L677" i="10"/>
  <c r="L670" i="10"/>
  <c r="L678" i="10"/>
  <c r="L699" i="10"/>
  <c r="L671" i="10"/>
  <c r="L673" i="10"/>
  <c r="L685" i="10"/>
  <c r="J715" i="10"/>
  <c r="L647" i="1" l="1"/>
  <c r="J715" i="1"/>
  <c r="L711" i="1"/>
  <c r="L701" i="1"/>
  <c r="L682" i="1"/>
  <c r="L705" i="1"/>
  <c r="L686" i="1"/>
  <c r="L694" i="1"/>
  <c r="L674" i="1"/>
  <c r="L681" i="1"/>
  <c r="L713" i="1"/>
  <c r="L716" i="1"/>
  <c r="L706" i="1"/>
  <c r="L700" i="1"/>
  <c r="L676" i="1"/>
  <c r="L671" i="1"/>
  <c r="L710" i="1"/>
  <c r="L702" i="1"/>
  <c r="L697" i="1"/>
  <c r="L707" i="1"/>
  <c r="L692" i="1"/>
  <c r="L708" i="1"/>
  <c r="L678" i="1"/>
  <c r="L688" i="1"/>
  <c r="L687" i="1"/>
  <c r="L703" i="1"/>
  <c r="L696" i="1"/>
  <c r="L712" i="1"/>
  <c r="L691" i="1"/>
  <c r="L709" i="1"/>
  <c r="L677" i="1"/>
  <c r="L675" i="1"/>
  <c r="L699" i="1"/>
  <c r="L698" i="1"/>
  <c r="L669" i="1"/>
  <c r="L689" i="1"/>
  <c r="L680" i="1"/>
  <c r="L679" i="1"/>
  <c r="L695" i="1"/>
  <c r="L668" i="1"/>
  <c r="L683" i="1"/>
  <c r="L670" i="1"/>
  <c r="L704" i="1"/>
  <c r="L673" i="1"/>
  <c r="L685" i="1"/>
  <c r="L690" i="1"/>
  <c r="L693" i="1"/>
  <c r="L672" i="1"/>
  <c r="L684" i="1"/>
  <c r="K644" i="1"/>
  <c r="M675" i="10"/>
  <c r="L715" i="10"/>
  <c r="M707" i="10"/>
  <c r="K713" i="10"/>
  <c r="M713" i="10" s="1"/>
  <c r="K716" i="10"/>
  <c r="K707" i="10"/>
  <c r="K699" i="10"/>
  <c r="M699" i="10" s="1"/>
  <c r="K691" i="10"/>
  <c r="M691" i="10" s="1"/>
  <c r="K683" i="10"/>
  <c r="M683" i="10" s="1"/>
  <c r="K675" i="10"/>
  <c r="K709" i="10"/>
  <c r="M709" i="10" s="1"/>
  <c r="K701" i="10"/>
  <c r="M701" i="10" s="1"/>
  <c r="K693" i="10"/>
  <c r="M693" i="10" s="1"/>
  <c r="K685" i="10"/>
  <c r="M685" i="10" s="1"/>
  <c r="K677" i="10"/>
  <c r="M677" i="10" s="1"/>
  <c r="K669" i="10"/>
  <c r="M669" i="10" s="1"/>
  <c r="K711" i="10"/>
  <c r="M711" i="10" s="1"/>
  <c r="K703" i="10"/>
  <c r="M703" i="10" s="1"/>
  <c r="K695" i="10"/>
  <c r="M695" i="10" s="1"/>
  <c r="K687" i="10"/>
  <c r="M687" i="10" s="1"/>
  <c r="K679" i="10"/>
  <c r="M679" i="10" s="1"/>
  <c r="K671" i="10"/>
  <c r="M671" i="10" s="1"/>
  <c r="K700" i="10"/>
  <c r="M700" i="10" s="1"/>
  <c r="K678" i="10"/>
  <c r="M678" i="10" s="1"/>
  <c r="K686" i="10"/>
  <c r="M686" i="10" s="1"/>
  <c r="K694" i="10"/>
  <c r="M694" i="10" s="1"/>
  <c r="K680" i="10"/>
  <c r="M680" i="10" s="1"/>
  <c r="K673" i="10"/>
  <c r="M673" i="10" s="1"/>
  <c r="K702" i="10"/>
  <c r="M702" i="10" s="1"/>
  <c r="K688" i="10"/>
  <c r="M688" i="10" s="1"/>
  <c r="K696" i="10"/>
  <c r="M696" i="10" s="1"/>
  <c r="K689" i="10"/>
  <c r="M689" i="10" s="1"/>
  <c r="K682" i="10"/>
  <c r="M682" i="10" s="1"/>
  <c r="K668" i="10"/>
  <c r="K712" i="10"/>
  <c r="M712" i="10" s="1"/>
  <c r="K710" i="10"/>
  <c r="M710" i="10" s="1"/>
  <c r="K708" i="10"/>
  <c r="M708" i="10" s="1"/>
  <c r="K704" i="10"/>
  <c r="M704" i="10" s="1"/>
  <c r="K697" i="10"/>
  <c r="M697" i="10" s="1"/>
  <c r="K690" i="10"/>
  <c r="M690" i="10" s="1"/>
  <c r="K676" i="10"/>
  <c r="M676" i="10" s="1"/>
  <c r="K705" i="10"/>
  <c r="M705" i="10" s="1"/>
  <c r="K698" i="10"/>
  <c r="M698" i="10" s="1"/>
  <c r="K684" i="10"/>
  <c r="M684" i="10" s="1"/>
  <c r="K692" i="10"/>
  <c r="M692" i="10" s="1"/>
  <c r="K672" i="10"/>
  <c r="M672" i="10" s="1"/>
  <c r="K681" i="10"/>
  <c r="M681" i="10" s="1"/>
  <c r="K674" i="10"/>
  <c r="M674" i="10" s="1"/>
  <c r="K706" i="10"/>
  <c r="M706" i="10" s="1"/>
  <c r="K670" i="10"/>
  <c r="M670" i="10" s="1"/>
  <c r="L715" i="1" l="1"/>
  <c r="K716" i="1"/>
  <c r="K712" i="1"/>
  <c r="M712" i="1" s="1"/>
  <c r="K674" i="1"/>
  <c r="M674" i="1" s="1"/>
  <c r="K698" i="1"/>
  <c r="M698" i="1" s="1"/>
  <c r="K706" i="1"/>
  <c r="M706" i="1" s="1"/>
  <c r="K668" i="1"/>
  <c r="K672" i="1"/>
  <c r="M672" i="1" s="1"/>
  <c r="K691" i="1"/>
  <c r="M691" i="1" s="1"/>
  <c r="K678" i="1"/>
  <c r="M678" i="1" s="1"/>
  <c r="K673" i="1"/>
  <c r="M673" i="1" s="1"/>
  <c r="K688" i="1"/>
  <c r="M688" i="1" s="1"/>
  <c r="K705" i="1"/>
  <c r="M705" i="1" s="1"/>
  <c r="K670" i="1"/>
  <c r="M670" i="1" s="1"/>
  <c r="K710" i="1"/>
  <c r="M710" i="1" s="1"/>
  <c r="K671" i="1"/>
  <c r="M671" i="1" s="1"/>
  <c r="K684" i="1"/>
  <c r="M684" i="1" s="1"/>
  <c r="K703" i="1"/>
  <c r="M703" i="1" s="1"/>
  <c r="K711" i="1"/>
  <c r="M711" i="1" s="1"/>
  <c r="K692" i="1"/>
  <c r="M692" i="1" s="1"/>
  <c r="K685" i="1"/>
  <c r="M685" i="1" s="1"/>
  <c r="K704" i="1"/>
  <c r="M704" i="1" s="1"/>
  <c r="K687" i="1"/>
  <c r="M687" i="1" s="1"/>
  <c r="K697" i="1"/>
  <c r="M697" i="1" s="1"/>
  <c r="K699" i="1"/>
  <c r="M699" i="1" s="1"/>
  <c r="K676" i="1"/>
  <c r="M676" i="1" s="1"/>
  <c r="K683" i="1"/>
  <c r="M683" i="1" s="1"/>
  <c r="K690" i="1"/>
  <c r="M690" i="1" s="1"/>
  <c r="K682" i="1"/>
  <c r="M682" i="1" s="1"/>
  <c r="K677" i="1"/>
  <c r="M677" i="1" s="1"/>
  <c r="K700" i="1"/>
  <c r="M700" i="1" s="1"/>
  <c r="K679" i="1"/>
  <c r="M679" i="1" s="1"/>
  <c r="K693" i="1"/>
  <c r="M693" i="1" s="1"/>
  <c r="K675" i="1"/>
  <c r="M675" i="1" s="1"/>
  <c r="K696" i="1"/>
  <c r="M696" i="1" s="1"/>
  <c r="K681" i="1"/>
  <c r="M681" i="1" s="1"/>
  <c r="K694" i="1"/>
  <c r="M694" i="1" s="1"/>
  <c r="K680" i="1"/>
  <c r="M680" i="1" s="1"/>
  <c r="K689" i="1"/>
  <c r="M689" i="1" s="1"/>
  <c r="K713" i="1"/>
  <c r="M713" i="1" s="1"/>
  <c r="K669" i="1"/>
  <c r="M669" i="1" s="1"/>
  <c r="K695" i="1"/>
  <c r="M695" i="1" s="1"/>
  <c r="K686" i="1"/>
  <c r="M686" i="1" s="1"/>
  <c r="K708" i="1"/>
  <c r="M708" i="1" s="1"/>
  <c r="K707" i="1"/>
  <c r="M707" i="1" s="1"/>
  <c r="K701" i="1"/>
  <c r="M701" i="1" s="1"/>
  <c r="K702" i="1"/>
  <c r="M702" i="1" s="1"/>
  <c r="K709" i="1"/>
  <c r="M709" i="1" s="1"/>
  <c r="K715" i="10"/>
  <c r="M668" i="10"/>
  <c r="M715" i="10" s="1"/>
  <c r="K715" i="1" l="1"/>
  <c r="D87" i="9"/>
  <c r="I119" i="9"/>
  <c r="I183" i="9"/>
  <c r="G23" i="9"/>
  <c r="F55" i="9"/>
  <c r="C215" i="9"/>
  <c r="D215" i="9"/>
  <c r="G119" i="9"/>
  <c r="I151" i="9"/>
  <c r="H87" i="9"/>
  <c r="E55" i="9"/>
  <c r="D183" i="9"/>
  <c r="E23" i="9"/>
  <c r="F183" i="9"/>
  <c r="C119" i="9"/>
  <c r="G151" i="9"/>
  <c r="H55" i="9"/>
  <c r="H119" i="9"/>
  <c r="C87" i="9"/>
  <c r="F87" i="9"/>
  <c r="E183" i="9"/>
  <c r="E151" i="9"/>
  <c r="G87" i="9"/>
  <c r="H23" i="9"/>
  <c r="F151" i="9"/>
  <c r="F23" i="9"/>
  <c r="H151" i="9"/>
  <c r="H183" i="9"/>
  <c r="F119" i="9"/>
  <c r="I23" i="9"/>
  <c r="F215" i="9"/>
  <c r="G55" i="9"/>
  <c r="M668" i="1"/>
  <c r="D151" i="9"/>
  <c r="I87" i="9"/>
  <c r="E87" i="9"/>
  <c r="D119" i="9"/>
  <c r="C151" i="9"/>
  <c r="D23" i="9"/>
  <c r="C55" i="9"/>
  <c r="E119" i="9"/>
  <c r="C183" i="9"/>
  <c r="D55" i="9"/>
  <c r="G183" i="9"/>
  <c r="I55" i="9"/>
  <c r="E215" i="9"/>
  <c r="M715" i="1" l="1"/>
  <c r="C23" i="9"/>
</calcChain>
</file>

<file path=xl/sharedStrings.xml><?xml version="1.0" encoding="utf-8"?>
<sst xmlns="http://schemas.openxmlformats.org/spreadsheetml/2006/main" count="4399" uniqueCount="1015">
  <si>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</si>
  <si>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</si>
  <si>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</si>
  <si>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</si>
  <si>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</si>
  <si>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</si>
  <si>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</si>
  <si>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</si>
  <si>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</si>
  <si>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</si>
  <si>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</si>
  <si>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</si>
  <si>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</si>
  <si>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</si>
  <si>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</si>
  <si>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</si>
  <si>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</si>
  <si>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</si>
  <si>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</si>
  <si>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</si>
  <si>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</si>
  <si>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</si>
  <si>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</si>
  <si>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</si>
  <si>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</si>
  <si>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</si>
  <si>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</si>
  <si>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</si>
  <si>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</si>
  <si>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</si>
  <si>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</si>
  <si>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</si>
  <si>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</si>
  <si>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</si>
  <si>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</si>
  <si>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</si>
  <si>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</si>
  <si>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</si>
  <si>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</si>
  <si>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</si>
  <si>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</si>
  <si>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</si>
  <si>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</si>
  <si>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</si>
  <si>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</si>
  <si>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</si>
  <si>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</si>
  <si>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</si>
  <si>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</si>
  <si>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</si>
  <si>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</si>
  <si>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</si>
  <si>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</si>
  <si>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</si>
  <si>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</si>
  <si>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</si>
  <si>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</si>
  <si>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</si>
  <si>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</si>
  <si>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</si>
  <si>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</si>
  <si>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</si>
  <si>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</si>
  <si>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</si>
  <si>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</si>
  <si>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</si>
  <si>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</si>
  <si>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</si>
  <si>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</si>
  <si>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</si>
  <si>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</si>
  <si>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</si>
  <si>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</si>
  <si>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</si>
  <si>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</si>
  <si>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</si>
  <si>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</si>
  <si>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</si>
  <si>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</si>
  <si>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</si>
  <si>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</si>
  <si>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</si>
  <si>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</si>
  <si>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</si>
  <si>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</si>
  <si>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</si>
  <si>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</si>
  <si>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</si>
  <si>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</si>
  <si>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</si>
  <si>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</si>
  <si>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</si>
  <si>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</si>
  <si>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</si>
  <si>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</si>
  <si>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</si>
  <si>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</si>
  <si>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</si>
  <si>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</si>
  <si>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</si>
  <si>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</si>
  <si>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</si>
  <si>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</si>
  <si>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</si>
  <si>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</si>
  <si>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</si>
  <si>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</si>
  <si>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</si>
  <si>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</si>
  <si>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</si>
  <si>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</si>
  <si>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</si>
  <si>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</si>
  <si>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</si>
  <si>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</si>
  <si>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</si>
  <si>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</si>
  <si>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</si>
  <si>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</si>
  <si>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</si>
  <si>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</si>
  <si>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</si>
  <si>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</si>
  <si>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</si>
  <si>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</si>
  <si>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</si>
  <si>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</si>
  <si>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</si>
  <si>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</si>
  <si>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</si>
  <si>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</si>
  <si>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</si>
  <si>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</si>
  <si>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</si>
  <si>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</si>
  <si>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</si>
  <si>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</si>
  <si>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</si>
  <si>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</si>
  <si>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</si>
  <si>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</si>
  <si>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</si>
  <si>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</si>
  <si>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</si>
  <si>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</si>
  <si>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</si>
  <si>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</si>
  <si>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</si>
  <si>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</si>
  <si>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</si>
  <si>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</si>
  <si>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</si>
  <si>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</si>
  <si>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</si>
  <si>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</si>
  <si>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</si>
  <si>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</si>
  <si>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</si>
  <si>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</si>
  <si>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</si>
  <si>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</si>
  <si>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</si>
  <si>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</si>
  <si>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</si>
  <si>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</si>
  <si>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</si>
  <si>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</si>
  <si>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</si>
  <si>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</si>
  <si>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</si>
  <si>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</si>
  <si>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</si>
  <si>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</si>
  <si>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</si>
  <si>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</si>
  <si>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</si>
  <si>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</si>
  <si>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</si>
  <si>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</si>
  <si>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</si>
  <si>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</si>
  <si>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</si>
  <si>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</si>
  <si>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</si>
  <si>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</si>
  <si>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</si>
  <si>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</si>
  <si>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</si>
  <si>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</si>
  <si>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</si>
  <si>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</si>
  <si>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</si>
  <si>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</si>
  <si>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</si>
  <si>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</si>
  <si>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</si>
  <si>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</si>
  <si>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</si>
  <si>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</si>
  <si>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</si>
  <si>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</si>
  <si>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</si>
  <si>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</si>
  <si>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</si>
  <si>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</si>
  <si>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</si>
  <si>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</si>
  <si>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</si>
  <si>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</si>
  <si>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</si>
  <si>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</si>
  <si>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</si>
  <si>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</si>
  <si>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</si>
  <si>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</si>
  <si>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</si>
  <si>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</si>
  <si>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</si>
  <si>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</si>
  <si>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</si>
  <si>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</si>
  <si>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</si>
  <si>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</si>
  <si>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</si>
  <si>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</si>
  <si>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</si>
  <si>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</si>
  <si>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</si>
  <si>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</si>
  <si>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</si>
  <si>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</si>
  <si>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</si>
  <si>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</si>
  <si>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</si>
  <si>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</si>
  <si>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</si>
  <si>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</si>
  <si>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</si>
  <si>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</si>
  <si>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</si>
  <si>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</si>
  <si>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</si>
  <si>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</si>
  <si>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</si>
  <si>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</si>
  <si>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</si>
  <si>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</si>
  <si>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</si>
  <si>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</si>
  <si>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</si>
  <si>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</si>
  <si>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</si>
  <si>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</si>
  <si>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</si>
  <si>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</si>
  <si>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</si>
  <si>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</si>
  <si>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</si>
  <si>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</si>
  <si>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</si>
  <si>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</si>
  <si>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</si>
  <si>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</si>
  <si>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</si>
  <si>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</si>
  <si>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</si>
  <si>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</si>
  <si>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</si>
  <si>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</si>
  <si>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</si>
  <si>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</si>
  <si>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</si>
  <si>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</si>
  <si>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</si>
  <si>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</si>
  <si>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</si>
  <si>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</si>
  <si>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</si>
  <si>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</si>
  <si>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</si>
  <si>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</si>
  <si>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</si>
  <si>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</si>
  <si>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</si>
  <si>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</si>
  <si>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</si>
  <si>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</si>
  <si>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</si>
  <si>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</si>
  <si>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</si>
  <si>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</si>
  <si>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</si>
  <si>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</si>
  <si>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</si>
  <si>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</si>
  <si>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</si>
  <si>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</si>
  <si>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</si>
  <si>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</si>
  <si>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</si>
  <si>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</si>
  <si>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</si>
  <si>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</si>
  <si>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</si>
  <si>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</si>
  <si>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</si>
  <si>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</si>
  <si>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</si>
  <si>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</si>
  <si>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</si>
  <si>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</si>
  <si>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</si>
  <si>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</si>
  <si>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</si>
  <si>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</si>
  <si>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</si>
  <si>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</si>
  <si>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</si>
  <si>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</si>
  <si>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</si>
  <si>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</si>
  <si>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</si>
  <si>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</si>
  <si>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</si>
  <si>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</si>
  <si>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</si>
  <si>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</si>
  <si>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</si>
  <si>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</si>
  <si>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</si>
  <si>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</si>
  <si>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</si>
  <si>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</si>
  <si>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</si>
  <si>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</si>
  <si>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</si>
  <si>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</si>
  <si>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</si>
  <si>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</si>
  <si>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</si>
  <si>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</si>
  <si>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</si>
  <si>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</si>
  <si>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</si>
  <si>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</si>
  <si>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</si>
  <si>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</si>
  <si>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</si>
  <si>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</si>
  <si>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</si>
  <si>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</si>
  <si>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</si>
  <si>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</si>
  <si>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</si>
  <si>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</si>
  <si>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</si>
  <si>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</si>
  <si>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</si>
  <si>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</si>
  <si>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</si>
  <si>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</si>
  <si>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</si>
  <si>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</si>
  <si>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</si>
  <si>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</si>
  <si>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</si>
  <si>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</si>
  <si>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</si>
  <si>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</si>
  <si>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</si>
  <si>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</si>
  <si>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</si>
  <si>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</si>
  <si>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</si>
  <si>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</si>
  <si>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</si>
  <si>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</si>
  <si>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</si>
  <si>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</si>
  <si>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</si>
  <si>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</si>
  <si>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</si>
  <si>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</si>
  <si>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</si>
  <si>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</si>
  <si>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</si>
  <si>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</si>
  <si>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</si>
  <si>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</si>
  <si>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</si>
  <si>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</si>
  <si>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</si>
  <si>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</si>
  <si>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</si>
  <si>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</si>
  <si>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</si>
  <si>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</si>
  <si>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</si>
  <si>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</si>
  <si>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</si>
  <si>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</si>
  <si>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</si>
  <si>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</si>
  <si>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</si>
  <si>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</si>
  <si>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</si>
  <si>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</si>
  <si>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</si>
  <si>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</si>
  <si>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</si>
  <si>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</si>
  <si>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</si>
  <si>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</si>
  <si>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</si>
  <si>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</si>
  <si>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</si>
  <si>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</si>
  <si>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</si>
  <si>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</si>
  <si>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</si>
  <si>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</si>
  <si>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</si>
  <si>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</si>
  <si>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</si>
  <si>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</si>
  <si>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</si>
  <si>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</si>
  <si>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</si>
  <si>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</si>
  <si>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</si>
  <si>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</si>
  <si>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</si>
  <si>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</si>
  <si>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</si>
  <si>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</si>
  <si>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</si>
  <si>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</si>
  <si>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</si>
  <si>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</si>
  <si>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</si>
  <si>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</si>
  <si>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</si>
  <si>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</si>
  <si>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</si>
  <si>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</si>
  <si>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</si>
  <si>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</si>
  <si>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</si>
  <si>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</si>
  <si>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</si>
  <si>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</si>
  <si>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</si>
  <si>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</si>
  <si>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</si>
  <si>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</si>
  <si>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</si>
  <si>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</si>
  <si>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</si>
  <si>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</si>
  <si>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</si>
  <si>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</si>
  <si>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</si>
  <si>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</si>
  <si>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</si>
  <si>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</si>
  <si>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</si>
  <si>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</si>
  <si>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</si>
  <si>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</si>
  <si>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</si>
  <si>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</si>
  <si>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</si>
  <si>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</si>
  <si>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</si>
  <si>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</si>
  <si>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</si>
  <si>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</si>
  <si>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</si>
  <si>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</si>
  <si>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</si>
  <si>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</si>
  <si>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</si>
  <si>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</si>
  <si>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</si>
  <si>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</si>
  <si>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</si>
  <si>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</si>
  <si>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</si>
  <si>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</si>
  <si>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</si>
  <si>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</si>
  <si>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</si>
  <si>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</si>
  <si>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</si>
  <si>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</si>
  <si>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</si>
  <si>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</si>
  <si>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</si>
  <si>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</si>
  <si>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</si>
  <si>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</si>
  <si>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</si>
  <si>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</si>
  <si>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</si>
  <si>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</si>
  <si>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</si>
  <si>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</si>
  <si>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</si>
  <si>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</si>
  <si>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</si>
  <si>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</si>
  <si>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</si>
  <si>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</si>
  <si>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</si>
  <si>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</si>
  <si>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</si>
  <si>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</si>
  <si>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</si>
  <si>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</si>
  <si>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</si>
  <si>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</si>
  <si>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</si>
  <si>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</si>
  <si>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</si>
  <si>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</si>
  <si>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</si>
  <si>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</si>
  <si>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</si>
  <si>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</si>
  <si>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</si>
  <si>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</si>
  <si>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</si>
  <si>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</si>
  <si>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</si>
  <si>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</si>
  <si>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</si>
  <si>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</si>
  <si>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</si>
  <si>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</si>
  <si>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</si>
  <si>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</si>
  <si>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</si>
  <si>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</si>
  <si>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</si>
  <si>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</si>
  <si>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</si>
  <si>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</si>
  <si>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</si>
  <si>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</si>
  <si>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</si>
  <si>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</si>
  <si>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</si>
  <si>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</si>
  <si>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</si>
  <si>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</si>
  <si>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</si>
  <si>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</si>
  <si>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</si>
  <si>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</si>
  <si>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</si>
  <si>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</si>
  <si>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</si>
  <si>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</si>
  <si>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</si>
  <si>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</si>
  <si>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</si>
  <si>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</si>
  <si>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</si>
  <si>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</si>
  <si>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</si>
  <si>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</si>
  <si>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</si>
  <si>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</si>
  <si>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</si>
  <si>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</si>
  <si>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</si>
  <si>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</si>
  <si>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</si>
  <si>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</si>
  <si>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</si>
  <si>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</si>
  <si>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</si>
  <si>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</si>
  <si>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</si>
  <si>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</si>
  <si>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</si>
  <si>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</si>
  <si>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</si>
  <si>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</si>
  <si>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</si>
  <si>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</si>
  <si>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</si>
  <si>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</si>
  <si>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</si>
  <si>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</si>
  <si>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</si>
  <si>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</si>
  <si>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</si>
  <si>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</si>
  <si>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</si>
  <si>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</si>
  <si>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</si>
  <si>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</si>
  <si>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</si>
  <si>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</si>
  <si>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</si>
  <si>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</si>
  <si>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</si>
  <si>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</si>
  <si>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</si>
  <si>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</si>
  <si>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</si>
  <si>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</si>
  <si>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</si>
  <si>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</si>
  <si>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</si>
  <si>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</si>
  <si>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</si>
  <si>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</si>
  <si>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</si>
  <si>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</si>
  <si>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</si>
  <si>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</si>
  <si>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</si>
  <si>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</si>
  <si>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</si>
  <si>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</si>
  <si>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</si>
  <si>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</si>
  <si>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</si>
  <si>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</si>
  <si>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</si>
  <si>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</si>
  <si>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</si>
  <si>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</si>
  <si>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</si>
  <si>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</si>
  <si>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</si>
  <si>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</si>
  <si>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</si>
  <si>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</si>
  <si>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</si>
  <si>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</si>
  <si>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</si>
  <si>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</si>
  <si>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</si>
  <si>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</si>
  <si>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</si>
  <si>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</si>
  <si>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</si>
  <si>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</si>
  <si>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</si>
  <si>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</si>
  <si>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</si>
  <si>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</si>
  <si>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</si>
  <si>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</si>
  <si>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</si>
  <si>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</si>
  <si>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</si>
  <si>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</si>
  <si>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</si>
  <si>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</si>
  <si>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</si>
  <si>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</si>
  <si>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</si>
  <si>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</si>
  <si>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</si>
  <si>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</si>
  <si>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</si>
  <si>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</si>
  <si>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</si>
  <si>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</si>
  <si>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</si>
  <si>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</si>
  <si>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</si>
  <si>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</si>
  <si>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</si>
  <si>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</si>
  <si>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</si>
  <si>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</si>
  <si>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</si>
  <si>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</si>
  <si>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</si>
  <si>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</si>
  <si>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</si>
  <si>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</si>
  <si>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</si>
  <si>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</si>
  <si>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</si>
  <si>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</si>
  <si>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</si>
  <si>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</si>
  <si>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</si>
  <si>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</si>
  <si>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</si>
  <si>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</si>
  <si>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</si>
  <si>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</si>
  <si>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</si>
  <si>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</si>
  <si>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</si>
  <si>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</si>
  <si>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</si>
  <si>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</si>
  <si>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</si>
  <si>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</si>
  <si>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</si>
  <si>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</si>
  <si>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</si>
  <si>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</si>
  <si>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</si>
  <si>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</si>
  <si>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</si>
  <si>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</si>
  <si>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</si>
  <si>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</si>
  <si>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</si>
  <si>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</si>
  <si>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</si>
  <si>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</si>
  <si>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</si>
  <si>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</si>
  <si>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</si>
  <si>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</si>
  <si>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</si>
  <si>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</si>
  <si>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</si>
  <si>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</si>
  <si>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</si>
  <si>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</si>
  <si>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</si>
  <si>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</si>
  <si>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</si>
  <si>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</si>
  <si>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</si>
  <si>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</si>
  <si>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</si>
  <si>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</si>
  <si>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</si>
  <si>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</si>
  <si>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</si>
  <si>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</si>
  <si>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</si>
  <si>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</si>
  <si>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</si>
  <si>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</si>
  <si>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</si>
  <si>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</si>
  <si>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</si>
  <si>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</si>
  <si>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</si>
  <si>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</si>
  <si>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</si>
  <si>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</si>
  <si>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</si>
  <si>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</si>
  <si>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</si>
  <si>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</si>
  <si>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</si>
  <si>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</si>
  <si>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</si>
  <si>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</si>
  <si>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</si>
  <si>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</si>
  <si>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</si>
  <si>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</si>
  <si>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</si>
  <si>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</si>
  <si>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</si>
  <si>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</si>
  <si>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</si>
  <si>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</si>
  <si>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</si>
  <si>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</si>
  <si>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</si>
  <si>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</si>
  <si>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</si>
  <si>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</si>
  <si>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</si>
  <si>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</si>
  <si>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</si>
  <si>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</si>
  <si>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</si>
  <si>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</si>
  <si>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</si>
  <si>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</si>
  <si>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</si>
  <si>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</si>
  <si>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</si>
  <si>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</si>
  <si>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</si>
  <si>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</si>
  <si>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</si>
  <si>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</si>
  <si>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</si>
  <si>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</si>
  <si>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</si>
  <si>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</si>
  <si>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</si>
  <si>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</si>
  <si>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</si>
  <si>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</si>
  <si>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</si>
  <si>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</si>
  <si>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</si>
  <si>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</si>
  <si>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</si>
  <si>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</si>
  <si>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</si>
  <si>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</si>
  <si>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</si>
  <si>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</si>
  <si>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</si>
  <si>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</si>
  <si>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</si>
  <si>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</si>
  <si>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</si>
  <si>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</si>
  <si>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</si>
  <si>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</si>
  <si>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</si>
  <si>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</si>
  <si>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</si>
  <si>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</si>
  <si>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</si>
  <si>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</si>
  <si>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</si>
  <si>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</si>
  <si>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</si>
  <si>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</si>
  <si>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</si>
  <si>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</si>
  <si>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</si>
  <si>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</si>
  <si>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</si>
  <si>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</si>
  <si>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</si>
  <si>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</si>
  <si>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</si>
  <si>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</si>
  <si>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</si>
  <si>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</si>
  <si>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</si>
  <si>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</si>
  <si>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</si>
  <si>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</si>
  <si>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</si>
  <si>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</si>
  <si>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</si>
  <si>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</si>
  <si>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</si>
  <si>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</si>
  <si>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</si>
  <si>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</si>
  <si>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</si>
  <si>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</si>
  <si>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</si>
  <si>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</si>
  <si>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</si>
  <si>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</si>
  <si>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</si>
  <si>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</si>
  <si>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</si>
  <si>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</si>
  <si>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</si>
  <si>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</si>
  <si>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</si>
  <si>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</si>
  <si>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</si>
  <si>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</si>
  <si>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</si>
  <si>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</si>
  <si>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</si>
  <si>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</si>
  <si>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</si>
  <si>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</si>
  <si>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</si>
  <si>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</si>
  <si>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</si>
  <si>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</si>
  <si>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</si>
  <si>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</si>
  <si>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</si>
  <si>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</si>
  <si>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</si>
  <si>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</si>
  <si>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</si>
  <si>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</si>
  <si>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</si>
  <si>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</si>
  <si>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</si>
  <si>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</si>
  <si>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</si>
  <si>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</si>
  <si>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</si>
  <si>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</si>
  <si>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</si>
  <si>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</si>
  <si>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</si>
  <si>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</si>
  <si>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</si>
  <si>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</si>
  <si>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</si>
  <si>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</si>
  <si>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</si>
  <si>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</si>
  <si>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</si>
  <si>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</si>
  <si>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</si>
  <si>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</si>
  <si>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</si>
  <si>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</si>
  <si>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</si>
  <si>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</si>
  <si>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</si>
  <si>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</si>
  <si>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</si>
  <si>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</si>
  <si>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</si>
  <si>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</si>
  <si>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</si>
  <si>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</si>
  <si>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</si>
  <si>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</si>
  <si>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</si>
  <si>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</si>
  <si>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</si>
  <si>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</si>
  <si>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</si>
  <si>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</si>
  <si>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</si>
  <si>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</si>
  <si>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</si>
  <si>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</si>
  <si>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</si>
  <si>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</si>
  <si>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</si>
  <si>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</si>
  <si>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</si>
  <si>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</si>
  <si>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</si>
  <si>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</si>
  <si>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</si>
  <si>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</si>
  <si>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</si>
  <si>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</si>
  <si>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</si>
  <si>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</si>
  <si>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</si>
  <si>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</si>
  <si>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</si>
  <si>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</si>
  <si>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</si>
  <si>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</si>
  <si>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</si>
  <si>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</si>
  <si>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</si>
  <si>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</si>
  <si>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</si>
  <si>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</si>
  <si>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</si>
  <si>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</si>
  <si>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</si>
  <si>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</si>
  <si>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</si>
  <si>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</si>
  <si>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</si>
  <si>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</si>
  <si>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</si>
  <si>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</si>
  <si>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</si>
  <si>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</si>
  <si>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</si>
  <si>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</si>
  <si>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</si>
  <si>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</si>
  <si>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</si>
  <si>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</si>
  <si>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</si>
  <si>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</si>
  <si>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</si>
  <si>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</si>
  <si>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</si>
  <si>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</si>
  <si>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</si>
  <si>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</si>
  <si>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</si>
  <si>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</si>
  <si>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</si>
  <si>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</si>
  <si>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</si>
  <si>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</si>
  <si>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</si>
  <si>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</si>
  <si>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</si>
  <si>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</si>
  <si>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</si>
  <si>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</si>
  <si>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</si>
  <si>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</si>
  <si>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</si>
  <si>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045</t>
  </si>
  <si>
    <t>Columbia Basin Hospital</t>
  </si>
  <si>
    <t>200 Nat Washington Way</t>
  </si>
  <si>
    <t>Ephrata</t>
  </si>
  <si>
    <t>Grant</t>
  </si>
  <si>
    <t>Rosalinda Kibby, Administrator</t>
  </si>
  <si>
    <t>Rhonda Handly, Director of Finance</t>
  </si>
  <si>
    <t>Amy Paynter</t>
  </si>
  <si>
    <t>509-754-4631</t>
  </si>
  <si>
    <t>509-754-6356</t>
  </si>
  <si>
    <t>Ephrata, WA 98823</t>
  </si>
  <si>
    <t>Amy Paynter, Board Chair</t>
  </si>
  <si>
    <t>Signature of Administrator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</si>
</sst>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  <family val="3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43" fontId="1" fillId="0" borderId="0" applyFont="0" applyFill="0" applyBorder="0" applyAlignment="0" applyProtection="0"/>
    <xf numFmtId="37" fontId="15" fillId="0" borderId="0"/>
    <xf numFmtId="37" fontId="7" fillId="0" borderId="0"/>
    <xf numFmtId="0" fontId="2" fillId="0" borderId="0"/>
  </cellStyleXfs>
  <cellXfs count="282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7" fontId="10" fillId="0" borderId="1" xfId="11" quotePrefix="1" applyNumberFormat="1" applyFont="1" applyBorder="1" applyProtection="1">
      <protection locked="0"/>
    </xf>
    <xf numFmtId="49" fontId="10" fillId="4" borderId="1" xfId="0" quotePrefix="1" applyNumberFormat="1" applyFont="1" applyFill="1" applyBorder="1" applyAlignment="1" applyProtection="1">
      <alignment horizontal="left"/>
      <protection locked="0"/>
    </xf>
    <xf numFmtId="37" fontId="10" fillId="0" borderId="1" xfId="1" quotePrefix="1" applyNumberFormat="1" applyFont="1" applyFill="1" applyBorder="1" applyProtection="1">
      <protection locked="0"/>
    </xf>
    <xf numFmtId="37" fontId="10" fillId="0" borderId="1" xfId="0" quotePrefix="1" applyNumberFormat="1" applyFont="1" applyFill="1" applyBorder="1" applyProtection="1">
      <protection locked="0"/>
    </xf>
    <xf numFmtId="37" fontId="4" fillId="3" borderId="0" xfId="0" applyNumberFormat="1" applyFont="1" applyFill="1" applyProtection="1"/>
    <xf numFmtId="37" fontId="10" fillId="3" borderId="0" xfId="0" applyFont="1" applyFill="1" applyAlignment="1" applyProtection="1">
      <alignment horizontal="center" vertical="center"/>
    </xf>
  </cellXfs>
  <cellStyles count="13">
    <cellStyle name="Comma" xfId="1" builtinId="3"/>
    <cellStyle name="Comma 10 10" xfId="9" xr:uid="{00000000-0005-0000-0000-000001000000}"/>
    <cellStyle name="Hyperlink" xfId="2" builtinId="8"/>
    <cellStyle name="Normal" xfId="0" builtinId="0"/>
    <cellStyle name="Normal 10 2 3" xfId="11" xr:uid="{00000000-0005-0000-0000-000004000000}"/>
    <cellStyle name="Normal 11" xfId="4" xr:uid="{00000000-0005-0000-0000-000005000000}"/>
    <cellStyle name="Normal 5" xfId="12" xr:uid="{00000000-0005-0000-0000-000006000000}"/>
    <cellStyle name="Normal 557" xfId="6" xr:uid="{00000000-0005-0000-0000-000007000000}"/>
    <cellStyle name="Normal 561" xfId="7" xr:uid="{00000000-0005-0000-0000-000008000000}"/>
    <cellStyle name="Normal 568" xfId="8" xr:uid="{00000000-0005-0000-0000-000009000000}"/>
    <cellStyle name="Normal 576" xfId="10" xr:uid="{00000000-0005-0000-0000-00000A000000}"/>
    <cellStyle name="Percent" xfId="3" builtinId="5"/>
    <cellStyle name="Percent 460" xfId="5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81" width="11.75" style="180"/>
    <col min="82" max="82" width="11.75" style="180" customWidth="1"/>
    <col min="83" max="83" width="13" style="180" customWidth="1"/>
    <col min="84" max="16384" width="11.75" style="180"/>
  </cols>
  <sheetData>
    <row r="1" spans="1:6" ht="12.75" customHeight="1" x14ac:dyDescent="0.25">
      <c r="A1" s="229" t="s">
        <v>967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968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992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963</v>
      </c>
      <c r="C10" s="232"/>
    </row>
    <row r="11" spans="1:6" ht="12.75" customHeight="1" x14ac:dyDescent="0.25">
      <c r="A11" s="198" t="s">
        <v>966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994</v>
      </c>
      <c r="C16" s="232"/>
      <c r="F16" s="273" t="s">
        <v>993</v>
      </c>
    </row>
    <row r="17" spans="1:6" ht="12.75" customHeight="1" x14ac:dyDescent="0.25">
      <c r="A17" s="180" t="s">
        <v>965</v>
      </c>
      <c r="C17" s="273" t="s">
        <v>993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969</v>
      </c>
      <c r="B20" s="269"/>
      <c r="C20" s="274"/>
      <c r="D20" s="269"/>
      <c r="E20" s="269"/>
      <c r="F20" s="269"/>
    </row>
    <row r="21" spans="1:6" ht="22.65" customHeight="1" x14ac:dyDescent="0.25">
      <c r="A21" s="199"/>
      <c r="C21" s="232"/>
    </row>
    <row r="22" spans="1:6" ht="12.6" customHeight="1" x14ac:dyDescent="0.25">
      <c r="A22" s="233" t="s">
        <v>989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970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971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972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973</v>
      </c>
      <c r="C36" s="232"/>
    </row>
    <row r="37" spans="1:83" ht="12.6" customHeight="1" x14ac:dyDescent="0.25">
      <c r="A37" s="199" t="s">
        <v>964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929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2220023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ROUND(((B48/CE61)*K61),0)-1</f>
        <v>313038</v>
      </c>
      <c r="L48" s="195">
        <f>ROUND(((B48/CE61)*L61),0)</f>
        <v>325834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13252</v>
      </c>
      <c r="T48" s="195">
        <f>ROUND(((B48/CE61)*T61),0)</f>
        <v>0</v>
      </c>
      <c r="U48" s="195">
        <f>ROUND(((B48/CE61)*U61),0)</f>
        <v>93277</v>
      </c>
      <c r="V48" s="195">
        <f>ROUND(((B48/CE61)*V61),0)</f>
        <v>0</v>
      </c>
      <c r="W48" s="195">
        <f>ROUND(((B48/CE61)*W61),0)</f>
        <v>702</v>
      </c>
      <c r="X48" s="195">
        <f>ROUND(((B48/CE61)*X61),0)</f>
        <v>11743</v>
      </c>
      <c r="Y48" s="195">
        <f>ROUND(((B48/CE61)*Y61),0)</f>
        <v>85643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204484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392158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26158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95619</v>
      </c>
      <c r="AZ48" s="195">
        <f>ROUND(((B48/CE61)*AZ61),0)</f>
        <v>0</v>
      </c>
      <c r="BA48" s="195">
        <f>ROUND(((B48/CE61)*BA61),0)</f>
        <v>22705</v>
      </c>
      <c r="BB48" s="195">
        <f>ROUND(((B48/CE61)*BB61),0)</f>
        <v>31518</v>
      </c>
      <c r="BC48" s="195">
        <f>ROUND(((B48/CE61)*BC61),0)</f>
        <v>0</v>
      </c>
      <c r="BD48" s="195">
        <f>ROUND(((B48/CE61)*BD61),0)</f>
        <v>11979</v>
      </c>
      <c r="BE48" s="195">
        <f>ROUND(((B48/CE61)*BE61),0)</f>
        <v>47739</v>
      </c>
      <c r="BF48" s="195">
        <f>ROUND(((B48/CE61)*BF61),0)</f>
        <v>79997</v>
      </c>
      <c r="BG48" s="195">
        <f>ROUND(((B48/CE61)*BG61),0)</f>
        <v>376</v>
      </c>
      <c r="BH48" s="195">
        <f>ROUND(((B48/CE61)*BH61),0)</f>
        <v>56046</v>
      </c>
      <c r="BI48" s="195">
        <f>ROUND(((B48/CE61)*BI61),0)</f>
        <v>0</v>
      </c>
      <c r="BJ48" s="195">
        <f>ROUND(((B48/CE61)*BJ61),0)</f>
        <v>48767</v>
      </c>
      <c r="BK48" s="195">
        <f>ROUND(((B48/CE61)*BK61),0)</f>
        <v>94483</v>
      </c>
      <c r="BL48" s="195">
        <f>ROUND(((B48/CE61)*BL61),0)</f>
        <v>41165</v>
      </c>
      <c r="BM48" s="195">
        <f>ROUND(((B48/CE61)*BM61),0)</f>
        <v>0</v>
      </c>
      <c r="BN48" s="195">
        <f>ROUND(((B48/CE61)*BN61),0)</f>
        <v>53055</v>
      </c>
      <c r="BO48" s="195">
        <f>ROUND(((B48/CE61)*BO61),0)</f>
        <v>0</v>
      </c>
      <c r="BP48" s="195">
        <f>ROUND(((B48/CE61)*BP61),0)</f>
        <v>17281</v>
      </c>
      <c r="BQ48" s="195">
        <f>ROUND(((B48/CE61)*BQ61),0)</f>
        <v>0</v>
      </c>
      <c r="BR48" s="195">
        <f>ROUND(((B48/CE61)*BR61),0)</f>
        <v>25216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39366</v>
      </c>
      <c r="BW48" s="195">
        <f>ROUND(((B48/CE61)*BW61),0)</f>
        <v>0</v>
      </c>
      <c r="BX48" s="195">
        <f>ROUND(((B48/CE61)*BX61),0)</f>
        <v>11802</v>
      </c>
      <c r="BY48" s="195">
        <f>ROUND(((B48/CE61)*BY61),0)</f>
        <v>52527</v>
      </c>
      <c r="BZ48" s="195">
        <f>ROUND(((B48/CE61)*BZ61),0)</f>
        <v>0</v>
      </c>
      <c r="CA48" s="195">
        <f>ROUND(((B48/CE61)*CA61),0)</f>
        <v>24093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2220023</v>
      </c>
    </row>
    <row r="49" spans="1:84" ht="12.6" customHeight="1" x14ac:dyDescent="0.25">
      <c r="A49" s="175" t="s">
        <v>206</v>
      </c>
      <c r="B49" s="195">
        <f>B47+B48</f>
        <v>2220023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1806653</v>
      </c>
      <c r="C52" s="280">
        <f>ROUND((B52/(CE76+CF76)*C76),0)</f>
        <v>0</v>
      </c>
      <c r="D52" s="195">
        <f>ROUND((B52/(CE76+CF76)*D76),0)</f>
        <v>0</v>
      </c>
      <c r="E52" s="195">
        <f>ROUND((B52/(CE76+CF76)*E76),0)</f>
        <v>320141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396485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17459</v>
      </c>
      <c r="T52" s="195">
        <f>ROUND((B52/(CE76+CF76)*T76),0)</f>
        <v>0</v>
      </c>
      <c r="U52" s="195">
        <f>ROUND((B52/(CE76+CF76)*U76),0)</f>
        <v>27502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11879</v>
      </c>
      <c r="Y52" s="195">
        <f>ROUND((B52/(CE76+CF76)*Y76),0)</f>
        <v>32291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8625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66929</v>
      </c>
      <c r="AF52" s="195">
        <f>ROUND((B52/(CE76+CF76)*AF76),0)</f>
        <v>0</v>
      </c>
      <c r="AG52" s="195">
        <f>ROUND((B52/(CE76+CF76)*AG76),0)</f>
        <v>67511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128861</v>
      </c>
      <c r="AK52" s="195">
        <f>ROUND((B52/(CE76+CF76)*AK76),0)</f>
        <v>15343</v>
      </c>
      <c r="AL52" s="195">
        <f>ROUND((B52/(CE76+CF76)*AL76),0)</f>
        <v>2092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43752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31384</v>
      </c>
      <c r="AZ52" s="195">
        <f>ROUND((B52/(CE76+CF76)*AZ76),0)</f>
        <v>68929</v>
      </c>
      <c r="BA52" s="195">
        <f>ROUND((B52/(CE76+CF76)*BA76),0)</f>
        <v>32546</v>
      </c>
      <c r="BB52" s="195">
        <f>ROUND((B52/(CE76+CF76)*BB76),0)</f>
        <v>2092</v>
      </c>
      <c r="BC52" s="195">
        <f>ROUND((B52/(CE76+CF76)*BC76),0)</f>
        <v>0</v>
      </c>
      <c r="BD52" s="195">
        <f>ROUND((B52/(CE76+CF76)*BD76),0)</f>
        <v>56677</v>
      </c>
      <c r="BE52" s="195">
        <f>ROUND((B52/(CE76+CF76)*BE76),0)</f>
        <v>83784</v>
      </c>
      <c r="BF52" s="195">
        <f>ROUND((B52/(CE76+CF76)*BF76),0)</f>
        <v>35569</v>
      </c>
      <c r="BG52" s="195">
        <f>ROUND((B52/(CE76+CF76)*BG76),0)</f>
        <v>0</v>
      </c>
      <c r="BH52" s="195">
        <f>ROUND((B52/(CE76+CF76)*BH76),0)</f>
        <v>27478</v>
      </c>
      <c r="BI52" s="195">
        <f>ROUND((B52/(CE76+CF76)*BI76),0)</f>
        <v>0</v>
      </c>
      <c r="BJ52" s="195">
        <f>ROUND((B52/(CE76+CF76)*BJ76),0)</f>
        <v>17505</v>
      </c>
      <c r="BK52" s="195">
        <f>ROUND((B52/(CE76+CF76)*BK76),0)</f>
        <v>49215</v>
      </c>
      <c r="BL52" s="195">
        <f>ROUND((B52/(CE76+CF76)*BL76),0)</f>
        <v>91270</v>
      </c>
      <c r="BM52" s="195">
        <f>ROUND((B52/(CE76+CF76)*BM76),0)</f>
        <v>0</v>
      </c>
      <c r="BN52" s="195">
        <f>ROUND((B52/(CE76+CF76)*BN76),0)</f>
        <v>122700</v>
      </c>
      <c r="BO52" s="195">
        <f>ROUND((B52/(CE76+CF76)*BO76),0)</f>
        <v>0</v>
      </c>
      <c r="BP52" s="195">
        <f>ROUND((B52/(CE76+CF76)*BP76),0)</f>
        <v>2348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32756</v>
      </c>
      <c r="BW52" s="195">
        <f>ROUND((B52/(CE76+CF76)*BW76),0)</f>
        <v>0</v>
      </c>
      <c r="BX52" s="195">
        <f>ROUND((B52/(CE76+CF76)*BX76),0)</f>
        <v>1999</v>
      </c>
      <c r="BY52" s="195">
        <f>ROUND((B52/(CE76+CF76)*BY76),0)</f>
        <v>6021</v>
      </c>
      <c r="BZ52" s="195">
        <f>ROUND((B52/(CE76+CF76)*BZ76),0)</f>
        <v>0</v>
      </c>
      <c r="CA52" s="195">
        <f>ROUND((B52/(CE76+CF76)*CA76),0)</f>
        <v>5510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1806653</v>
      </c>
    </row>
    <row r="53" spans="1:84" ht="12.6" customHeight="1" x14ac:dyDescent="0.25">
      <c r="A53" s="175" t="s">
        <v>206</v>
      </c>
      <c r="B53" s="195">
        <f>B51+B52</f>
        <v>1806653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929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947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420</v>
      </c>
      <c r="F59" s="184"/>
      <c r="G59" s="184"/>
      <c r="H59" s="184"/>
      <c r="I59" s="184"/>
      <c r="J59" s="184"/>
      <c r="K59" s="184">
        <f>4107+9580</f>
        <v>13687</v>
      </c>
      <c r="L59" s="184">
        <v>4962</v>
      </c>
      <c r="M59" s="184"/>
      <c r="N59" s="184"/>
      <c r="O59" s="184"/>
      <c r="P59" s="185"/>
      <c r="Q59" s="185"/>
      <c r="R59" s="185"/>
      <c r="S59" s="244"/>
      <c r="T59" s="244"/>
      <c r="U59" s="220">
        <v>125048</v>
      </c>
      <c r="V59" s="185"/>
      <c r="W59" s="278"/>
      <c r="X59" s="278"/>
      <c r="Y59" s="278"/>
      <c r="Z59" s="185"/>
      <c r="AA59" s="185"/>
      <c r="AB59" s="244"/>
      <c r="AC59" s="185"/>
      <c r="AD59" s="185"/>
      <c r="AE59" s="185">
        <v>21769</v>
      </c>
      <c r="AF59" s="185"/>
      <c r="AG59" s="185">
        <v>5160</v>
      </c>
      <c r="AH59" s="185"/>
      <c r="AI59" s="185">
        <v>160</v>
      </c>
      <c r="AJ59" s="278"/>
      <c r="AK59" s="185">
        <v>8139</v>
      </c>
      <c r="AL59" s="185">
        <v>1941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4"/>
      <c r="AW59" s="244"/>
      <c r="AX59" s="244"/>
      <c r="AY59" s="278">
        <v>67175</v>
      </c>
      <c r="AZ59" s="185"/>
      <c r="BA59" s="244"/>
      <c r="BB59" s="244"/>
      <c r="BC59" s="244"/>
      <c r="BD59" s="244"/>
      <c r="BE59" s="278">
        <v>77714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/>
      <c r="D60" s="187"/>
      <c r="E60" s="187">
        <v>0</v>
      </c>
      <c r="F60" s="219"/>
      <c r="G60" s="187"/>
      <c r="H60" s="187"/>
      <c r="I60" s="187"/>
      <c r="J60" s="219"/>
      <c r="K60" s="187">
        <f>12.93+9.52</f>
        <v>22.45</v>
      </c>
      <c r="L60" s="187">
        <v>20.37</v>
      </c>
      <c r="M60" s="187"/>
      <c r="N60" s="187"/>
      <c r="O60" s="187"/>
      <c r="P60" s="217"/>
      <c r="Q60" s="217"/>
      <c r="R60" s="217"/>
      <c r="S60" s="217">
        <v>1.21</v>
      </c>
      <c r="T60" s="217"/>
      <c r="U60" s="217">
        <v>6.37</v>
      </c>
      <c r="V60" s="217"/>
      <c r="W60" s="217">
        <v>0.04</v>
      </c>
      <c r="X60" s="217">
        <v>0.55000000000000004</v>
      </c>
      <c r="Y60" s="217">
        <v>4.18</v>
      </c>
      <c r="Z60" s="217"/>
      <c r="AA60" s="217"/>
      <c r="AB60" s="217"/>
      <c r="AC60" s="217"/>
      <c r="AD60" s="217"/>
      <c r="AE60" s="217"/>
      <c r="AF60" s="217"/>
      <c r="AG60" s="217">
        <v>11.57</v>
      </c>
      <c r="AH60" s="217"/>
      <c r="AI60" s="217"/>
      <c r="AJ60" s="217">
        <v>16.3</v>
      </c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>
        <v>3.02</v>
      </c>
      <c r="AW60" s="217"/>
      <c r="AX60" s="217"/>
      <c r="AY60" s="217">
        <v>10.73</v>
      </c>
      <c r="AZ60" s="217"/>
      <c r="BA60" s="217">
        <v>2.82</v>
      </c>
      <c r="BB60" s="217">
        <v>2.08</v>
      </c>
      <c r="BC60" s="217"/>
      <c r="BD60" s="217">
        <v>0.83</v>
      </c>
      <c r="BE60" s="217">
        <v>4.07</v>
      </c>
      <c r="BF60" s="217">
        <v>9.11</v>
      </c>
      <c r="BG60" s="217"/>
      <c r="BH60" s="217">
        <v>2.88</v>
      </c>
      <c r="BI60" s="217"/>
      <c r="BJ60" s="217">
        <v>2.04</v>
      </c>
      <c r="BK60" s="217">
        <v>6.77</v>
      </c>
      <c r="BL60" s="217">
        <v>4.09</v>
      </c>
      <c r="BM60" s="217"/>
      <c r="BN60" s="217">
        <v>2</v>
      </c>
      <c r="BO60" s="217"/>
      <c r="BP60" s="217">
        <v>1</v>
      </c>
      <c r="BQ60" s="217"/>
      <c r="BR60" s="217">
        <v>1.02</v>
      </c>
      <c r="BS60" s="217"/>
      <c r="BT60" s="217"/>
      <c r="BU60" s="217"/>
      <c r="BV60" s="217">
        <v>2.61</v>
      </c>
      <c r="BW60" s="217"/>
      <c r="BX60" s="217">
        <v>0.66</v>
      </c>
      <c r="BY60" s="217">
        <v>2.48</v>
      </c>
      <c r="BZ60" s="217"/>
      <c r="CA60" s="217">
        <v>1</v>
      </c>
      <c r="CB60" s="217"/>
      <c r="CC60" s="217"/>
      <c r="CD60" s="245" t="s">
        <v>221</v>
      </c>
      <c r="CE60" s="247">
        <f t="shared" ref="CE60:CE70" si="0">SUM(C60:CD60)</f>
        <v>142.24999999999997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0</v>
      </c>
      <c r="F61" s="185"/>
      <c r="G61" s="184"/>
      <c r="H61" s="184"/>
      <c r="I61" s="185"/>
      <c r="J61" s="185"/>
      <c r="K61" s="185">
        <f>718681+483061</f>
        <v>1201742</v>
      </c>
      <c r="L61" s="185">
        <v>1250863</v>
      </c>
      <c r="M61" s="184"/>
      <c r="N61" s="184"/>
      <c r="O61" s="184"/>
      <c r="P61" s="185"/>
      <c r="Q61" s="185"/>
      <c r="R61" s="185"/>
      <c r="S61" s="185">
        <v>50872</v>
      </c>
      <c r="T61" s="185"/>
      <c r="U61" s="185">
        <v>358087</v>
      </c>
      <c r="V61" s="185"/>
      <c r="W61" s="185">
        <v>2696</v>
      </c>
      <c r="X61" s="185">
        <v>45080</v>
      </c>
      <c r="Y61" s="185">
        <v>328780</v>
      </c>
      <c r="Z61" s="185"/>
      <c r="AA61" s="185"/>
      <c r="AB61" s="185"/>
      <c r="AC61" s="185"/>
      <c r="AD61" s="185"/>
      <c r="AE61" s="185"/>
      <c r="AF61" s="185"/>
      <c r="AG61" s="185">
        <v>785005</v>
      </c>
      <c r="AH61" s="185"/>
      <c r="AI61" s="185"/>
      <c r="AJ61" s="185">
        <v>1505476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100420</v>
      </c>
      <c r="AW61" s="185"/>
      <c r="AX61" s="185"/>
      <c r="AY61" s="185">
        <v>367077</v>
      </c>
      <c r="AZ61" s="185"/>
      <c r="BA61" s="185">
        <v>87163</v>
      </c>
      <c r="BB61" s="185">
        <v>120995</v>
      </c>
      <c r="BC61" s="185"/>
      <c r="BD61" s="185">
        <v>45988</v>
      </c>
      <c r="BE61" s="185">
        <v>183266</v>
      </c>
      <c r="BF61" s="185">
        <v>307104</v>
      </c>
      <c r="BG61" s="185">
        <v>1444</v>
      </c>
      <c r="BH61" s="185">
        <v>215159</v>
      </c>
      <c r="BI61" s="185"/>
      <c r="BJ61" s="185">
        <v>187216</v>
      </c>
      <c r="BK61" s="185">
        <v>362714</v>
      </c>
      <c r="BL61" s="185">
        <v>158029</v>
      </c>
      <c r="BM61" s="185"/>
      <c r="BN61" s="185">
        <v>203674</v>
      </c>
      <c r="BO61" s="185"/>
      <c r="BP61" s="185">
        <v>66340</v>
      </c>
      <c r="BQ61" s="185"/>
      <c r="BR61" s="185">
        <v>96803</v>
      </c>
      <c r="BS61" s="185"/>
      <c r="BT61" s="185"/>
      <c r="BU61" s="185"/>
      <c r="BV61" s="185">
        <v>151123</v>
      </c>
      <c r="BW61" s="185"/>
      <c r="BX61" s="185">
        <v>45306</v>
      </c>
      <c r="BY61" s="185">
        <v>201649</v>
      </c>
      <c r="BZ61" s="185"/>
      <c r="CA61" s="185">
        <v>92492</v>
      </c>
      <c r="CB61" s="185"/>
      <c r="CC61" s="185"/>
      <c r="CD61" s="245" t="s">
        <v>221</v>
      </c>
      <c r="CE61" s="195">
        <f t="shared" si="0"/>
        <v>8522563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313038</v>
      </c>
      <c r="L62" s="195">
        <f t="shared" si="1"/>
        <v>325834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13252</v>
      </c>
      <c r="T62" s="195">
        <f t="shared" si="1"/>
        <v>0</v>
      </c>
      <c r="U62" s="195">
        <f t="shared" si="1"/>
        <v>93277</v>
      </c>
      <c r="V62" s="195">
        <f t="shared" si="1"/>
        <v>0</v>
      </c>
      <c r="W62" s="195">
        <f t="shared" si="1"/>
        <v>702</v>
      </c>
      <c r="X62" s="195">
        <f t="shared" si="1"/>
        <v>11743</v>
      </c>
      <c r="Y62" s="195">
        <f t="shared" si="1"/>
        <v>85643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204484</v>
      </c>
      <c r="AH62" s="195">
        <f t="shared" si="1"/>
        <v>0</v>
      </c>
      <c r="AI62" s="195">
        <f t="shared" si="1"/>
        <v>0</v>
      </c>
      <c r="AJ62" s="195">
        <f t="shared" si="1"/>
        <v>392158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26158</v>
      </c>
      <c r="AW62" s="195">
        <f t="shared" si="1"/>
        <v>0</v>
      </c>
      <c r="AX62" s="195">
        <f t="shared" si="1"/>
        <v>0</v>
      </c>
      <c r="AY62" s="195">
        <f>ROUND(AY47+AY48,0)</f>
        <v>95619</v>
      </c>
      <c r="AZ62" s="195">
        <f>ROUND(AZ47+AZ48,0)</f>
        <v>0</v>
      </c>
      <c r="BA62" s="195">
        <f>ROUND(BA47+BA48,0)</f>
        <v>22705</v>
      </c>
      <c r="BB62" s="195">
        <f t="shared" si="1"/>
        <v>31518</v>
      </c>
      <c r="BC62" s="195">
        <f t="shared" si="1"/>
        <v>0</v>
      </c>
      <c r="BD62" s="195">
        <f t="shared" si="1"/>
        <v>11979</v>
      </c>
      <c r="BE62" s="195">
        <f t="shared" si="1"/>
        <v>47739</v>
      </c>
      <c r="BF62" s="195">
        <f t="shared" si="1"/>
        <v>79997</v>
      </c>
      <c r="BG62" s="195">
        <f t="shared" si="1"/>
        <v>376</v>
      </c>
      <c r="BH62" s="195">
        <f t="shared" si="1"/>
        <v>56046</v>
      </c>
      <c r="BI62" s="195">
        <f t="shared" si="1"/>
        <v>0</v>
      </c>
      <c r="BJ62" s="195">
        <f t="shared" si="1"/>
        <v>48767</v>
      </c>
      <c r="BK62" s="195">
        <f t="shared" si="1"/>
        <v>94483</v>
      </c>
      <c r="BL62" s="195">
        <f t="shared" si="1"/>
        <v>41165</v>
      </c>
      <c r="BM62" s="195">
        <f t="shared" si="1"/>
        <v>0</v>
      </c>
      <c r="BN62" s="195">
        <f t="shared" si="1"/>
        <v>53055</v>
      </c>
      <c r="BO62" s="195">
        <f t="shared" ref="BO62:CC62" si="2">ROUND(BO47+BO48,0)</f>
        <v>0</v>
      </c>
      <c r="BP62" s="195">
        <f t="shared" si="2"/>
        <v>17281</v>
      </c>
      <c r="BQ62" s="195">
        <f t="shared" si="2"/>
        <v>0</v>
      </c>
      <c r="BR62" s="195">
        <f t="shared" si="2"/>
        <v>25216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39366</v>
      </c>
      <c r="BW62" s="195">
        <f t="shared" si="2"/>
        <v>0</v>
      </c>
      <c r="BX62" s="195">
        <f t="shared" si="2"/>
        <v>11802</v>
      </c>
      <c r="BY62" s="195">
        <f t="shared" si="2"/>
        <v>52527</v>
      </c>
      <c r="BZ62" s="195">
        <f t="shared" si="2"/>
        <v>0</v>
      </c>
      <c r="CA62" s="195">
        <f t="shared" si="2"/>
        <v>24093</v>
      </c>
      <c r="CB62" s="195">
        <f t="shared" si="2"/>
        <v>0</v>
      </c>
      <c r="CC62" s="195">
        <f t="shared" si="2"/>
        <v>0</v>
      </c>
      <c r="CD62" s="245" t="s">
        <v>221</v>
      </c>
      <c r="CE62" s="195">
        <f t="shared" si="0"/>
        <v>2220023</v>
      </c>
      <c r="CF62" s="248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>
        <f>43045+17780</f>
        <v>60825</v>
      </c>
      <c r="L63" s="185">
        <v>169256</v>
      </c>
      <c r="M63" s="184"/>
      <c r="N63" s="184"/>
      <c r="O63" s="184"/>
      <c r="P63" s="185"/>
      <c r="Q63" s="185"/>
      <c r="R63" s="185"/>
      <c r="S63" s="185"/>
      <c r="T63" s="185"/>
      <c r="U63" s="185">
        <v>114601</v>
      </c>
      <c r="V63" s="185"/>
      <c r="W63" s="185"/>
      <c r="X63" s="185"/>
      <c r="Y63" s="185">
        <v>278696</v>
      </c>
      <c r="Z63" s="185"/>
      <c r="AA63" s="185"/>
      <c r="AB63" s="185">
        <v>178428</v>
      </c>
      <c r="AC63" s="185"/>
      <c r="AD63" s="185"/>
      <c r="AE63" s="185">
        <v>747629</v>
      </c>
      <c r="AF63" s="185"/>
      <c r="AG63" s="185">
        <f>27881+1451256</f>
        <v>1479137</v>
      </c>
      <c r="AH63" s="185"/>
      <c r="AI63" s="185"/>
      <c r="AJ63" s="185">
        <v>368</v>
      </c>
      <c r="AK63" s="185">
        <v>273604</v>
      </c>
      <c r="AL63" s="185">
        <v>153334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35644</v>
      </c>
      <c r="AZ63" s="185"/>
      <c r="BA63" s="185"/>
      <c r="BB63" s="185"/>
      <c r="BC63" s="185"/>
      <c r="BD63" s="185"/>
      <c r="BE63" s="185"/>
      <c r="BF63" s="185"/>
      <c r="BG63" s="185"/>
      <c r="BH63" s="185">
        <v>65</v>
      </c>
      <c r="BI63" s="185"/>
      <c r="BJ63" s="185">
        <v>78051</v>
      </c>
      <c r="BK63" s="185">
        <v>64545</v>
      </c>
      <c r="BL63" s="185"/>
      <c r="BM63" s="185"/>
      <c r="BN63" s="185">
        <v>116671</v>
      </c>
      <c r="BO63" s="185"/>
      <c r="BP63" s="185"/>
      <c r="BQ63" s="185"/>
      <c r="BR63" s="185">
        <v>4486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5" t="s">
        <v>221</v>
      </c>
      <c r="CE63" s="195">
        <f t="shared" si="0"/>
        <v>3755340</v>
      </c>
      <c r="CF63" s="248"/>
    </row>
    <row r="64" spans="1:84" ht="12.6" customHeight="1" x14ac:dyDescent="0.25">
      <c r="A64" s="171" t="s">
        <v>237</v>
      </c>
      <c r="B64" s="175"/>
      <c r="C64" s="184"/>
      <c r="D64" s="184"/>
      <c r="E64" s="185">
        <v>12989</v>
      </c>
      <c r="F64" s="185"/>
      <c r="G64" s="184"/>
      <c r="H64" s="184"/>
      <c r="I64" s="185"/>
      <c r="J64" s="185"/>
      <c r="K64" s="185">
        <f>22837+8254</f>
        <v>31091</v>
      </c>
      <c r="L64" s="185">
        <v>51175</v>
      </c>
      <c r="M64" s="184"/>
      <c r="N64" s="184"/>
      <c r="O64" s="184"/>
      <c r="P64" s="185"/>
      <c r="Q64" s="185"/>
      <c r="R64" s="185"/>
      <c r="S64" s="185">
        <v>21634</v>
      </c>
      <c r="T64" s="185">
        <v>1198</v>
      </c>
      <c r="U64" s="185">
        <f>294348+6880</f>
        <v>301228</v>
      </c>
      <c r="V64" s="185"/>
      <c r="W64" s="185"/>
      <c r="X64" s="185">
        <v>13144</v>
      </c>
      <c r="Y64" s="185">
        <v>4529</v>
      </c>
      <c r="Z64" s="185"/>
      <c r="AA64" s="185"/>
      <c r="AB64" s="185">
        <f>129023+90046</f>
        <v>219069</v>
      </c>
      <c r="AC64" s="185"/>
      <c r="AD64" s="185"/>
      <c r="AE64" s="185">
        <v>6210</v>
      </c>
      <c r="AF64" s="185"/>
      <c r="AG64" s="185">
        <v>45247</v>
      </c>
      <c r="AH64" s="185"/>
      <c r="AI64" s="185"/>
      <c r="AJ64" s="185">
        <v>86504</v>
      </c>
      <c r="AK64" s="185">
        <v>3821</v>
      </c>
      <c r="AL64" s="185">
        <v>2758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4222</v>
      </c>
      <c r="AW64" s="185"/>
      <c r="AX64" s="185"/>
      <c r="AY64" s="185">
        <v>256202</v>
      </c>
      <c r="AZ64" s="185"/>
      <c r="BA64" s="185">
        <v>17054</v>
      </c>
      <c r="BB64" s="185">
        <v>161</v>
      </c>
      <c r="BC64" s="185"/>
      <c r="BD64" s="185">
        <v>7208</v>
      </c>
      <c r="BE64" s="185">
        <v>25232</v>
      </c>
      <c r="BF64" s="185">
        <v>27083</v>
      </c>
      <c r="BG64" s="185">
        <v>1433</v>
      </c>
      <c r="BH64" s="185">
        <v>17868</v>
      </c>
      <c r="BI64" s="185">
        <v>41475</v>
      </c>
      <c r="BJ64" s="185">
        <v>10308</v>
      </c>
      <c r="BK64" s="185">
        <v>3192</v>
      </c>
      <c r="BL64" s="185">
        <v>1718</v>
      </c>
      <c r="BM64" s="185"/>
      <c r="BN64" s="185">
        <v>1355</v>
      </c>
      <c r="BO64" s="185"/>
      <c r="BP64" s="185">
        <v>603</v>
      </c>
      <c r="BQ64" s="185"/>
      <c r="BR64" s="185">
        <v>859</v>
      </c>
      <c r="BS64" s="185"/>
      <c r="BT64" s="185"/>
      <c r="BU64" s="185"/>
      <c r="BV64" s="185">
        <v>566</v>
      </c>
      <c r="BW64" s="185">
        <v>1</v>
      </c>
      <c r="BX64" s="185">
        <v>30</v>
      </c>
      <c r="BY64" s="185">
        <v>1882</v>
      </c>
      <c r="BZ64" s="185"/>
      <c r="CA64" s="185">
        <v>5441</v>
      </c>
      <c r="CB64" s="185"/>
      <c r="CC64" s="185"/>
      <c r="CD64" s="245" t="s">
        <v>221</v>
      </c>
      <c r="CE64" s="195">
        <f t="shared" si="0"/>
        <v>1224490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154200</v>
      </c>
      <c r="BF65" s="185"/>
      <c r="BG65" s="185"/>
      <c r="BH65" s="185">
        <v>31521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5" t="s">
        <v>221</v>
      </c>
      <c r="CE65" s="195">
        <f t="shared" si="0"/>
        <v>185721</v>
      </c>
      <c r="CF65" s="248"/>
    </row>
    <row r="66" spans="1:84" ht="12.6" customHeight="1" x14ac:dyDescent="0.25">
      <c r="A66" s="171" t="s">
        <v>239</v>
      </c>
      <c r="B66" s="175"/>
      <c r="C66" s="184"/>
      <c r="D66" s="184"/>
      <c r="E66" s="184">
        <v>7575</v>
      </c>
      <c r="F66" s="184"/>
      <c r="G66" s="184"/>
      <c r="H66" s="184"/>
      <c r="I66" s="184"/>
      <c r="J66" s="184"/>
      <c r="K66" s="185">
        <f>3412+4349</f>
        <v>7761</v>
      </c>
      <c r="L66" s="185">
        <v>16910</v>
      </c>
      <c r="M66" s="184"/>
      <c r="N66" s="184"/>
      <c r="O66" s="185"/>
      <c r="P66" s="185"/>
      <c r="Q66" s="185"/>
      <c r="R66" s="185"/>
      <c r="S66" s="184"/>
      <c r="T66" s="184">
        <v>432</v>
      </c>
      <c r="U66" s="185">
        <f>29156+7921</f>
        <v>37077</v>
      </c>
      <c r="V66" s="185"/>
      <c r="W66" s="185">
        <v>108371</v>
      </c>
      <c r="X66" s="185">
        <v>92369</v>
      </c>
      <c r="Y66" s="185">
        <v>101532</v>
      </c>
      <c r="Z66" s="185"/>
      <c r="AA66" s="185"/>
      <c r="AB66" s="185">
        <f>8173+190344</f>
        <v>198517</v>
      </c>
      <c r="AC66" s="185"/>
      <c r="AD66" s="185"/>
      <c r="AE66" s="185"/>
      <c r="AF66" s="185"/>
      <c r="AG66" s="185">
        <v>8492</v>
      </c>
      <c r="AH66" s="185"/>
      <c r="AI66" s="185"/>
      <c r="AJ66" s="185">
        <v>130668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900</v>
      </c>
      <c r="AZ66" s="185"/>
      <c r="BA66" s="185"/>
      <c r="BB66" s="185"/>
      <c r="BC66" s="185"/>
      <c r="BD66" s="185"/>
      <c r="BE66" s="185">
        <v>41277</v>
      </c>
      <c r="BF66" s="185"/>
      <c r="BG66" s="185">
        <v>35796</v>
      </c>
      <c r="BH66" s="185">
        <v>404232</v>
      </c>
      <c r="BI66" s="185"/>
      <c r="BJ66" s="185">
        <v>9395</v>
      </c>
      <c r="BK66" s="185">
        <v>43014</v>
      </c>
      <c r="BL66" s="185"/>
      <c r="BM66" s="185"/>
      <c r="BN66" s="185">
        <v>371</v>
      </c>
      <c r="BO66" s="185"/>
      <c r="BP66" s="185">
        <v>45204</v>
      </c>
      <c r="BQ66" s="185"/>
      <c r="BR66" s="185">
        <v>11209</v>
      </c>
      <c r="BS66" s="185"/>
      <c r="BT66" s="185"/>
      <c r="BU66" s="185"/>
      <c r="BV66" s="185">
        <v>37967</v>
      </c>
      <c r="BW66" s="185"/>
      <c r="BX66" s="185">
        <v>2145</v>
      </c>
      <c r="BY66" s="185"/>
      <c r="BZ66" s="185"/>
      <c r="CA66" s="185"/>
      <c r="CB66" s="185"/>
      <c r="CC66" s="185"/>
      <c r="CD66" s="245" t="s">
        <v>221</v>
      </c>
      <c r="CE66" s="195">
        <f t="shared" si="0"/>
        <v>1341214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320141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396485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17459</v>
      </c>
      <c r="T67" s="195">
        <f t="shared" si="3"/>
        <v>0</v>
      </c>
      <c r="U67" s="195">
        <f t="shared" si="3"/>
        <v>27502</v>
      </c>
      <c r="V67" s="195">
        <f t="shared" si="3"/>
        <v>0</v>
      </c>
      <c r="W67" s="195">
        <f t="shared" si="3"/>
        <v>0</v>
      </c>
      <c r="X67" s="195">
        <f t="shared" si="3"/>
        <v>11879</v>
      </c>
      <c r="Y67" s="195">
        <f t="shared" si="3"/>
        <v>32291</v>
      </c>
      <c r="Z67" s="195">
        <f t="shared" si="3"/>
        <v>0</v>
      </c>
      <c r="AA67" s="195">
        <f t="shared" si="3"/>
        <v>0</v>
      </c>
      <c r="AB67" s="195">
        <f t="shared" si="3"/>
        <v>8625</v>
      </c>
      <c r="AC67" s="195">
        <f t="shared" si="3"/>
        <v>0</v>
      </c>
      <c r="AD67" s="195">
        <f t="shared" si="3"/>
        <v>0</v>
      </c>
      <c r="AE67" s="195">
        <f t="shared" si="3"/>
        <v>66929</v>
      </c>
      <c r="AF67" s="195">
        <f t="shared" si="3"/>
        <v>0</v>
      </c>
      <c r="AG67" s="195">
        <f t="shared" si="3"/>
        <v>67511</v>
      </c>
      <c r="AH67" s="195">
        <f t="shared" si="3"/>
        <v>0</v>
      </c>
      <c r="AI67" s="195">
        <f t="shared" si="3"/>
        <v>0</v>
      </c>
      <c r="AJ67" s="195">
        <f t="shared" si="3"/>
        <v>128861</v>
      </c>
      <c r="AK67" s="195">
        <f t="shared" si="3"/>
        <v>15343</v>
      </c>
      <c r="AL67" s="195">
        <f t="shared" si="3"/>
        <v>2092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43752</v>
      </c>
      <c r="AW67" s="195">
        <f t="shared" si="3"/>
        <v>0</v>
      </c>
      <c r="AX67" s="195">
        <f t="shared" si="3"/>
        <v>0</v>
      </c>
      <c r="AY67" s="195">
        <f t="shared" si="3"/>
        <v>31384</v>
      </c>
      <c r="AZ67" s="195">
        <f>ROUND(AZ51+AZ52,0)</f>
        <v>68929</v>
      </c>
      <c r="BA67" s="195">
        <f>ROUND(BA51+BA52,0)</f>
        <v>32546</v>
      </c>
      <c r="BB67" s="195">
        <f t="shared" si="3"/>
        <v>2092</v>
      </c>
      <c r="BC67" s="195">
        <f t="shared" si="3"/>
        <v>0</v>
      </c>
      <c r="BD67" s="195">
        <f t="shared" si="3"/>
        <v>56677</v>
      </c>
      <c r="BE67" s="195">
        <f t="shared" si="3"/>
        <v>83784</v>
      </c>
      <c r="BF67" s="195">
        <f t="shared" si="3"/>
        <v>35569</v>
      </c>
      <c r="BG67" s="195">
        <f t="shared" si="3"/>
        <v>0</v>
      </c>
      <c r="BH67" s="195">
        <f t="shared" si="3"/>
        <v>27478</v>
      </c>
      <c r="BI67" s="195">
        <f t="shared" si="3"/>
        <v>0</v>
      </c>
      <c r="BJ67" s="195">
        <f t="shared" si="3"/>
        <v>17505</v>
      </c>
      <c r="BK67" s="195">
        <f t="shared" si="3"/>
        <v>49215</v>
      </c>
      <c r="BL67" s="195">
        <f t="shared" si="3"/>
        <v>91270</v>
      </c>
      <c r="BM67" s="195">
        <f t="shared" si="3"/>
        <v>0</v>
      </c>
      <c r="BN67" s="195">
        <f t="shared" si="3"/>
        <v>122700</v>
      </c>
      <c r="BO67" s="195">
        <f t="shared" si="3"/>
        <v>0</v>
      </c>
      <c r="BP67" s="195">
        <f t="shared" si="3"/>
        <v>2348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32756</v>
      </c>
      <c r="BW67" s="195">
        <f t="shared" si="4"/>
        <v>0</v>
      </c>
      <c r="BX67" s="195">
        <f t="shared" si="4"/>
        <v>1999</v>
      </c>
      <c r="BY67" s="195">
        <f t="shared" si="4"/>
        <v>6021</v>
      </c>
      <c r="BZ67" s="195">
        <f t="shared" si="4"/>
        <v>0</v>
      </c>
      <c r="CA67" s="195">
        <f t="shared" si="4"/>
        <v>5510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1806653</v>
      </c>
      <c r="CF67" s="248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>
        <v>8092</v>
      </c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1486</v>
      </c>
      <c r="BF68" s="185"/>
      <c r="BG68" s="185"/>
      <c r="BH68" s="185">
        <v>36873</v>
      </c>
      <c r="BI68" s="185"/>
      <c r="BJ68" s="185"/>
      <c r="BK68" s="185">
        <v>3625</v>
      </c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5" t="s">
        <v>221</v>
      </c>
      <c r="CE68" s="195">
        <f t="shared" si="0"/>
        <v>50076</v>
      </c>
      <c r="CF68" s="248"/>
    </row>
    <row r="69" spans="1:84" ht="12.6" customHeight="1" x14ac:dyDescent="0.25">
      <c r="A69" s="171" t="s">
        <v>241</v>
      </c>
      <c r="B69" s="175"/>
      <c r="C69" s="184"/>
      <c r="D69" s="184"/>
      <c r="E69" s="185">
        <v>416</v>
      </c>
      <c r="F69" s="185"/>
      <c r="G69" s="184"/>
      <c r="H69" s="184"/>
      <c r="I69" s="185"/>
      <c r="J69" s="185"/>
      <c r="K69" s="185">
        <f>1257+168</f>
        <v>1425</v>
      </c>
      <c r="L69" s="185">
        <v>1239</v>
      </c>
      <c r="M69" s="184"/>
      <c r="N69" s="184"/>
      <c r="O69" s="184"/>
      <c r="P69" s="185"/>
      <c r="Q69" s="185"/>
      <c r="R69" s="220"/>
      <c r="S69" s="185">
        <v>100</v>
      </c>
      <c r="T69" s="184"/>
      <c r="U69" s="185">
        <f>15708+413</f>
        <v>16121</v>
      </c>
      <c r="V69" s="185"/>
      <c r="W69" s="184"/>
      <c r="X69" s="185">
        <v>1000</v>
      </c>
      <c r="Y69" s="185">
        <v>127</v>
      </c>
      <c r="Z69" s="185"/>
      <c r="AA69" s="185"/>
      <c r="AB69" s="185">
        <v>866</v>
      </c>
      <c r="AC69" s="185"/>
      <c r="AD69" s="185"/>
      <c r="AE69" s="185"/>
      <c r="AF69" s="185"/>
      <c r="AG69" s="185">
        <v>4735</v>
      </c>
      <c r="AH69" s="185"/>
      <c r="AI69" s="185"/>
      <c r="AJ69" s="185">
        <v>31561</v>
      </c>
      <c r="AK69" s="185"/>
      <c r="AL69" s="185">
        <v>195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1242</v>
      </c>
      <c r="AW69" s="185"/>
      <c r="AX69" s="185"/>
      <c r="AY69" s="185">
        <v>438</v>
      </c>
      <c r="AZ69" s="185"/>
      <c r="BA69" s="185"/>
      <c r="BB69" s="185">
        <v>650</v>
      </c>
      <c r="BC69" s="185"/>
      <c r="BD69" s="185">
        <v>615</v>
      </c>
      <c r="BE69" s="185">
        <v>543</v>
      </c>
      <c r="BF69" s="185"/>
      <c r="BG69" s="185">
        <v>1505</v>
      </c>
      <c r="BH69" s="220">
        <v>1113</v>
      </c>
      <c r="BI69" s="185"/>
      <c r="BJ69" s="185">
        <v>2543</v>
      </c>
      <c r="BK69" s="185">
        <v>35041</v>
      </c>
      <c r="BL69" s="185">
        <v>31</v>
      </c>
      <c r="BM69" s="185"/>
      <c r="BN69" s="185">
        <v>92788</v>
      </c>
      <c r="BO69" s="185"/>
      <c r="BP69" s="185">
        <v>235</v>
      </c>
      <c r="BQ69" s="185"/>
      <c r="BR69" s="185">
        <f>4189-626</f>
        <v>3563</v>
      </c>
      <c r="BS69" s="185"/>
      <c r="BT69" s="185"/>
      <c r="BU69" s="185"/>
      <c r="BV69" s="185">
        <v>1851</v>
      </c>
      <c r="BW69" s="185">
        <v>1914</v>
      </c>
      <c r="BX69" s="185">
        <v>90</v>
      </c>
      <c r="BY69" s="185">
        <v>1927</v>
      </c>
      <c r="BZ69" s="185"/>
      <c r="CA69" s="185">
        <v>296</v>
      </c>
      <c r="CB69" s="185"/>
      <c r="CC69" s="185"/>
      <c r="CD69" s="188">
        <v>1035227</v>
      </c>
      <c r="CE69" s="195">
        <f t="shared" si="0"/>
        <v>1239397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>
        <v>1935</v>
      </c>
      <c r="T70" s="184"/>
      <c r="U70" s="185">
        <v>24795</v>
      </c>
      <c r="V70" s="184"/>
      <c r="W70" s="184"/>
      <c r="X70" s="185"/>
      <c r="Y70" s="185"/>
      <c r="Z70" s="185"/>
      <c r="AA70" s="185"/>
      <c r="AB70" s="185">
        <v>840805</v>
      </c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60558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>
        <v>38412</v>
      </c>
      <c r="BO70" s="185"/>
      <c r="BP70" s="185"/>
      <c r="BQ70" s="185"/>
      <c r="BR70" s="185"/>
      <c r="BS70" s="185"/>
      <c r="BT70" s="185"/>
      <c r="BU70" s="185"/>
      <c r="BV70" s="185">
        <v>5716</v>
      </c>
      <c r="BW70" s="185"/>
      <c r="BX70" s="185"/>
      <c r="BY70" s="185"/>
      <c r="BZ70" s="185"/>
      <c r="CA70" s="185"/>
      <c r="CB70" s="185"/>
      <c r="CC70" s="185"/>
      <c r="CD70" s="188">
        <f>1445165-972221</f>
        <v>472944</v>
      </c>
      <c r="CE70" s="195">
        <f t="shared" si="0"/>
        <v>1445165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341121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2012367</v>
      </c>
      <c r="L71" s="195">
        <f t="shared" si="5"/>
        <v>1815277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101382</v>
      </c>
      <c r="T71" s="195">
        <f t="shared" si="5"/>
        <v>1630</v>
      </c>
      <c r="U71" s="195">
        <f t="shared" si="5"/>
        <v>931190</v>
      </c>
      <c r="V71" s="195">
        <f t="shared" si="5"/>
        <v>0</v>
      </c>
      <c r="W71" s="195">
        <f t="shared" si="5"/>
        <v>111769</v>
      </c>
      <c r="X71" s="195">
        <f t="shared" si="5"/>
        <v>175215</v>
      </c>
      <c r="Y71" s="195">
        <f t="shared" si="5"/>
        <v>831598</v>
      </c>
      <c r="Z71" s="195">
        <f t="shared" si="5"/>
        <v>0</v>
      </c>
      <c r="AA71" s="195">
        <f t="shared" si="5"/>
        <v>0</v>
      </c>
      <c r="AB71" s="195">
        <f t="shared" si="5"/>
        <v>-235300</v>
      </c>
      <c r="AC71" s="195">
        <f t="shared" si="5"/>
        <v>0</v>
      </c>
      <c r="AD71" s="195">
        <f t="shared" si="5"/>
        <v>0</v>
      </c>
      <c r="AE71" s="195">
        <f t="shared" si="5"/>
        <v>820768</v>
      </c>
      <c r="AF71" s="195">
        <f t="shared" si="5"/>
        <v>0</v>
      </c>
      <c r="AG71" s="195">
        <f t="shared" si="5"/>
        <v>2594611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2275596</v>
      </c>
      <c r="AK71" s="195">
        <f t="shared" si="6"/>
        <v>292768</v>
      </c>
      <c r="AL71" s="195">
        <f t="shared" si="6"/>
        <v>158379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175794</v>
      </c>
      <c r="AW71" s="195">
        <f t="shared" si="6"/>
        <v>0</v>
      </c>
      <c r="AX71" s="195">
        <f t="shared" si="6"/>
        <v>0</v>
      </c>
      <c r="AY71" s="195">
        <f t="shared" si="6"/>
        <v>726706</v>
      </c>
      <c r="AZ71" s="195">
        <f t="shared" si="6"/>
        <v>68929</v>
      </c>
      <c r="BA71" s="195">
        <f t="shared" si="6"/>
        <v>159468</v>
      </c>
      <c r="BB71" s="195">
        <f t="shared" si="6"/>
        <v>155416</v>
      </c>
      <c r="BC71" s="195">
        <f t="shared" si="6"/>
        <v>0</v>
      </c>
      <c r="BD71" s="195">
        <f t="shared" si="6"/>
        <v>122467</v>
      </c>
      <c r="BE71" s="195">
        <f t="shared" si="6"/>
        <v>537527</v>
      </c>
      <c r="BF71" s="195">
        <f t="shared" si="6"/>
        <v>449753</v>
      </c>
      <c r="BG71" s="195">
        <f t="shared" si="6"/>
        <v>40554</v>
      </c>
      <c r="BH71" s="195">
        <f t="shared" si="6"/>
        <v>790355</v>
      </c>
      <c r="BI71" s="195">
        <f t="shared" si="6"/>
        <v>41475</v>
      </c>
      <c r="BJ71" s="195">
        <f t="shared" si="6"/>
        <v>353785</v>
      </c>
      <c r="BK71" s="195">
        <f t="shared" si="6"/>
        <v>655829</v>
      </c>
      <c r="BL71" s="195">
        <f t="shared" si="6"/>
        <v>292213</v>
      </c>
      <c r="BM71" s="195">
        <f t="shared" si="6"/>
        <v>0</v>
      </c>
      <c r="BN71" s="195">
        <f t="shared" si="6"/>
        <v>552202</v>
      </c>
      <c r="BO71" s="195">
        <f t="shared" si="6"/>
        <v>0</v>
      </c>
      <c r="BP71" s="195">
        <f t="shared" ref="BP71:CC71" si="7">SUM(BP61:BP69)-BP70</f>
        <v>132011</v>
      </c>
      <c r="BQ71" s="195">
        <f t="shared" si="7"/>
        <v>0</v>
      </c>
      <c r="BR71" s="195">
        <f t="shared" si="7"/>
        <v>142136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257913</v>
      </c>
      <c r="BW71" s="195">
        <f t="shared" si="7"/>
        <v>1915</v>
      </c>
      <c r="BX71" s="195">
        <f t="shared" si="7"/>
        <v>61372</v>
      </c>
      <c r="BY71" s="195">
        <f t="shared" si="7"/>
        <v>264006</v>
      </c>
      <c r="BZ71" s="195">
        <f t="shared" si="7"/>
        <v>0</v>
      </c>
      <c r="CA71" s="195">
        <f t="shared" si="7"/>
        <v>127832</v>
      </c>
      <c r="CB71" s="195">
        <f t="shared" si="7"/>
        <v>0</v>
      </c>
      <c r="CC71" s="195">
        <f t="shared" si="7"/>
        <v>0</v>
      </c>
      <c r="CD71" s="241">
        <f>CD69-CD70</f>
        <v>562283</v>
      </c>
      <c r="CE71" s="195">
        <f>SUM(CE61:CE69)-CE70</f>
        <v>18900312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>
        <v>522113</v>
      </c>
      <c r="CF72" s="248"/>
    </row>
    <row r="73" spans="1:84" ht="12.6" customHeight="1" x14ac:dyDescent="0.25">
      <c r="A73" s="171" t="s">
        <v>245</v>
      </c>
      <c r="B73" s="175"/>
      <c r="C73" s="184"/>
      <c r="D73" s="184"/>
      <c r="E73" s="185">
        <f>688473-2</f>
        <v>688471</v>
      </c>
      <c r="F73" s="185"/>
      <c r="G73" s="184"/>
      <c r="H73" s="184"/>
      <c r="I73" s="185"/>
      <c r="J73" s="185"/>
      <c r="K73" s="185">
        <f>1028841+984140</f>
        <v>2012981</v>
      </c>
      <c r="L73" s="185">
        <v>1494490</v>
      </c>
      <c r="M73" s="184"/>
      <c r="N73" s="184"/>
      <c r="O73" s="184"/>
      <c r="P73" s="185"/>
      <c r="Q73" s="185"/>
      <c r="R73" s="185"/>
      <c r="S73" s="185">
        <v>30317</v>
      </c>
      <c r="T73" s="185">
        <v>13183</v>
      </c>
      <c r="U73" s="185">
        <f>200614+3444</f>
        <v>204058</v>
      </c>
      <c r="V73" s="185">
        <v>2140</v>
      </c>
      <c r="W73" s="185">
        <v>22145</v>
      </c>
      <c r="X73" s="185">
        <v>54017</v>
      </c>
      <c r="Y73" s="185">
        <f>46585+27570</f>
        <v>74155</v>
      </c>
      <c r="Z73" s="185"/>
      <c r="AA73" s="185"/>
      <c r="AB73" s="185">
        <v>449533</v>
      </c>
      <c r="AC73" s="185"/>
      <c r="AD73" s="185"/>
      <c r="AE73" s="185">
        <v>296848</v>
      </c>
      <c r="AF73" s="185"/>
      <c r="AG73" s="185">
        <f>40010+12163</f>
        <v>52173</v>
      </c>
      <c r="AH73" s="185"/>
      <c r="AI73" s="185">
        <v>15121</v>
      </c>
      <c r="AJ73" s="185"/>
      <c r="AK73" s="185">
        <v>461142</v>
      </c>
      <c r="AL73" s="185">
        <v>99033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5969807</v>
      </c>
      <c r="CF73" s="248"/>
    </row>
    <row r="74" spans="1:84" ht="12.6" customHeight="1" x14ac:dyDescent="0.25">
      <c r="A74" s="171" t="s">
        <v>246</v>
      </c>
      <c r="B74" s="175"/>
      <c r="C74" s="184"/>
      <c r="D74" s="184"/>
      <c r="E74" s="185">
        <v>-16400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>
        <v>116526</v>
      </c>
      <c r="T74" s="185">
        <v>330799</v>
      </c>
      <c r="U74" s="185">
        <f>2716090+3318-1</f>
        <v>2719407</v>
      </c>
      <c r="V74" s="185">
        <v>93941</v>
      </c>
      <c r="W74" s="185">
        <v>473180</v>
      </c>
      <c r="X74" s="185">
        <v>1776858</v>
      </c>
      <c r="Y74" s="185">
        <f>1083715+731210</f>
        <v>1814925</v>
      </c>
      <c r="Z74" s="185"/>
      <c r="AA74" s="185"/>
      <c r="AB74" s="185">
        <v>304612</v>
      </c>
      <c r="AC74" s="185"/>
      <c r="AD74" s="185"/>
      <c r="AE74" s="185">
        <v>1347963</v>
      </c>
      <c r="AF74" s="185"/>
      <c r="AG74" s="185">
        <f>2960050+2028119</f>
        <v>4988169</v>
      </c>
      <c r="AH74" s="185"/>
      <c r="AI74" s="185">
        <v>431925</v>
      </c>
      <c r="AJ74" s="185">
        <v>3635248</v>
      </c>
      <c r="AK74" s="185">
        <v>155071</v>
      </c>
      <c r="AL74" s="185">
        <v>260993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18433217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672071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2012981</v>
      </c>
      <c r="L75" s="195">
        <f t="shared" si="9"/>
        <v>1494490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146843</v>
      </c>
      <c r="T75" s="195">
        <f t="shared" si="9"/>
        <v>343982</v>
      </c>
      <c r="U75" s="195">
        <f t="shared" si="9"/>
        <v>2923465</v>
      </c>
      <c r="V75" s="195">
        <f t="shared" si="9"/>
        <v>96081</v>
      </c>
      <c r="W75" s="195">
        <f t="shared" si="9"/>
        <v>495325</v>
      </c>
      <c r="X75" s="195">
        <f t="shared" si="9"/>
        <v>1830875</v>
      </c>
      <c r="Y75" s="195">
        <f t="shared" si="9"/>
        <v>1889080</v>
      </c>
      <c r="Z75" s="195">
        <f t="shared" si="9"/>
        <v>0</v>
      </c>
      <c r="AA75" s="195">
        <f t="shared" si="9"/>
        <v>0</v>
      </c>
      <c r="AB75" s="195">
        <f t="shared" si="9"/>
        <v>754145</v>
      </c>
      <c r="AC75" s="195">
        <f t="shared" si="9"/>
        <v>0</v>
      </c>
      <c r="AD75" s="195">
        <f t="shared" si="9"/>
        <v>0</v>
      </c>
      <c r="AE75" s="195">
        <f t="shared" si="9"/>
        <v>1644811</v>
      </c>
      <c r="AF75" s="195">
        <f t="shared" si="9"/>
        <v>0</v>
      </c>
      <c r="AG75" s="195">
        <f t="shared" si="9"/>
        <v>5040342</v>
      </c>
      <c r="AH75" s="195">
        <f t="shared" si="9"/>
        <v>0</v>
      </c>
      <c r="AI75" s="195">
        <f t="shared" si="9"/>
        <v>447046</v>
      </c>
      <c r="AJ75" s="195">
        <f t="shared" si="9"/>
        <v>3635248</v>
      </c>
      <c r="AK75" s="195">
        <f t="shared" si="9"/>
        <v>616213</v>
      </c>
      <c r="AL75" s="195">
        <f t="shared" si="9"/>
        <v>360026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24403024</v>
      </c>
      <c r="CF75" s="248"/>
    </row>
    <row r="76" spans="1:84" ht="12.6" customHeight="1" x14ac:dyDescent="0.25">
      <c r="A76" s="171" t="s">
        <v>248</v>
      </c>
      <c r="B76" s="175"/>
      <c r="C76" s="184"/>
      <c r="D76" s="184"/>
      <c r="E76" s="185">
        <f>9622+4149</f>
        <v>13771</v>
      </c>
      <c r="F76" s="185"/>
      <c r="G76" s="184"/>
      <c r="H76" s="184"/>
      <c r="I76" s="185"/>
      <c r="J76" s="185"/>
      <c r="K76" s="185">
        <f>3804+960+9799+2492</f>
        <v>17055</v>
      </c>
      <c r="L76" s="185"/>
      <c r="M76" s="185"/>
      <c r="N76" s="185"/>
      <c r="O76" s="185"/>
      <c r="P76" s="185"/>
      <c r="Q76" s="185"/>
      <c r="R76" s="185"/>
      <c r="S76" s="185">
        <v>751</v>
      </c>
      <c r="T76" s="185"/>
      <c r="U76" s="185">
        <v>1183</v>
      </c>
      <c r="V76" s="185"/>
      <c r="W76" s="185"/>
      <c r="X76" s="185">
        <v>511</v>
      </c>
      <c r="Y76" s="185">
        <f>1055+188+146</f>
        <v>1389</v>
      </c>
      <c r="Z76" s="185"/>
      <c r="AA76" s="185"/>
      <c r="AB76" s="185">
        <v>371</v>
      </c>
      <c r="AC76" s="185"/>
      <c r="AD76" s="185"/>
      <c r="AE76" s="185">
        <f>2702+177</f>
        <v>2879</v>
      </c>
      <c r="AF76" s="185"/>
      <c r="AG76" s="185">
        <f>1879+1025</f>
        <v>2904</v>
      </c>
      <c r="AH76" s="185"/>
      <c r="AI76" s="185"/>
      <c r="AJ76" s="185">
        <f>5421+122</f>
        <v>5543</v>
      </c>
      <c r="AK76" s="185">
        <v>660</v>
      </c>
      <c r="AL76" s="185">
        <v>90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1882</v>
      </c>
      <c r="AW76" s="185"/>
      <c r="AX76" s="185"/>
      <c r="AY76" s="185">
        <v>1350</v>
      </c>
      <c r="AZ76" s="185">
        <v>2965</v>
      </c>
      <c r="BA76" s="185">
        <v>1400</v>
      </c>
      <c r="BB76" s="185">
        <v>90</v>
      </c>
      <c r="BC76" s="185"/>
      <c r="BD76" s="185">
        <v>2438</v>
      </c>
      <c r="BE76" s="185">
        <v>3604</v>
      </c>
      <c r="BF76" s="185">
        <v>1530</v>
      </c>
      <c r="BG76" s="185"/>
      <c r="BH76" s="185">
        <v>1182</v>
      </c>
      <c r="BI76" s="185"/>
      <c r="BJ76" s="185">
        <v>753</v>
      </c>
      <c r="BK76" s="185">
        <v>2117</v>
      </c>
      <c r="BL76" s="185">
        <v>3926</v>
      </c>
      <c r="BM76" s="185"/>
      <c r="BN76" s="185">
        <f>1009+4383-114</f>
        <v>5278</v>
      </c>
      <c r="BO76" s="185"/>
      <c r="BP76" s="185">
        <v>101</v>
      </c>
      <c r="BQ76" s="185"/>
      <c r="BR76" s="185"/>
      <c r="BS76" s="185"/>
      <c r="BT76" s="185"/>
      <c r="BU76" s="185"/>
      <c r="BV76" s="185">
        <v>1409</v>
      </c>
      <c r="BW76" s="185"/>
      <c r="BX76" s="185">
        <v>86</v>
      </c>
      <c r="BY76" s="185">
        <v>259</v>
      </c>
      <c r="BZ76" s="185"/>
      <c r="CA76" s="185">
        <v>237</v>
      </c>
      <c r="CB76" s="185"/>
      <c r="CC76" s="185"/>
      <c r="CD76" s="245" t="s">
        <v>221</v>
      </c>
      <c r="CE76" s="195">
        <f t="shared" si="8"/>
        <v>77714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1714</v>
      </c>
      <c r="F77" s="184"/>
      <c r="G77" s="184"/>
      <c r="H77" s="184"/>
      <c r="I77" s="184"/>
      <c r="J77" s="184"/>
      <c r="K77" s="184">
        <f>12107+27449</f>
        <v>39556</v>
      </c>
      <c r="L77" s="184">
        <v>15275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5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279">
        <v>10624</v>
      </c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67174</v>
      </c>
      <c r="CF77" s="195">
        <f>AY59-CE77</f>
        <v>1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>
        <f>2179+2261</f>
        <v>4440</v>
      </c>
      <c r="L78" s="184">
        <v>3797</v>
      </c>
      <c r="M78" s="184"/>
      <c r="N78" s="184"/>
      <c r="O78" s="184"/>
      <c r="P78" s="184"/>
      <c r="Q78" s="184"/>
      <c r="R78" s="184"/>
      <c r="S78" s="184">
        <v>254</v>
      </c>
      <c r="T78" s="184"/>
      <c r="U78" s="184">
        <v>384</v>
      </c>
      <c r="V78" s="184"/>
      <c r="W78" s="184"/>
      <c r="X78" s="184">
        <v>519</v>
      </c>
      <c r="Y78" s="184">
        <v>468</v>
      </c>
      <c r="Z78" s="184"/>
      <c r="AA78" s="184"/>
      <c r="AB78" s="184"/>
      <c r="AC78" s="184"/>
      <c r="AD78" s="184"/>
      <c r="AE78" s="184">
        <v>251</v>
      </c>
      <c r="AF78" s="184"/>
      <c r="AG78" s="184">
        <f>2170+279</f>
        <v>2449</v>
      </c>
      <c r="AH78" s="184"/>
      <c r="AI78" s="184"/>
      <c r="AJ78" s="184">
        <v>1742</v>
      </c>
      <c r="AK78" s="184">
        <v>75</v>
      </c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256</v>
      </c>
      <c r="AW78" s="184"/>
      <c r="AX78" s="245" t="s">
        <v>221</v>
      </c>
      <c r="AY78" s="245" t="s">
        <v>221</v>
      </c>
      <c r="AZ78" s="245" t="s">
        <v>221</v>
      </c>
      <c r="BA78" s="184">
        <v>0</v>
      </c>
      <c r="BB78" s="184">
        <v>102</v>
      </c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/>
      <c r="BI78" s="184"/>
      <c r="BJ78" s="245" t="s">
        <v>221</v>
      </c>
      <c r="BK78" s="184">
        <f>67+334</f>
        <v>401</v>
      </c>
      <c r="BL78" s="184"/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>
        <v>165</v>
      </c>
      <c r="BW78" s="184"/>
      <c r="BX78" s="184">
        <v>6</v>
      </c>
      <c r="BY78" s="184">
        <v>723</v>
      </c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16032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/>
      <c r="F79" s="184"/>
      <c r="G79" s="184"/>
      <c r="H79" s="184"/>
      <c r="I79" s="184"/>
      <c r="J79" s="184"/>
      <c r="K79" s="184">
        <f>14932+11621</f>
        <v>26553</v>
      </c>
      <c r="L79" s="184">
        <v>28925</v>
      </c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>
        <v>175</v>
      </c>
      <c r="X79" s="184">
        <v>1181</v>
      </c>
      <c r="Y79" s="184">
        <v>3115</v>
      </c>
      <c r="Z79" s="184"/>
      <c r="AA79" s="184"/>
      <c r="AB79" s="184"/>
      <c r="AC79" s="184"/>
      <c r="AD79" s="184"/>
      <c r="AE79" s="184">
        <v>5594</v>
      </c>
      <c r="AF79" s="184"/>
      <c r="AG79" s="184">
        <v>16458</v>
      </c>
      <c r="AH79" s="184"/>
      <c r="AI79" s="184"/>
      <c r="AJ79" s="184">
        <v>355</v>
      </c>
      <c r="AK79" s="184">
        <v>1578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83934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/>
      <c r="I80" s="187"/>
      <c r="J80" s="187"/>
      <c r="K80" s="187">
        <f>13.45+9.72</f>
        <v>23.17</v>
      </c>
      <c r="L80" s="187">
        <v>22.42</v>
      </c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11.75</v>
      </c>
      <c r="AH80" s="187"/>
      <c r="AI80" s="187"/>
      <c r="AJ80" s="187">
        <v>8.9499999999999993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66.290000000000006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1000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1002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1003</v>
      </c>
      <c r="D84" s="202"/>
      <c r="E84" s="201"/>
    </row>
    <row r="85" spans="1:5" ht="12.6" customHeight="1" x14ac:dyDescent="0.25">
      <c r="A85" s="173" t="s">
        <v>986</v>
      </c>
      <c r="B85" s="172"/>
      <c r="C85" s="267" t="s">
        <v>1004</v>
      </c>
      <c r="D85" s="202"/>
      <c r="E85" s="201"/>
    </row>
    <row r="86" spans="1:5" ht="12.6" customHeight="1" x14ac:dyDescent="0.25">
      <c r="A86" s="173" t="s">
        <v>987</v>
      </c>
      <c r="B86" s="172" t="s">
        <v>256</v>
      </c>
      <c r="C86" s="227"/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1012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1006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1007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1008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1009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1010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77" t="s">
        <v>1011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65" customHeight="1" x14ac:dyDescent="0.25">
      <c r="A108" s="204" t="s">
        <v>275</v>
      </c>
      <c r="B108" s="205"/>
      <c r="C108" s="205"/>
      <c r="D108" s="205"/>
      <c r="E108" s="205"/>
    </row>
    <row r="109" spans="1:5" ht="13.6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144</v>
      </c>
      <c r="D111" s="174">
        <v>420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f>126+10+20</f>
        <v>156</v>
      </c>
      <c r="D112" s="174">
        <f>4962+4107+9580</f>
        <v>18649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974</v>
      </c>
      <c r="B118" s="172" t="s">
        <v>256</v>
      </c>
      <c r="C118" s="189">
        <v>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12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21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32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69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975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90+17</f>
        <v>107</v>
      </c>
      <c r="C138" s="189">
        <v>14</v>
      </c>
      <c r="D138" s="174">
        <f>23</f>
        <v>23</v>
      </c>
      <c r="E138" s="175">
        <f>SUM(B138:D138)</f>
        <v>144</v>
      </c>
    </row>
    <row r="139" spans="1:6" ht="12.6" customHeight="1" x14ac:dyDescent="0.25">
      <c r="A139" s="173" t="s">
        <v>215</v>
      </c>
      <c r="B139" s="174">
        <f>261+46</f>
        <v>307</v>
      </c>
      <c r="C139" s="189">
        <v>35</v>
      </c>
      <c r="D139" s="174">
        <v>78</v>
      </c>
      <c r="E139" s="175">
        <f>SUM(B139:D139)</f>
        <v>420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f>146297.35+2093270.26-B147</f>
        <v>1780225.6099999999</v>
      </c>
      <c r="C141" s="189">
        <f>1699611.99+116222.6-C147</f>
        <v>131472.59000000008</v>
      </c>
      <c r="D141" s="174">
        <f>5969807-B141-C141</f>
        <v>4058108.8</v>
      </c>
      <c r="E141" s="175">
        <f>SUM(B141:D141)</f>
        <v>5969807</v>
      </c>
      <c r="F141" s="199"/>
    </row>
    <row r="142" spans="1:6" ht="12.6" customHeight="1" x14ac:dyDescent="0.25">
      <c r="A142" s="173" t="s">
        <v>246</v>
      </c>
      <c r="B142" s="174">
        <f>1177987.05+5176360.95</f>
        <v>6354348</v>
      </c>
      <c r="C142" s="189">
        <f>161172.7+3754260.47</f>
        <v>3915433.1700000004</v>
      </c>
      <c r="D142" s="174">
        <f>18433217-C142-B142</f>
        <v>8163435.8300000001</v>
      </c>
      <c r="E142" s="175">
        <f>SUM(B142:D142)</f>
        <v>18433217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f>82+12</f>
        <v>94</v>
      </c>
      <c r="C144" s="189">
        <f>15+7+6</f>
        <v>28</v>
      </c>
      <c r="D144" s="174">
        <f>17+3+14</f>
        <v>34</v>
      </c>
      <c r="E144" s="175">
        <f>SUM(B144:D144)</f>
        <v>156</v>
      </c>
    </row>
    <row r="145" spans="1:5" ht="12.6" customHeight="1" x14ac:dyDescent="0.25">
      <c r="A145" s="173" t="s">
        <v>215</v>
      </c>
      <c r="B145" s="174">
        <f>1635+202</f>
        <v>1837</v>
      </c>
      <c r="C145" s="189">
        <f>1568+3840+3434</f>
        <v>8842</v>
      </c>
      <c r="D145" s="174">
        <f>1557+267+6146</f>
        <v>7970</v>
      </c>
      <c r="E145" s="175">
        <f>SUM(B145:D145)</f>
        <v>18649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f>447564+8154+3624</f>
        <v>459342</v>
      </c>
      <c r="C147" s="189">
        <f>460550+899073+324739</f>
        <v>1684362</v>
      </c>
      <c r="D147" s="174">
        <f>1400374-B147-C147+984139+957879</f>
        <v>1198688</v>
      </c>
      <c r="E147" s="175">
        <f>SUM(B147:D147)</f>
        <v>3342392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622163.71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12880.98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89151.83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1095331.2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5796.35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318484.31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43509.9</f>
        <v>43509.9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11179.86+21524.88</f>
        <v>32704.74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2220023.02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v>1357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8092.34+129.13+36873.28+3624.54</f>
        <v>48719.29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50076.29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128389.02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41941.519999999997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170330.54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52513+730</f>
        <v>53243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53243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811653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811653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99457</v>
      </c>
      <c r="C195" s="189"/>
      <c r="D195" s="174"/>
      <c r="E195" s="175">
        <f t="shared" ref="E195:E203" si="10">SUM(B195:C195)-D195</f>
        <v>99457</v>
      </c>
    </row>
    <row r="196" spans="1:8" ht="12.6" customHeight="1" x14ac:dyDescent="0.25">
      <c r="A196" s="173" t="s">
        <v>333</v>
      </c>
      <c r="B196" s="174">
        <v>186843</v>
      </c>
      <c r="C196" s="189"/>
      <c r="D196" s="174"/>
      <c r="E196" s="175">
        <f t="shared" si="10"/>
        <v>186843</v>
      </c>
    </row>
    <row r="197" spans="1:8" ht="12.6" customHeight="1" x14ac:dyDescent="0.25">
      <c r="A197" s="173" t="s">
        <v>334</v>
      </c>
      <c r="B197" s="174">
        <v>24474025</v>
      </c>
      <c r="C197" s="189"/>
      <c r="D197" s="174"/>
      <c r="E197" s="175">
        <f t="shared" si="10"/>
        <v>24474025</v>
      </c>
    </row>
    <row r="198" spans="1:8" ht="12.6" customHeight="1" x14ac:dyDescent="0.25">
      <c r="A198" s="173" t="s">
        <v>335</v>
      </c>
      <c r="B198" s="174">
        <v>4515775</v>
      </c>
      <c r="C198" s="189">
        <v>368418.69</v>
      </c>
      <c r="D198" s="174"/>
      <c r="E198" s="175">
        <f t="shared" si="10"/>
        <v>4884193.6900000004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3285907</v>
      </c>
      <c r="C200" s="189">
        <v>444836.6</v>
      </c>
      <c r="D200" s="174">
        <v>93200.76</v>
      </c>
      <c r="E200" s="175">
        <f t="shared" si="10"/>
        <v>3637542.8400000003</v>
      </c>
    </row>
    <row r="201" spans="1:8" ht="12.6" customHeight="1" x14ac:dyDescent="0.25">
      <c r="A201" s="173" t="s">
        <v>338</v>
      </c>
      <c r="B201" s="174">
        <v>470635</v>
      </c>
      <c r="C201" s="189"/>
      <c r="D201" s="174">
        <v>470634.9</v>
      </c>
      <c r="E201" s="175">
        <f t="shared" si="10"/>
        <v>9.9999999976716936E-2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369591</v>
      </c>
      <c r="C203" s="189">
        <v>1990381.45</v>
      </c>
      <c r="D203" s="174">
        <v>2358188.04</v>
      </c>
      <c r="E203" s="175">
        <f t="shared" si="10"/>
        <v>1784.410000000149</v>
      </c>
    </row>
    <row r="204" spans="1:8" ht="12.6" customHeight="1" x14ac:dyDescent="0.25">
      <c r="A204" s="173" t="s">
        <v>203</v>
      </c>
      <c r="B204" s="175">
        <f>SUM(B195:B203)</f>
        <v>33402233</v>
      </c>
      <c r="C204" s="191">
        <f>SUM(C195:C203)</f>
        <v>2803636.74</v>
      </c>
      <c r="D204" s="175">
        <f>SUM(D195:D203)</f>
        <v>2922023.7</v>
      </c>
      <c r="E204" s="175">
        <f>SUM(E195:E203)</f>
        <v>33283846.040000003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112277</v>
      </c>
      <c r="C209" s="189">
        <v>10636.38</v>
      </c>
      <c r="D209" s="174"/>
      <c r="E209" s="175">
        <f t="shared" ref="E209:E216" si="11">SUM(B209:C209)-D209</f>
        <v>122913.38</v>
      </c>
      <c r="H209" s="255"/>
    </row>
    <row r="210" spans="1:8" ht="12.6" customHeight="1" x14ac:dyDescent="0.25">
      <c r="A210" s="173" t="s">
        <v>334</v>
      </c>
      <c r="B210" s="174">
        <v>9069118</v>
      </c>
      <c r="C210" s="189">
        <f>790873.73+17663.49+4942.87+263568.2</f>
        <v>1077048.29</v>
      </c>
      <c r="D210" s="174"/>
      <c r="E210" s="175">
        <f t="shared" si="11"/>
        <v>10146166.289999999</v>
      </c>
      <c r="H210" s="255"/>
    </row>
    <row r="211" spans="1:8" ht="12.6" customHeight="1" x14ac:dyDescent="0.25">
      <c r="A211" s="173" t="s">
        <v>335</v>
      </c>
      <c r="B211" s="174">
        <v>1033464</v>
      </c>
      <c r="C211" s="189">
        <v>425324.15</v>
      </c>
      <c r="D211" s="174"/>
      <c r="E211" s="175">
        <f t="shared" si="11"/>
        <v>1458788.15</v>
      </c>
      <c r="H211" s="255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2434834</v>
      </c>
      <c r="C213" s="189">
        <f>284838.64+8805.91</f>
        <v>293644.55</v>
      </c>
      <c r="D213" s="174">
        <v>91432.639999999999</v>
      </c>
      <c r="E213" s="175">
        <f t="shared" si="11"/>
        <v>2637045.9099999997</v>
      </c>
      <c r="H213" s="255"/>
    </row>
    <row r="214" spans="1:8" ht="12.6" customHeight="1" x14ac:dyDescent="0.25">
      <c r="A214" s="173" t="s">
        <v>338</v>
      </c>
      <c r="B214" s="174">
        <v>470636</v>
      </c>
      <c r="C214" s="189"/>
      <c r="D214" s="174">
        <v>470636</v>
      </c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13120329</v>
      </c>
      <c r="C217" s="191">
        <f>SUM(C208:C216)</f>
        <v>1806653.3699999999</v>
      </c>
      <c r="D217" s="175">
        <f>SUM(D208:D216)</f>
        <v>562068.64</v>
      </c>
      <c r="E217" s="175">
        <f>SUM(E208:E216)</f>
        <v>14364913.73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81" t="s">
        <v>990</v>
      </c>
      <c r="C220" s="281"/>
      <c r="D220" s="205"/>
      <c r="E220" s="205"/>
    </row>
    <row r="221" spans="1:8" ht="12.6" customHeight="1" x14ac:dyDescent="0.25">
      <c r="A221" s="268" t="s">
        <v>990</v>
      </c>
      <c r="B221" s="205"/>
      <c r="C221" s="189">
        <v>677035</v>
      </c>
      <c r="D221" s="172">
        <f>C221</f>
        <v>677035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1142576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2886933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116045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7286337-C221-C223-C224-C225-C233-C234-C238</f>
        <v>2408306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6553860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37494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4970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42464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12978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12978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7286337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1695933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2857060+288969</f>
        <v>3146029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469000+840000+89000</f>
        <v>1398000</v>
      </c>
      <c r="D253" s="175"/>
      <c r="E253" s="175"/>
    </row>
    <row r="254" spans="1:5" ht="12.45" customHeight="1" x14ac:dyDescent="0.25">
      <c r="A254" s="173" t="s">
        <v>976</v>
      </c>
      <c r="B254" s="172" t="s">
        <v>256</v>
      </c>
      <c r="C254" s="189">
        <v>335000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160944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118561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2233579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6292046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>
        <v>3539935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24204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3564139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f>94457+5000</f>
        <v>99457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f>168045.71+18797</f>
        <v>186842.71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20610633+142869.83+353269.71+3361836.66+5416</f>
        <v>24474025.199999999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4884194.45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3523282.85+90324.39+23935.25+1</f>
        <v>3637543.49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1783.74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33283846.59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14364914.140000001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18918932.449999999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-403217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-403217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28371900.449999999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767631-1</f>
        <v>767630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1250438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977</v>
      </c>
      <c r="B309" s="172" t="s">
        <v>256</v>
      </c>
      <c r="C309" s="189">
        <v>304709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4782+12476</f>
        <v>17258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66164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2406199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16307615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66164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16373779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66164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16307615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/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877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878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f>9658087-1</f>
        <v>9658086</v>
      </c>
      <c r="D337" s="175"/>
      <c r="E337" s="175"/>
    </row>
    <row r="338" spans="1:5" ht="12.6" customHeight="1" x14ac:dyDescent="0.25">
      <c r="A338" s="173" t="s">
        <v>988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28371900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28371900.449999999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5969807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18433217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24403024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990</v>
      </c>
      <c r="B363" s="253"/>
      <c r="C363" s="189">
        <v>677035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f>7286337-C365-C366-C363</f>
        <v>6553860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37494+4970</f>
        <v>42464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12978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7286337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17116687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f>1967278-C371</f>
        <v>1445165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522113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1967278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19083965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8522563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2220023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3755340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>1224491-1</f>
        <v>1224490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185721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1341213+1</f>
        <v>1341214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1806653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50076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170331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53243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811653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204170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20345477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-1261512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1512905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251393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251393</v>
      </c>
      <c r="E396" s="175"/>
    </row>
    <row r="397" spans="1:6" ht="13.6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Columbia Basin Hospital   H-0     FYE 12/31/2019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978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144</v>
      </c>
      <c r="C414" s="194">
        <f>E138</f>
        <v>144</v>
      </c>
      <c r="D414" s="179"/>
    </row>
    <row r="415" spans="1:5" ht="12.6" customHeight="1" x14ac:dyDescent="0.25">
      <c r="A415" s="179" t="s">
        <v>464</v>
      </c>
      <c r="B415" s="179">
        <f>D111</f>
        <v>420</v>
      </c>
      <c r="C415" s="179">
        <f>E139</f>
        <v>420</v>
      </c>
      <c r="D415" s="194">
        <f>SUM(C59:H59)+N59</f>
        <v>420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156</v>
      </c>
      <c r="C417" s="194">
        <f>E144</f>
        <v>156</v>
      </c>
      <c r="D417" s="179"/>
    </row>
    <row r="418" spans="1:7" ht="12.6" customHeight="1" x14ac:dyDescent="0.25">
      <c r="A418" s="179" t="s">
        <v>466</v>
      </c>
      <c r="B418" s="179">
        <f>D112</f>
        <v>18649</v>
      </c>
      <c r="C418" s="179">
        <f>E145</f>
        <v>18649</v>
      </c>
      <c r="D418" s="179">
        <f>K59+L59</f>
        <v>18649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979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8522563</v>
      </c>
      <c r="C427" s="179">
        <f t="shared" ref="C427:C434" si="13">CE61</f>
        <v>8522563</v>
      </c>
      <c r="D427" s="179"/>
    </row>
    <row r="428" spans="1:7" ht="12.6" customHeight="1" x14ac:dyDescent="0.25">
      <c r="A428" s="179" t="s">
        <v>3</v>
      </c>
      <c r="B428" s="179">
        <f t="shared" si="12"/>
        <v>2220023</v>
      </c>
      <c r="C428" s="179">
        <f t="shared" si="13"/>
        <v>2220023</v>
      </c>
      <c r="D428" s="179">
        <f>D173</f>
        <v>2220023.02</v>
      </c>
    </row>
    <row r="429" spans="1:7" ht="12.6" customHeight="1" x14ac:dyDescent="0.25">
      <c r="A429" s="179" t="s">
        <v>236</v>
      </c>
      <c r="B429" s="179">
        <f t="shared" si="12"/>
        <v>3755340</v>
      </c>
      <c r="C429" s="179">
        <f t="shared" si="13"/>
        <v>3755340</v>
      </c>
      <c r="D429" s="179"/>
    </row>
    <row r="430" spans="1:7" ht="12.6" customHeight="1" x14ac:dyDescent="0.25">
      <c r="A430" s="179" t="s">
        <v>237</v>
      </c>
      <c r="B430" s="179">
        <f t="shared" si="12"/>
        <v>1224490</v>
      </c>
      <c r="C430" s="179">
        <f t="shared" si="13"/>
        <v>1224490</v>
      </c>
      <c r="D430" s="179"/>
    </row>
    <row r="431" spans="1:7" ht="12.6" customHeight="1" x14ac:dyDescent="0.25">
      <c r="A431" s="179" t="s">
        <v>444</v>
      </c>
      <c r="B431" s="179">
        <f t="shared" si="12"/>
        <v>185721</v>
      </c>
      <c r="C431" s="179">
        <f t="shared" si="13"/>
        <v>185721</v>
      </c>
      <c r="D431" s="179"/>
    </row>
    <row r="432" spans="1:7" ht="12.6" customHeight="1" x14ac:dyDescent="0.25">
      <c r="A432" s="179" t="s">
        <v>445</v>
      </c>
      <c r="B432" s="179">
        <f t="shared" si="12"/>
        <v>1341214</v>
      </c>
      <c r="C432" s="179">
        <f t="shared" si="13"/>
        <v>1341214</v>
      </c>
      <c r="D432" s="179"/>
    </row>
    <row r="433" spans="1:7" ht="12.6" customHeight="1" x14ac:dyDescent="0.25">
      <c r="A433" s="179" t="s">
        <v>6</v>
      </c>
      <c r="B433" s="179">
        <f t="shared" si="12"/>
        <v>1806653</v>
      </c>
      <c r="C433" s="179">
        <f t="shared" si="13"/>
        <v>1806653</v>
      </c>
      <c r="D433" s="179">
        <f>C217</f>
        <v>1806653.3699999999</v>
      </c>
    </row>
    <row r="434" spans="1:7" ht="12.6" customHeight="1" x14ac:dyDescent="0.25">
      <c r="A434" s="179" t="s">
        <v>474</v>
      </c>
      <c r="B434" s="179">
        <f t="shared" si="12"/>
        <v>50076</v>
      </c>
      <c r="C434" s="179">
        <f t="shared" si="13"/>
        <v>50076</v>
      </c>
      <c r="D434" s="179">
        <f>D177</f>
        <v>50076.29</v>
      </c>
    </row>
    <row r="435" spans="1:7" ht="12.6" customHeight="1" x14ac:dyDescent="0.25">
      <c r="A435" s="179" t="s">
        <v>447</v>
      </c>
      <c r="B435" s="179">
        <f t="shared" si="12"/>
        <v>170331</v>
      </c>
      <c r="C435" s="179"/>
      <c r="D435" s="179">
        <f>D181</f>
        <v>170330.54</v>
      </c>
    </row>
    <row r="436" spans="1:7" ht="12.6" customHeight="1" x14ac:dyDescent="0.25">
      <c r="A436" s="179" t="s">
        <v>475</v>
      </c>
      <c r="B436" s="179">
        <f t="shared" si="12"/>
        <v>53243</v>
      </c>
      <c r="C436" s="179"/>
      <c r="D436" s="179">
        <f>D186</f>
        <v>53243</v>
      </c>
    </row>
    <row r="437" spans="1:7" ht="12.6" customHeight="1" x14ac:dyDescent="0.25">
      <c r="A437" s="194" t="s">
        <v>449</v>
      </c>
      <c r="B437" s="194">
        <f t="shared" si="12"/>
        <v>811653</v>
      </c>
      <c r="C437" s="194"/>
      <c r="D437" s="194">
        <f>D190</f>
        <v>811653</v>
      </c>
    </row>
    <row r="438" spans="1:7" ht="12.6" customHeight="1" x14ac:dyDescent="0.25">
      <c r="A438" s="194" t="s">
        <v>476</v>
      </c>
      <c r="B438" s="194">
        <f>C386+C387+C388</f>
        <v>1035227</v>
      </c>
      <c r="C438" s="194">
        <f>CD69</f>
        <v>1035227</v>
      </c>
      <c r="D438" s="194">
        <f>D181+D186+D190</f>
        <v>1035226.54</v>
      </c>
    </row>
    <row r="439" spans="1:7" ht="12.6" customHeight="1" x14ac:dyDescent="0.25">
      <c r="A439" s="179" t="s">
        <v>451</v>
      </c>
      <c r="B439" s="194">
        <f>C389</f>
        <v>204170</v>
      </c>
      <c r="C439" s="194">
        <f>SUM(C69:CC69)</f>
        <v>204170</v>
      </c>
      <c r="D439" s="179"/>
    </row>
    <row r="440" spans="1:7" ht="12.6" customHeight="1" x14ac:dyDescent="0.25">
      <c r="A440" s="179" t="s">
        <v>477</v>
      </c>
      <c r="B440" s="194">
        <f>B438+B439</f>
        <v>1239397</v>
      </c>
      <c r="C440" s="194">
        <f>CE69</f>
        <v>1239397</v>
      </c>
      <c r="D440" s="179"/>
    </row>
    <row r="441" spans="1:7" ht="12.6" customHeight="1" x14ac:dyDescent="0.25">
      <c r="A441" s="179" t="s">
        <v>478</v>
      </c>
      <c r="B441" s="179">
        <f>D390</f>
        <v>20345477</v>
      </c>
      <c r="C441" s="179">
        <f>SUM(C427:C437)+C440</f>
        <v>20345477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991</v>
      </c>
      <c r="B444" s="179">
        <f>D221</f>
        <v>677035</v>
      </c>
      <c r="C444" s="179">
        <f>C363</f>
        <v>677035</v>
      </c>
      <c r="D444" s="179"/>
    </row>
    <row r="445" spans="1:7" ht="12.6" customHeight="1" x14ac:dyDescent="0.25">
      <c r="A445" s="179" t="s">
        <v>343</v>
      </c>
      <c r="B445" s="179">
        <f>D229</f>
        <v>6553860</v>
      </c>
      <c r="C445" s="179">
        <f>C364</f>
        <v>6553860</v>
      </c>
      <c r="D445" s="179"/>
    </row>
    <row r="446" spans="1:7" ht="12.6" customHeight="1" x14ac:dyDescent="0.25">
      <c r="A446" s="179" t="s">
        <v>351</v>
      </c>
      <c r="B446" s="179">
        <f>D236</f>
        <v>42464</v>
      </c>
      <c r="C446" s="179">
        <f>C365</f>
        <v>42464</v>
      </c>
      <c r="D446" s="179"/>
    </row>
    <row r="447" spans="1:7" ht="12.6" customHeight="1" x14ac:dyDescent="0.25">
      <c r="A447" s="179" t="s">
        <v>356</v>
      </c>
      <c r="B447" s="179">
        <f>D240</f>
        <v>12978</v>
      </c>
      <c r="C447" s="179">
        <f>C366</f>
        <v>12978</v>
      </c>
      <c r="D447" s="179"/>
    </row>
    <row r="448" spans="1:7" ht="12.6" customHeight="1" x14ac:dyDescent="0.25">
      <c r="A448" s="179" t="s">
        <v>358</v>
      </c>
      <c r="B448" s="179">
        <f>D242</f>
        <v>7286337</v>
      </c>
      <c r="C448" s="179">
        <f>D367</f>
        <v>7286337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37494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4970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1445165</v>
      </c>
      <c r="C458" s="194">
        <f>CE70</f>
        <v>1445165</v>
      </c>
      <c r="D458" s="194"/>
    </row>
    <row r="459" spans="1:7" ht="12.6" customHeight="1" x14ac:dyDescent="0.25">
      <c r="A459" s="179" t="s">
        <v>244</v>
      </c>
      <c r="B459" s="194">
        <f>C371</f>
        <v>522113</v>
      </c>
      <c r="C459" s="194">
        <f>CE72</f>
        <v>522113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980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5969807</v>
      </c>
      <c r="C463" s="194">
        <f>CE73</f>
        <v>5969807</v>
      </c>
      <c r="D463" s="194">
        <f>E141+E147+E153</f>
        <v>9312199</v>
      </c>
    </row>
    <row r="464" spans="1:7" ht="12.6" customHeight="1" x14ac:dyDescent="0.25">
      <c r="A464" s="179" t="s">
        <v>246</v>
      </c>
      <c r="B464" s="194">
        <f>C360</f>
        <v>18433217</v>
      </c>
      <c r="C464" s="194">
        <f>CE74</f>
        <v>18433217</v>
      </c>
      <c r="D464" s="194">
        <f>E142+E148+E154</f>
        <v>18433217</v>
      </c>
    </row>
    <row r="465" spans="1:7" ht="12.6" customHeight="1" x14ac:dyDescent="0.25">
      <c r="A465" s="179" t="s">
        <v>247</v>
      </c>
      <c r="B465" s="194">
        <f>D361</f>
        <v>24403024</v>
      </c>
      <c r="C465" s="194">
        <f>CE75</f>
        <v>24403024</v>
      </c>
      <c r="D465" s="194">
        <f>D463+D464</f>
        <v>27745416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99457</v>
      </c>
      <c r="C468" s="179">
        <f>E195</f>
        <v>99457</v>
      </c>
      <c r="D468" s="179"/>
    </row>
    <row r="469" spans="1:7" ht="12.6" customHeight="1" x14ac:dyDescent="0.25">
      <c r="A469" s="179" t="s">
        <v>333</v>
      </c>
      <c r="B469" s="179">
        <f t="shared" si="14"/>
        <v>186842.71</v>
      </c>
      <c r="C469" s="179">
        <f>E196</f>
        <v>186843</v>
      </c>
      <c r="D469" s="179"/>
    </row>
    <row r="470" spans="1:7" ht="12.6" customHeight="1" x14ac:dyDescent="0.25">
      <c r="A470" s="179" t="s">
        <v>334</v>
      </c>
      <c r="B470" s="179">
        <f t="shared" si="14"/>
        <v>24474025.199999999</v>
      </c>
      <c r="C470" s="179">
        <f>E197</f>
        <v>24474025</v>
      </c>
      <c r="D470" s="179"/>
    </row>
    <row r="471" spans="1:7" ht="12.6" customHeight="1" x14ac:dyDescent="0.25">
      <c r="A471" s="179" t="s">
        <v>494</v>
      </c>
      <c r="B471" s="179">
        <f t="shared" si="14"/>
        <v>4884194.45</v>
      </c>
      <c r="C471" s="179">
        <f>E198</f>
        <v>4884193.6900000004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3637543.49</v>
      </c>
      <c r="C473" s="179">
        <f>SUM(E200:E201)</f>
        <v>3637542.9400000004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1783.74</v>
      </c>
      <c r="C475" s="179">
        <f>E203</f>
        <v>1784.410000000149</v>
      </c>
      <c r="D475" s="179"/>
    </row>
    <row r="476" spans="1:7" ht="12.6" customHeight="1" x14ac:dyDescent="0.25">
      <c r="A476" s="179" t="s">
        <v>203</v>
      </c>
      <c r="B476" s="179">
        <f>D275</f>
        <v>33283846.59</v>
      </c>
      <c r="C476" s="179">
        <f>E204</f>
        <v>33283846.040000003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14364914.140000001</v>
      </c>
      <c r="C478" s="179">
        <f>E217</f>
        <v>14364913.73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28371900.449999999</v>
      </c>
    </row>
    <row r="482" spans="1:12" ht="12.6" customHeight="1" x14ac:dyDescent="0.25">
      <c r="A482" s="180" t="s">
        <v>499</v>
      </c>
      <c r="C482" s="180">
        <f>D339</f>
        <v>28371900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045</v>
      </c>
      <c r="B493" s="257" t="str">
        <f>RIGHT('Prior Year'!C82,4)</f>
        <v>2018</v>
      </c>
      <c r="C493" s="257" t="str">
        <f>RIGHT(C82,4)</f>
        <v>2019</v>
      </c>
      <c r="D493" s="257" t="str">
        <f>RIGHT('Prior Year'!C82,4)</f>
        <v>2018</v>
      </c>
      <c r="E493" s="257" t="str">
        <f>RIGHT(C82,4)</f>
        <v>2019</v>
      </c>
      <c r="F493" s="257" t="str">
        <f>RIGHT('Prior Year'!C82,4)</f>
        <v>2018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0</v>
      </c>
      <c r="C496" s="236">
        <f>C71</f>
        <v>0</v>
      </c>
      <c r="D496" s="236">
        <f>'Prior Year'!C59</f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292907</v>
      </c>
      <c r="C498" s="236">
        <f>E71</f>
        <v>341121</v>
      </c>
      <c r="D498" s="236">
        <f>'Prior Year'!E59</f>
        <v>470</v>
      </c>
      <c r="E498" s="180">
        <f>E59</f>
        <v>420</v>
      </c>
      <c r="F498" s="259">
        <f t="shared" si="15"/>
        <v>623.20638297872335</v>
      </c>
      <c r="G498" s="259">
        <f t="shared" si="15"/>
        <v>812.19285714285718</v>
      </c>
      <c r="H498" s="261">
        <f t="shared" si="16"/>
        <v>0.30324861767435696</v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1862049</v>
      </c>
      <c r="C504" s="236">
        <f>K71</f>
        <v>2012367</v>
      </c>
      <c r="D504" s="236">
        <f>'Prior Year'!K59</f>
        <v>14423</v>
      </c>
      <c r="E504" s="180">
        <f>K59</f>
        <v>13687</v>
      </c>
      <c r="F504" s="259">
        <f t="shared" si="15"/>
        <v>129.1027525480136</v>
      </c>
      <c r="G504" s="259">
        <f t="shared" si="15"/>
        <v>147.02761744721269</v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1810672</v>
      </c>
      <c r="C505" s="236">
        <f>L71</f>
        <v>1815277</v>
      </c>
      <c r="D505" s="236">
        <f>'Prior Year'!L59</f>
        <v>5013</v>
      </c>
      <c r="E505" s="180">
        <f>L59</f>
        <v>4962</v>
      </c>
      <c r="F505" s="259">
        <f t="shared" si="15"/>
        <v>361.19529224017555</v>
      </c>
      <c r="G505" s="259">
        <f t="shared" si="15"/>
        <v>365.83575171301896</v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0</v>
      </c>
      <c r="C508" s="236">
        <f>O71</f>
        <v>0</v>
      </c>
      <c r="D508" s="236">
        <f>'Prior Year'!O59</f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0</v>
      </c>
      <c r="C509" s="236">
        <f>P71</f>
        <v>0</v>
      </c>
      <c r="D509" s="236">
        <f>'Prior Year'!P59</f>
        <v>0</v>
      </c>
      <c r="E509" s="180">
        <f>P59</f>
        <v>0</v>
      </c>
      <c r="F509" s="259" t="str">
        <f t="shared" si="15"/>
        <v/>
      </c>
      <c r="G509" s="259" t="str">
        <f t="shared" si="15"/>
        <v/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0</v>
      </c>
      <c r="C510" s="236">
        <f>Q71</f>
        <v>0</v>
      </c>
      <c r="D510" s="236">
        <f>'Prior Year'!Q59</f>
        <v>0</v>
      </c>
      <c r="E510" s="180">
        <f>Q59</f>
        <v>0</v>
      </c>
      <c r="F510" s="259" t="str">
        <f t="shared" si="15"/>
        <v/>
      </c>
      <c r="G510" s="259" t="str">
        <f t="shared" si="15"/>
        <v/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0</v>
      </c>
      <c r="C511" s="236">
        <f>R71</f>
        <v>0</v>
      </c>
      <c r="D511" s="236">
        <f>'Prior Year'!R59</f>
        <v>0</v>
      </c>
      <c r="E511" s="180">
        <f>R59</f>
        <v>0</v>
      </c>
      <c r="F511" s="259" t="str">
        <f t="shared" si="15"/>
        <v/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97660</v>
      </c>
      <c r="C512" s="236">
        <f>S71</f>
        <v>101382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981</v>
      </c>
      <c r="B513" s="236">
        <f>'Prior Year'!T71</f>
        <v>2176</v>
      </c>
      <c r="C513" s="236">
        <f>T71</f>
        <v>1630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932339</v>
      </c>
      <c r="C514" s="236">
        <f>U71</f>
        <v>931190</v>
      </c>
      <c r="D514" s="236">
        <f>'Prior Year'!U59</f>
        <v>129073</v>
      </c>
      <c r="E514" s="180">
        <f>U59</f>
        <v>125048</v>
      </c>
      <c r="F514" s="259">
        <f t="shared" si="17"/>
        <v>7.2233464783494608</v>
      </c>
      <c r="G514" s="259">
        <f t="shared" si="17"/>
        <v>7.4466604823747682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0</v>
      </c>
      <c r="C515" s="236">
        <f>V71</f>
        <v>0</v>
      </c>
      <c r="D515" s="236">
        <f>'Prior Year'!V59</f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98245</v>
      </c>
      <c r="C516" s="236">
        <f>W71</f>
        <v>111769</v>
      </c>
      <c r="D516" s="236">
        <f>'Prior Year'!W59</f>
        <v>2639.2</v>
      </c>
      <c r="E516" s="180">
        <f>W59</f>
        <v>0</v>
      </c>
      <c r="F516" s="259">
        <f t="shared" si="17"/>
        <v>37.225295544104277</v>
      </c>
      <c r="G516" s="259" t="str">
        <f t="shared" si="17"/>
        <v/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233425</v>
      </c>
      <c r="C517" s="236">
        <f>X71</f>
        <v>175215</v>
      </c>
      <c r="D517" s="236">
        <f>'Prior Year'!X59</f>
        <v>9840.42</v>
      </c>
      <c r="E517" s="180">
        <f>X59</f>
        <v>0</v>
      </c>
      <c r="F517" s="259">
        <f t="shared" si="17"/>
        <v>23.721040362098364</v>
      </c>
      <c r="G517" s="259" t="str">
        <f t="shared" si="17"/>
        <v/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799736</v>
      </c>
      <c r="C518" s="236">
        <f>Y71</f>
        <v>831598</v>
      </c>
      <c r="D518" s="236">
        <f>'Prior Year'!Y59</f>
        <v>6398</v>
      </c>
      <c r="E518" s="180">
        <f>Y59</f>
        <v>0</v>
      </c>
      <c r="F518" s="259">
        <f t="shared" si="17"/>
        <v>124.99781181619257</v>
      </c>
      <c r="G518" s="259" t="str">
        <f t="shared" si="17"/>
        <v/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0</v>
      </c>
      <c r="C519" s="236">
        <f>Z71</f>
        <v>0</v>
      </c>
      <c r="D519" s="236">
        <f>'Prior Year'!Z59</f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0</v>
      </c>
      <c r="C520" s="236">
        <f>AA71</f>
        <v>0</v>
      </c>
      <c r="D520" s="236">
        <f>'Prior Year'!AA59</f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-120166</v>
      </c>
      <c r="C521" s="236">
        <f>AB71</f>
        <v>-235300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0</v>
      </c>
      <c r="C522" s="236">
        <f>AC71</f>
        <v>0</v>
      </c>
      <c r="D522" s="236">
        <f>'Prior Year'!AC59</f>
        <v>0</v>
      </c>
      <c r="E522" s="180">
        <f>AC59</f>
        <v>0</v>
      </c>
      <c r="F522" s="259" t="str">
        <f t="shared" si="17"/>
        <v/>
      </c>
      <c r="G522" s="259" t="str">
        <f t="shared" si="17"/>
        <v/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0</v>
      </c>
      <c r="C523" s="236">
        <f>AD71</f>
        <v>0</v>
      </c>
      <c r="D523" s="236">
        <f>'Prior Year'!AD59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863161</v>
      </c>
      <c r="C524" s="236">
        <f>AE71</f>
        <v>820768</v>
      </c>
      <c r="D524" s="236">
        <f>'Prior Year'!AE59</f>
        <v>23685</v>
      </c>
      <c r="E524" s="180">
        <f>AE59</f>
        <v>21769</v>
      </c>
      <c r="F524" s="259">
        <f t="shared" si="17"/>
        <v>36.443360776862995</v>
      </c>
      <c r="G524" s="259">
        <f t="shared" si="17"/>
        <v>37.703523358904867</v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2359228</v>
      </c>
      <c r="C526" s="236">
        <f>AG71</f>
        <v>2594611</v>
      </c>
      <c r="D526" s="236">
        <f>'Prior Year'!AG59</f>
        <v>5032</v>
      </c>
      <c r="E526" s="180">
        <f>AG59</f>
        <v>5160</v>
      </c>
      <c r="F526" s="259">
        <f t="shared" si="17"/>
        <v>468.8449920508744</v>
      </c>
      <c r="G526" s="259">
        <f t="shared" si="17"/>
        <v>502.83158914728682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0</v>
      </c>
      <c r="C528" s="236">
        <f>AI71</f>
        <v>0</v>
      </c>
      <c r="D528" s="236">
        <f>'Prior Year'!AI59</f>
        <v>168</v>
      </c>
      <c r="E528" s="180">
        <f>AI59</f>
        <v>160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2262247</v>
      </c>
      <c r="C529" s="236">
        <f>AJ71</f>
        <v>2275596</v>
      </c>
      <c r="D529" s="236">
        <f>'Prior Year'!AJ59</f>
        <v>12446</v>
      </c>
      <c r="E529" s="180">
        <f>AJ59</f>
        <v>0</v>
      </c>
      <c r="F529" s="259">
        <f t="shared" si="18"/>
        <v>181.7649847340511</v>
      </c>
      <c r="G529" s="259" t="str">
        <f t="shared" si="18"/>
        <v/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336742</v>
      </c>
      <c r="C530" s="236">
        <f>AK71</f>
        <v>292768</v>
      </c>
      <c r="D530" s="236">
        <f>'Prior Year'!AK59</f>
        <v>9278</v>
      </c>
      <c r="E530" s="180">
        <f>AK59</f>
        <v>8139</v>
      </c>
      <c r="F530" s="259">
        <f t="shared" si="18"/>
        <v>36.294675576632898</v>
      </c>
      <c r="G530" s="259">
        <f t="shared" si="18"/>
        <v>35.97100380882172</v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127721</v>
      </c>
      <c r="C531" s="236">
        <f>AL71</f>
        <v>158379</v>
      </c>
      <c r="D531" s="236">
        <f>'Prior Year'!AL59</f>
        <v>1710</v>
      </c>
      <c r="E531" s="180">
        <f>AL59</f>
        <v>1941</v>
      </c>
      <c r="F531" s="259">
        <f t="shared" si="18"/>
        <v>74.690643274853798</v>
      </c>
      <c r="G531" s="259">
        <f t="shared" si="18"/>
        <v>81.596599690880993</v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982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0</v>
      </c>
      <c r="C535" s="236">
        <f>AP71</f>
        <v>0</v>
      </c>
      <c r="D535" s="236">
        <f>'Prior Year'!AP59</f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0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165039</v>
      </c>
      <c r="C541" s="236">
        <f>AV71</f>
        <v>175794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983</v>
      </c>
      <c r="B542" s="236">
        <f>'Prior Year'!AW71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714828</v>
      </c>
      <c r="C544" s="236">
        <f>AY71</f>
        <v>726706</v>
      </c>
      <c r="D544" s="236">
        <f>'Prior Year'!AY59</f>
        <v>72463</v>
      </c>
      <c r="E544" s="180">
        <f>AY59</f>
        <v>67175</v>
      </c>
      <c r="F544" s="259">
        <f t="shared" ref="F544:G550" si="19">IF(B544=0,"",IF(D544=0,"",B544/D544))</f>
        <v>9.8647309661482403</v>
      </c>
      <c r="G544" s="259">
        <f t="shared" si="19"/>
        <v>10.818101972459992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58561</v>
      </c>
      <c r="C545" s="236">
        <f>AZ71</f>
        <v>68929</v>
      </c>
      <c r="D545" s="236">
        <f>'Prior Year'!AZ59</f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137078</v>
      </c>
      <c r="C546" s="236">
        <f>BA71</f>
        <v>159468</v>
      </c>
      <c r="D546" s="236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145594</v>
      </c>
      <c r="C547" s="236">
        <f>BB71</f>
        <v>155416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108730</v>
      </c>
      <c r="C549" s="236">
        <f>BD71</f>
        <v>122467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515799</v>
      </c>
      <c r="C550" s="236">
        <f>BE71</f>
        <v>537527</v>
      </c>
      <c r="D550" s="236">
        <f>'Prior Year'!BE59</f>
        <v>77714</v>
      </c>
      <c r="E550" s="180">
        <f>BE59</f>
        <v>77714</v>
      </c>
      <c r="F550" s="259">
        <f t="shared" si="19"/>
        <v>6.6371438865584063</v>
      </c>
      <c r="G550" s="259">
        <f t="shared" si="19"/>
        <v>6.9167331497542266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435793</v>
      </c>
      <c r="C551" s="236">
        <f>BF71</f>
        <v>449753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0</v>
      </c>
      <c r="C552" s="236">
        <f>BG71</f>
        <v>40554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740238</v>
      </c>
      <c r="C553" s="236">
        <f>BH71</f>
        <v>790355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0</v>
      </c>
      <c r="C554" s="236">
        <f>BI71</f>
        <v>41475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322947</v>
      </c>
      <c r="C555" s="236">
        <f>BJ71</f>
        <v>353785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586608</v>
      </c>
      <c r="C556" s="236">
        <f>BK71</f>
        <v>655829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256542</v>
      </c>
      <c r="C557" s="236">
        <f>BL71</f>
        <v>292213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522280</v>
      </c>
      <c r="C559" s="236">
        <f>BN71</f>
        <v>552202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99308</v>
      </c>
      <c r="C561" s="236">
        <f>BP71</f>
        <v>132011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142396</v>
      </c>
      <c r="C563" s="236">
        <f>BR71</f>
        <v>142136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984</v>
      </c>
      <c r="B564" s="236">
        <f>'Prior Year'!BS71</f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240233</v>
      </c>
      <c r="C567" s="236">
        <f>BV71</f>
        <v>257913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2333</v>
      </c>
      <c r="C568" s="236">
        <f>BW71</f>
        <v>1915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82918</v>
      </c>
      <c r="C569" s="236">
        <f>BX71</f>
        <v>61372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248591</v>
      </c>
      <c r="C570" s="236">
        <f>BY71</f>
        <v>264006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126646</v>
      </c>
      <c r="C572" s="236">
        <f>CA71</f>
        <v>127832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705</v>
      </c>
      <c r="C574" s="236">
        <f>CC71</f>
        <v>0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545268</v>
      </c>
      <c r="C575" s="236">
        <f>CD71</f>
        <v>562283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74110</v>
      </c>
      <c r="E612" s="180">
        <f>SUM(C624:D647)+SUM(C668:D713)</f>
        <v>17730759.663743082</v>
      </c>
      <c r="F612" s="180">
        <f>CE64-(AX64+BD64+BE64+BG64+BJ64+BN64+BP64+BQ64+CB64+CC64+CD64)</f>
        <v>1178351</v>
      </c>
      <c r="G612" s="180">
        <f>CE77-(AX77+AY77+BD77+BE77+BG77+BJ77+BN77+BP77+BQ77+CB77+CC77+CD77)</f>
        <v>67174</v>
      </c>
      <c r="H612" s="197">
        <f>CE60-(AX60+AY60+AZ60+BD60+BE60+BG60+BJ60+BN60+BO60+BP60+BQ60+BR60+CB60+CC60+CD60)</f>
        <v>120.55999999999997</v>
      </c>
      <c r="I612" s="180">
        <f>CE78-(AX78+AY78+AZ78+BD78+BE78+BF78+BG78+BJ78+BN78+BO78+BP78+BQ78+BR78+CB78+CC78+CD78)</f>
        <v>16032</v>
      </c>
      <c r="J612" s="180">
        <f>CE79-(AX79+AY79+AZ79+BA79+BD79+BE79+BF79+BG79+BJ79+BN79+BO79+BP79+BQ79+BR79+CB79+CC79+CD79)</f>
        <v>83934</v>
      </c>
      <c r="K612" s="180">
        <f>CE75-(AW75+AX75+AY75+AZ75+BA75+BB75+BC75+BD75+BE75+BF75+BG75+BH75+BI75+BJ75+BK75+BL75+BM75+BN75+BO75+BP75+BQ75+BR75+BS75+BT75+BU75+BV75+BW75+BX75+CB75+CC75+CD75)</f>
        <v>24403024</v>
      </c>
      <c r="L612" s="197">
        <f>CE80-(AW80+AX80+AY80+AZ80+BA80+BB80+BC80+BD80+BE80+BF80+BG80+BH80+BI80+BJ80+BK80+BL80+BM80+BN80+BO80+BP80+BQ80+BR80+BS80+BT80+BU80+BV80+BW80+BX80+BY80+BZ80+CA80+CB80+CC80+CD80)</f>
        <v>66.290000000000006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537527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562283</v>
      </c>
      <c r="D615" s="262">
        <f>SUM(C614:C615)</f>
        <v>1099810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353785</v>
      </c>
      <c r="D617" s="180">
        <f>(D615/D612)*BJ76</f>
        <v>11174.698826069356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40554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552202</v>
      </c>
      <c r="D619" s="180">
        <f>(D615/D612)*BN76</f>
        <v>78326.773444879233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132011</v>
      </c>
      <c r="D621" s="180">
        <f>(D615/D612)*BP76</f>
        <v>1498.863985966806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1169552.3362569155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122467</v>
      </c>
      <c r="D624" s="180">
        <f>(D615/D612)*BD76</f>
        <v>36180.498987990824</v>
      </c>
      <c r="E624" s="180">
        <f>(E623/E612)*SUM(C624:D624)</f>
        <v>10464.670245468276</v>
      </c>
      <c r="F624" s="180">
        <f>SUM(C624:E624)</f>
        <v>169112.16923345911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726706</v>
      </c>
      <c r="D625" s="180">
        <f>(D615/D612)*AY76</f>
        <v>20034.320604506815</v>
      </c>
      <c r="E625" s="180">
        <f>(E623/E612)*SUM(C625:D625)</f>
        <v>49256.315189141111</v>
      </c>
      <c r="F625" s="180">
        <f>(F624/F612)*AY64</f>
        <v>36769.074734056907</v>
      </c>
      <c r="G625" s="180">
        <f>SUM(C625:F625)</f>
        <v>832765.7105277048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142136</v>
      </c>
      <c r="D626" s="180">
        <f>(D615/D612)*BR76</f>
        <v>0</v>
      </c>
      <c r="E626" s="180">
        <f>(E623/E612)*SUM(C626:D626)</f>
        <v>9375.542504596755</v>
      </c>
      <c r="F626" s="180">
        <f>(F624/F612)*BR64</f>
        <v>123.28020544943007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68929</v>
      </c>
      <c r="D628" s="180">
        <f>(D615/D612)*AZ76</f>
        <v>44001.304142490895</v>
      </c>
      <c r="E628" s="180">
        <f>(E623/E612)*SUM(C628:D628)</f>
        <v>7449.0830369854402</v>
      </c>
      <c r="F628" s="180">
        <f>(F624/F612)*AZ64</f>
        <v>0</v>
      </c>
      <c r="G628" s="180">
        <f>(G625/G612)*AZ77</f>
        <v>131707.25144618953</v>
      </c>
      <c r="H628" s="180">
        <f>SUM(C626:G628)</f>
        <v>403721.46133571205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449753</v>
      </c>
      <c r="D629" s="180">
        <f>(D615/D612)*BF76</f>
        <v>22705.563351774388</v>
      </c>
      <c r="E629" s="180">
        <f>(E623/E612)*SUM(C629:D629)</f>
        <v>31164.204299862664</v>
      </c>
      <c r="F629" s="180">
        <f>(F624/F612)*BF64</f>
        <v>3886.8426125575256</v>
      </c>
      <c r="G629" s="180">
        <f>(G625/G612)*BF77</f>
        <v>0</v>
      </c>
      <c r="H629" s="180">
        <f>(H628/H612)*BF60</f>
        <v>30506.822435039296</v>
      </c>
      <c r="I629" s="180">
        <f>SUM(C629:H629)</f>
        <v>538016.43269923388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159468</v>
      </c>
      <c r="D630" s="180">
        <f>(D615/D612)*BA76</f>
        <v>20776.332478747809</v>
      </c>
      <c r="E630" s="180">
        <f>(E623/E612)*SUM(C630:D630)</f>
        <v>11889.235664203085</v>
      </c>
      <c r="F630" s="180">
        <f>(F624/F612)*BA64</f>
        <v>2447.521098643283</v>
      </c>
      <c r="G630" s="180">
        <f>(G625/G612)*BA77</f>
        <v>0</v>
      </c>
      <c r="H630" s="180">
        <f>(H628/H612)*BA60</f>
        <v>9443.3852104073339</v>
      </c>
      <c r="I630" s="180">
        <f>(I629/I612)*BA78</f>
        <v>0</v>
      </c>
      <c r="J630" s="180">
        <f>SUM(C630:I630)</f>
        <v>204024.47445200154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155416</v>
      </c>
      <c r="D632" s="180">
        <f>(D615/D612)*BB76</f>
        <v>1335.6213736337877</v>
      </c>
      <c r="E632" s="180">
        <f>(E623/E612)*SUM(C632:D632)</f>
        <v>10339.614797468346</v>
      </c>
      <c r="F632" s="180">
        <f>(F624/F612)*BB64</f>
        <v>23.106068774573039</v>
      </c>
      <c r="G632" s="180">
        <f>(G625/G612)*BB77</f>
        <v>0</v>
      </c>
      <c r="H632" s="180">
        <f>(H628/H612)*BB60</f>
        <v>6965.3337722153392</v>
      </c>
      <c r="I632" s="180">
        <f>(I629/I612)*BB78</f>
        <v>3423.0087409756643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41475</v>
      </c>
      <c r="D634" s="180">
        <f>(D615/D612)*BI76</f>
        <v>0</v>
      </c>
      <c r="E634" s="180">
        <f>(E623/E612)*SUM(C634:D634)</f>
        <v>2735.7645169285079</v>
      </c>
      <c r="F634" s="180">
        <f>(F624/F612)*BI64</f>
        <v>5952.3242386671855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655829</v>
      </c>
      <c r="D635" s="180">
        <f>(D615/D612)*BK76</f>
        <v>31416.782755363649</v>
      </c>
      <c r="E635" s="180">
        <f>(E623/E612)*SUM(C635:D635)</f>
        <v>45331.950014970025</v>
      </c>
      <c r="F635" s="180">
        <f>(F624/F612)*BK64</f>
        <v>458.1029287480568</v>
      </c>
      <c r="G635" s="180">
        <f>(G625/G612)*BK77</f>
        <v>0</v>
      </c>
      <c r="H635" s="180">
        <f>(H628/H612)*BK60</f>
        <v>22670.821941297039</v>
      </c>
      <c r="I635" s="180">
        <f>(I629/I612)*BK78</f>
        <v>13457.122599325896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790355</v>
      </c>
      <c r="D636" s="180">
        <f>(D615/D612)*BH76</f>
        <v>17541.160707057079</v>
      </c>
      <c r="E636" s="180">
        <f>(E623/E612)*SUM(C636:D636)</f>
        <v>53290.262804704966</v>
      </c>
      <c r="F636" s="180">
        <f>(F624/F612)*BH64</f>
        <v>2564.3430861122424</v>
      </c>
      <c r="G636" s="180">
        <f>(G625/G612)*BH77</f>
        <v>0</v>
      </c>
      <c r="H636" s="180">
        <f>(H628/H612)*BH60</f>
        <v>9644.3082999904691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292213</v>
      </c>
      <c r="D637" s="180">
        <f>(D615/D612)*BL76</f>
        <v>58262.77236540278</v>
      </c>
      <c r="E637" s="180">
        <f>(E623/E612)*SUM(C637:D637)</f>
        <v>23118.003184578225</v>
      </c>
      <c r="F637" s="180">
        <f>(F624/F612)*BL64</f>
        <v>246.56041089886014</v>
      </c>
      <c r="G637" s="180">
        <f>(G625/G612)*BL77</f>
        <v>0</v>
      </c>
      <c r="H637" s="180">
        <f>(H628/H612)*BL60</f>
        <v>13696.257273250352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257913</v>
      </c>
      <c r="D642" s="180">
        <f>(D615/D612)*BV76</f>
        <v>20909.894616111185</v>
      </c>
      <c r="E642" s="180">
        <f>(E623/E612)*SUM(C642:D642)</f>
        <v>18391.652359205636</v>
      </c>
      <c r="F642" s="180">
        <f>(F624/F612)*BV64</f>
        <v>81.230030598809563</v>
      </c>
      <c r="G642" s="180">
        <f>(G625/G612)*BV77</f>
        <v>0</v>
      </c>
      <c r="H642" s="180">
        <f>(H628/H612)*BV60</f>
        <v>8740.1543968663627</v>
      </c>
      <c r="I642" s="180">
        <f>(I629/I612)*BV78</f>
        <v>5537.2200221665162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1915</v>
      </c>
      <c r="D643" s="180">
        <f>(D615/D612)*BW76</f>
        <v>0</v>
      </c>
      <c r="E643" s="180">
        <f>(E623/E612)*SUM(C643:D643)</f>
        <v>126.31679445251581</v>
      </c>
      <c r="F643" s="180">
        <f>(F624/F612)*BW64</f>
        <v>0.14351595512157167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61372</v>
      </c>
      <c r="D644" s="180">
        <f>(D615/D612)*BX76</f>
        <v>1276.2604236945083</v>
      </c>
      <c r="E644" s="180">
        <f>(E623/E612)*SUM(C644:D644)</f>
        <v>4132.3903053511749</v>
      </c>
      <c r="F644" s="180">
        <f>(F624/F612)*BX64</f>
        <v>4.3054786536471497</v>
      </c>
      <c r="G644" s="180">
        <f>(G625/G612)*BX77</f>
        <v>0</v>
      </c>
      <c r="H644" s="180">
        <f>(H628/H612)*BX60</f>
        <v>2210.1539854144826</v>
      </c>
      <c r="I644" s="180">
        <f>(I629/I612)*BX78</f>
        <v>201.35345535150967</v>
      </c>
      <c r="J644" s="180">
        <f>(J630/J612)*BX79</f>
        <v>0</v>
      </c>
      <c r="K644" s="180">
        <f>SUM(C631:J644)</f>
        <v>2640572.2972641848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264006</v>
      </c>
      <c r="D645" s="180">
        <f>(D615/D612)*BY76</f>
        <v>3843.6215085683443</v>
      </c>
      <c r="E645" s="180">
        <f>(E623/E612)*SUM(C645:D645)</f>
        <v>17667.835814246468</v>
      </c>
      <c r="F645" s="180">
        <f>(F624/F612)*BY64</f>
        <v>270.09702753879787</v>
      </c>
      <c r="G645" s="180">
        <f>(G625/G612)*BY77</f>
        <v>0</v>
      </c>
      <c r="H645" s="180">
        <f>(H628/H612)*BY60</f>
        <v>8304.8210361029032</v>
      </c>
      <c r="I645" s="180">
        <f>(I629/I612)*BY78</f>
        <v>24263.091369856917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127832</v>
      </c>
      <c r="D647" s="180">
        <f>(D615/D612)*CA76</f>
        <v>3517.1362839023072</v>
      </c>
      <c r="E647" s="180">
        <f>(E623/E612)*SUM(C647:D647)</f>
        <v>8664.0218535191507</v>
      </c>
      <c r="F647" s="180">
        <f>(F624/F612)*CA64</f>
        <v>780.87031181647149</v>
      </c>
      <c r="G647" s="180">
        <f>(G625/G612)*CA77</f>
        <v>0</v>
      </c>
      <c r="H647" s="180">
        <f>(H628/H612)*CA60</f>
        <v>3348.7181597189128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462498.21336527023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6496147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341121</v>
      </c>
      <c r="D670" s="180">
        <f>(D615/D612)*E76</f>
        <v>204364.91040345433</v>
      </c>
      <c r="E670" s="180">
        <f>(E623/E612)*SUM(C670:D670)</f>
        <v>35981.217556750176</v>
      </c>
      <c r="F670" s="180">
        <f>(F624/F612)*E64</f>
        <v>1864.1287410740945</v>
      </c>
      <c r="G670" s="180">
        <f>(G625/G612)*E77</f>
        <v>21248.703781887132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72722.629146069681</v>
      </c>
      <c r="L670" s="180">
        <f>(L647/L612)*E80</f>
        <v>0</v>
      </c>
      <c r="M670" s="180">
        <f t="shared" si="20"/>
        <v>336182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2012367</v>
      </c>
      <c r="D676" s="180">
        <f>(D615/D612)*K76</f>
        <v>253100.25030360275</v>
      </c>
      <c r="E676" s="180">
        <f>(E623/E612)*SUM(C676:D676)</f>
        <v>149434.23550679183</v>
      </c>
      <c r="F676" s="180">
        <f>(F624/F612)*K64</f>
        <v>4462.0545606847845</v>
      </c>
      <c r="G676" s="180">
        <f>(G625/G612)*K77</f>
        <v>490381.40419855737</v>
      </c>
      <c r="H676" s="180">
        <f>(H628/H612)*K60</f>
        <v>75178.722685689587</v>
      </c>
      <c r="I676" s="180">
        <f>(I629/I612)*K78</f>
        <v>149001.55696011716</v>
      </c>
      <c r="J676" s="180">
        <f>(J630/J612)*K79</f>
        <v>64544.307076083547</v>
      </c>
      <c r="K676" s="180">
        <f>(K644/K612)*K75</f>
        <v>217818.16317187392</v>
      </c>
      <c r="L676" s="180">
        <f>(L647/L612)*K80</f>
        <v>161654.60255956117</v>
      </c>
      <c r="M676" s="180">
        <f t="shared" si="20"/>
        <v>1565575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1815277</v>
      </c>
      <c r="D677" s="180">
        <f>(D615/D612)*L76</f>
        <v>0</v>
      </c>
      <c r="E677" s="180">
        <f>(E623/E612)*SUM(C677:D677)</f>
        <v>119738.8886075089</v>
      </c>
      <c r="F677" s="180">
        <f>(F624/F612)*L64</f>
        <v>7344.4290033464304</v>
      </c>
      <c r="G677" s="180">
        <f>(G625/G612)*L77</f>
        <v>189366.36538408746</v>
      </c>
      <c r="H677" s="180">
        <f>(H628/H612)*L60</f>
        <v>68213.388913474264</v>
      </c>
      <c r="I677" s="180">
        <f>(I629/I612)*L78</f>
        <v>127423.17832828037</v>
      </c>
      <c r="J677" s="180">
        <f>(J630/J612)*L79</f>
        <v>70310.099882337847</v>
      </c>
      <c r="K677" s="180">
        <f>(K644/K612)*L75</f>
        <v>161713.92908265596</v>
      </c>
      <c r="L677" s="180">
        <f>(L647/L612)*L80</f>
        <v>156421.9330766233</v>
      </c>
      <c r="M677" s="180">
        <f t="shared" si="20"/>
        <v>900532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101382</v>
      </c>
      <c r="D684" s="180">
        <f>(D615/D612)*S76</f>
        <v>11145.018351099718</v>
      </c>
      <c r="E684" s="180">
        <f>(E623/E612)*SUM(C684:D684)</f>
        <v>7422.4815913369903</v>
      </c>
      <c r="F684" s="180">
        <f>(F624/F612)*S64</f>
        <v>3104.8241731000817</v>
      </c>
      <c r="G684" s="180">
        <f>(G625/G612)*S77</f>
        <v>0</v>
      </c>
      <c r="H684" s="180">
        <f>(H628/H612)*S60</f>
        <v>4051.9489732598845</v>
      </c>
      <c r="I684" s="180">
        <f>(I629/I612)*S78</f>
        <v>8523.96294321391</v>
      </c>
      <c r="J684" s="180">
        <f>(J630/J612)*S79</f>
        <v>0</v>
      </c>
      <c r="K684" s="180">
        <f>(K644/K612)*S75</f>
        <v>15889.406077179807</v>
      </c>
      <c r="L684" s="180">
        <f>(L647/L612)*S80</f>
        <v>0</v>
      </c>
      <c r="M684" s="180">
        <f t="shared" si="20"/>
        <v>50138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1630</v>
      </c>
      <c r="D685" s="180">
        <f>(D615/D612)*T76</f>
        <v>0</v>
      </c>
      <c r="E685" s="180">
        <f>(E623/E612)*SUM(C685:D685)</f>
        <v>107.51768927289856</v>
      </c>
      <c r="F685" s="180">
        <f>(F624/F612)*T64</f>
        <v>171.93211423564287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37221.179635668464</v>
      </c>
      <c r="L685" s="180">
        <f>(L647/L612)*T80</f>
        <v>0</v>
      </c>
      <c r="M685" s="180">
        <f t="shared" si="20"/>
        <v>37501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931190</v>
      </c>
      <c r="D686" s="180">
        <f>(D615/D612)*U76</f>
        <v>17556.000944541898</v>
      </c>
      <c r="E686" s="180">
        <f>(E623/E612)*SUM(C686:D686)</f>
        <v>62580.967931570791</v>
      </c>
      <c r="F686" s="180">
        <f>(F624/F612)*U64</f>
        <v>43231.024129360791</v>
      </c>
      <c r="G686" s="180">
        <f>(G625/G612)*U77</f>
        <v>0</v>
      </c>
      <c r="H686" s="180">
        <f>(H628/H612)*U60</f>
        <v>21331.334677409475</v>
      </c>
      <c r="I686" s="180">
        <f>(I629/I612)*U78</f>
        <v>12886.621142496619</v>
      </c>
      <c r="J686" s="180">
        <f>(J630/J612)*U79</f>
        <v>0</v>
      </c>
      <c r="K686" s="180">
        <f>(K644/K612)*U75</f>
        <v>316338.69191873266</v>
      </c>
      <c r="L686" s="180">
        <f>(L647/L612)*U80</f>
        <v>0</v>
      </c>
      <c r="M686" s="180">
        <f t="shared" si="20"/>
        <v>473925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10396.614243113481</v>
      </c>
      <c r="L687" s="180">
        <f>(L647/L612)*V80</f>
        <v>0</v>
      </c>
      <c r="M687" s="180">
        <f t="shared" si="20"/>
        <v>10397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111769</v>
      </c>
      <c r="D688" s="180">
        <f>(D615/D612)*W76</f>
        <v>0</v>
      </c>
      <c r="E688" s="180">
        <f>(E623/E612)*SUM(C688:D688)</f>
        <v>7372.4813572653993</v>
      </c>
      <c r="F688" s="180">
        <f>(F624/F612)*W64</f>
        <v>0</v>
      </c>
      <c r="G688" s="180">
        <f>(G625/G612)*W77</f>
        <v>0</v>
      </c>
      <c r="H688" s="180">
        <f>(H628/H612)*W60</f>
        <v>133.94872638875651</v>
      </c>
      <c r="I688" s="180">
        <f>(I629/I612)*W78</f>
        <v>0</v>
      </c>
      <c r="J688" s="180">
        <f>(J630/J612)*W79</f>
        <v>425.38521968570865</v>
      </c>
      <c r="K688" s="180">
        <f>(K644/K612)*W75</f>
        <v>53597.516157931175</v>
      </c>
      <c r="L688" s="180">
        <f>(L647/L612)*W80</f>
        <v>0</v>
      </c>
      <c r="M688" s="180">
        <f t="shared" si="20"/>
        <v>61529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175215</v>
      </c>
      <c r="D689" s="180">
        <f>(D615/D612)*X76</f>
        <v>7583.3613547429495</v>
      </c>
      <c r="E689" s="180">
        <f>(E623/E612)*SUM(C689:D689)</f>
        <v>12057.703936033302</v>
      </c>
      <c r="F689" s="180">
        <f>(F624/F612)*X64</f>
        <v>1886.3737141179381</v>
      </c>
      <c r="G689" s="180">
        <f>(G625/G612)*X77</f>
        <v>0</v>
      </c>
      <c r="H689" s="180">
        <f>(H628/H612)*X60</f>
        <v>1841.7949878454021</v>
      </c>
      <c r="I689" s="180">
        <f>(I629/I612)*X78</f>
        <v>17417.073887905586</v>
      </c>
      <c r="J689" s="180">
        <f>(J630/J612)*X79</f>
        <v>2870.7425397075535</v>
      </c>
      <c r="K689" s="180">
        <f>(K644/K612)*X75</f>
        <v>198113.06192025892</v>
      </c>
      <c r="L689" s="180">
        <f>(L647/L612)*X80</f>
        <v>0</v>
      </c>
      <c r="M689" s="180">
        <f t="shared" si="20"/>
        <v>241770</v>
      </c>
      <c r="N689" s="198" t="s">
        <v>699</v>
      </c>
    </row>
    <row r="690" spans="1:14" ht="12.6" customHeight="1" x14ac:dyDescent="0.25">
      <c r="A690" s="196">
        <v>7140</v>
      </c>
      <c r="B690" s="198" t="s">
        <v>985</v>
      </c>
      <c r="C690" s="180">
        <f>Y71</f>
        <v>831598</v>
      </c>
      <c r="D690" s="180">
        <f>(D615/D612)*Y76</f>
        <v>20613.08986641479</v>
      </c>
      <c r="E690" s="180">
        <f>(E623/E612)*SUM(C690:D690)</f>
        <v>56213.354082929705</v>
      </c>
      <c r="F690" s="180">
        <f>(F624/F612)*Y64</f>
        <v>649.98376074559815</v>
      </c>
      <c r="G690" s="180">
        <f>(G625/G612)*Y77</f>
        <v>0</v>
      </c>
      <c r="H690" s="180">
        <f>(H628/H612)*Y60</f>
        <v>13997.641907625055</v>
      </c>
      <c r="I690" s="180">
        <f>(I629/I612)*Y78</f>
        <v>15705.569517417754</v>
      </c>
      <c r="J690" s="180">
        <f>(J630/J612)*Y79</f>
        <v>7571.8569104056132</v>
      </c>
      <c r="K690" s="180">
        <f>(K644/K612)*Y75</f>
        <v>204411.23671049235</v>
      </c>
      <c r="L690" s="180">
        <f>(L647/L612)*Y80</f>
        <v>0</v>
      </c>
      <c r="M690" s="180">
        <f t="shared" si="20"/>
        <v>319163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-235300</v>
      </c>
      <c r="D693" s="180">
        <f>(D615/D612)*AB76</f>
        <v>5505.7281068681687</v>
      </c>
      <c r="E693" s="180">
        <f>(E623/E612)*SUM(C693:D693)</f>
        <v>-15157.637498219459</v>
      </c>
      <c r="F693" s="180">
        <f>(F624/F612)*AB64</f>
        <v>31439.896772527583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81603.591223788433</v>
      </c>
      <c r="L693" s="180">
        <f>(L647/L612)*AB80</f>
        <v>0</v>
      </c>
      <c r="M693" s="180">
        <f t="shared" si="20"/>
        <v>103392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820768</v>
      </c>
      <c r="D696" s="180">
        <f>(D615/D612)*AE76</f>
        <v>42725.043718796383</v>
      </c>
      <c r="E696" s="180">
        <f>(E623/E612)*SUM(C696:D696)</f>
        <v>56957.5317569736</v>
      </c>
      <c r="F696" s="180">
        <f>(F624/F612)*AE64</f>
        <v>891.23408130496011</v>
      </c>
      <c r="G696" s="180">
        <f>(G625/G612)*AE77</f>
        <v>0</v>
      </c>
      <c r="H696" s="180">
        <f>(H628/H612)*AE60</f>
        <v>0</v>
      </c>
      <c r="I696" s="180">
        <f>(I629/I612)*AE78</f>
        <v>8423.2862155381536</v>
      </c>
      <c r="J696" s="180">
        <f>(J630/J612)*AE79</f>
        <v>13597.742393839166</v>
      </c>
      <c r="K696" s="180">
        <f>(K644/K612)*AE75</f>
        <v>177979.67829050205</v>
      </c>
      <c r="L696" s="180">
        <f>(L647/L612)*AE80</f>
        <v>0</v>
      </c>
      <c r="M696" s="180">
        <f t="shared" si="20"/>
        <v>300575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2594611</v>
      </c>
      <c r="D698" s="180">
        <f>(D615/D612)*AG76</f>
        <v>43096.049655916882</v>
      </c>
      <c r="E698" s="180">
        <f>(E623/E612)*SUM(C698:D698)</f>
        <v>173987.83248947174</v>
      </c>
      <c r="F698" s="180">
        <f>(F624/F612)*AG64</f>
        <v>6493.666421385753</v>
      </c>
      <c r="G698" s="180">
        <f>(G625/G612)*AG77</f>
        <v>61.985716983334683</v>
      </c>
      <c r="H698" s="180">
        <f>(H628/H612)*AG60</f>
        <v>38744.669107947826</v>
      </c>
      <c r="I698" s="180">
        <f>(I629/I612)*AG78</f>
        <v>82185.768692641199</v>
      </c>
      <c r="J698" s="180">
        <f>(J630/J612)*AG79</f>
        <v>40005.656831927954</v>
      </c>
      <c r="K698" s="180">
        <f>(K644/K612)*AG75</f>
        <v>545399.10520668072</v>
      </c>
      <c r="L698" s="180">
        <f>(L647/L612)*AG80</f>
        <v>81978.488566026921</v>
      </c>
      <c r="M698" s="180">
        <f t="shared" si="20"/>
        <v>1011953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48373.401722785042</v>
      </c>
      <c r="L700" s="180">
        <f>(L647/L612)*AI80</f>
        <v>0</v>
      </c>
      <c r="M700" s="180">
        <f t="shared" si="20"/>
        <v>48373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2275596</v>
      </c>
      <c r="D701" s="180">
        <f>(D615/D612)*AJ76</f>
        <v>82259.436378356491</v>
      </c>
      <c r="E701" s="180">
        <f>(E623/E612)*SUM(C701:D701)</f>
        <v>155528.3240238913</v>
      </c>
      <c r="F701" s="180">
        <f>(F624/F612)*AJ64</f>
        <v>12414.704181836436</v>
      </c>
      <c r="G701" s="180">
        <f>(G625/G612)*AJ77</f>
        <v>0</v>
      </c>
      <c r="H701" s="180">
        <f>(H628/H612)*AJ60</f>
        <v>54584.106003418281</v>
      </c>
      <c r="I701" s="180">
        <f>(I629/I612)*AJ78</f>
        <v>58459.619870388306</v>
      </c>
      <c r="J701" s="180">
        <f>(J630/J612)*AJ79</f>
        <v>862.92430279100893</v>
      </c>
      <c r="K701" s="180">
        <f>(K644/K612)*AJ75</f>
        <v>393358.42813927622</v>
      </c>
      <c r="L701" s="180">
        <f>(L647/L612)*AJ80</f>
        <v>62443.1891630588</v>
      </c>
      <c r="M701" s="180">
        <f t="shared" si="20"/>
        <v>819911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292768</v>
      </c>
      <c r="D702" s="180">
        <f>(D615/D612)*AK76</f>
        <v>9794.5567399811098</v>
      </c>
      <c r="E702" s="180">
        <f>(E623/E612)*SUM(C702:D702)</f>
        <v>19957.562552873027</v>
      </c>
      <c r="F702" s="180">
        <f>(F624/F612)*AK64</f>
        <v>548.3744645195253</v>
      </c>
      <c r="G702" s="180">
        <f>(G625/G612)*AK77</f>
        <v>0</v>
      </c>
      <c r="H702" s="180">
        <f>(H628/H612)*AK60</f>
        <v>0</v>
      </c>
      <c r="I702" s="180">
        <f>(I629/I612)*AK78</f>
        <v>2516.9181918938707</v>
      </c>
      <c r="J702" s="180">
        <f>(J630/J612)*AK79</f>
        <v>3835.7592952231325</v>
      </c>
      <c r="K702" s="180">
        <f>(K644/K612)*AK75</f>
        <v>66678.415634638353</v>
      </c>
      <c r="L702" s="180">
        <f>(L647/L612)*AK80</f>
        <v>0</v>
      </c>
      <c r="M702" s="180">
        <f t="shared" si="20"/>
        <v>103332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158379</v>
      </c>
      <c r="D703" s="180">
        <f>(D615/D612)*AL76</f>
        <v>1335.6213736337877</v>
      </c>
      <c r="E703" s="180">
        <f>(E623/E612)*SUM(C703:D703)</f>
        <v>10535.059529563805</v>
      </c>
      <c r="F703" s="180">
        <f>(F624/F612)*AL64</f>
        <v>395.81700422529468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38957.248982537385</v>
      </c>
      <c r="L703" s="180">
        <f>(L647/L612)*AL80</f>
        <v>0</v>
      </c>
      <c r="M703" s="180">
        <f t="shared" si="20"/>
        <v>51224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175794</v>
      </c>
      <c r="D713" s="180">
        <f>(D615/D612)*AV76</f>
        <v>27929.326946430981</v>
      </c>
      <c r="E713" s="180">
        <f>(E623/E612)*SUM(C713:D713)</f>
        <v>13437.95175721932</v>
      </c>
      <c r="F713" s="180">
        <f>(F624/F612)*AV64</f>
        <v>605.92436252327559</v>
      </c>
      <c r="G713" s="180">
        <f>(G625/G612)*AV77</f>
        <v>0</v>
      </c>
      <c r="H713" s="180">
        <f>(H628/H612)*AV60</f>
        <v>10113.128842351116</v>
      </c>
      <c r="I713" s="180">
        <f>(I629/I612)*AV78</f>
        <v>8591.0807616644124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60677</v>
      </c>
      <c r="N713" s="199" t="s">
        <v>741</v>
      </c>
    </row>
    <row r="715" spans="1:15" ht="12.6" customHeight="1" x14ac:dyDescent="0.25">
      <c r="C715" s="180">
        <f>SUM(C614:C647)+SUM(C668:C713)</f>
        <v>18900312</v>
      </c>
      <c r="D715" s="180">
        <f>SUM(D616:D647)+SUM(D668:D713)</f>
        <v>1099810</v>
      </c>
      <c r="E715" s="180">
        <f>SUM(E624:E647)+SUM(E668:E713)</f>
        <v>1169552.3362569155</v>
      </c>
      <c r="F715" s="180">
        <f>SUM(F625:F648)+SUM(F668:F713)</f>
        <v>169112.16923345911</v>
      </c>
      <c r="G715" s="180">
        <f>SUM(G626:G647)+SUM(G668:G713)</f>
        <v>832765.7105277048</v>
      </c>
      <c r="H715" s="180">
        <f>SUM(H629:H647)+SUM(H668:H713)</f>
        <v>403721.46133571217</v>
      </c>
      <c r="I715" s="180">
        <f>SUM(I630:I647)+SUM(I668:I713)</f>
        <v>538016.43269923399</v>
      </c>
      <c r="J715" s="180">
        <f>SUM(J631:J647)+SUM(J668:J713)</f>
        <v>204024.47445200154</v>
      </c>
      <c r="K715" s="180">
        <f>SUM(K668:K713)</f>
        <v>2640572.2972641843</v>
      </c>
      <c r="L715" s="180">
        <f>SUM(L668:L713)</f>
        <v>462498.21336527023</v>
      </c>
      <c r="M715" s="180">
        <f>SUM(M668:M713)</f>
        <v>6496149</v>
      </c>
      <c r="N715" s="198" t="s">
        <v>742</v>
      </c>
    </row>
    <row r="716" spans="1:15" ht="12.6" customHeight="1" x14ac:dyDescent="0.25">
      <c r="C716" s="180">
        <f>CE71</f>
        <v>18900312</v>
      </c>
      <c r="D716" s="180">
        <f>D615</f>
        <v>1099810</v>
      </c>
      <c r="E716" s="180">
        <f>E623</f>
        <v>1169552.3362569155</v>
      </c>
      <c r="F716" s="180">
        <f>F624</f>
        <v>169112.16923345911</v>
      </c>
      <c r="G716" s="180">
        <f>G625</f>
        <v>832765.7105277048</v>
      </c>
      <c r="H716" s="180">
        <f>H628</f>
        <v>403721.46133571205</v>
      </c>
      <c r="I716" s="180">
        <f>I629</f>
        <v>538016.43269923388</v>
      </c>
      <c r="J716" s="180">
        <f>J630</f>
        <v>204024.47445200154</v>
      </c>
      <c r="K716" s="180">
        <f>K644</f>
        <v>2640572.2972641848</v>
      </c>
      <c r="L716" s="180">
        <f>L647</f>
        <v>462498.21336527023</v>
      </c>
      <c r="M716" s="180">
        <f>C648</f>
        <v>6496147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719"/>
  <sheetViews>
    <sheetView showGridLines="0" zoomScale="75" workbookViewId="0">
      <selection activeCell="B2" sqref="B2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967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968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992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963</v>
      </c>
      <c r="C10" s="232"/>
    </row>
    <row r="11" spans="1:6" ht="12.75" customHeight="1" x14ac:dyDescent="0.25">
      <c r="A11" s="198" t="s">
        <v>966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994</v>
      </c>
      <c r="C16" s="232"/>
      <c r="F16" s="273" t="s">
        <v>993</v>
      </c>
    </row>
    <row r="17" spans="1:6" ht="12.75" customHeight="1" x14ac:dyDescent="0.25">
      <c r="A17" s="180" t="s">
        <v>965</v>
      </c>
      <c r="C17" s="273" t="s">
        <v>993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969</v>
      </c>
      <c r="B20" s="269"/>
      <c r="C20" s="274"/>
      <c r="D20" s="269"/>
      <c r="E20" s="269"/>
      <c r="F20" s="269"/>
    </row>
    <row r="21" spans="1:6" ht="22.65" customHeight="1" x14ac:dyDescent="0.25">
      <c r="A21" s="199"/>
      <c r="C21" s="232"/>
    </row>
    <row r="22" spans="1:6" ht="12.6" customHeight="1" x14ac:dyDescent="0.25">
      <c r="A22" s="233" t="s">
        <v>989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970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971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972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973</v>
      </c>
      <c r="C36" s="232"/>
    </row>
    <row r="37" spans="1:83" ht="12.6" customHeight="1" x14ac:dyDescent="0.25">
      <c r="A37" s="199" t="s">
        <v>964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929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1858186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264674</v>
      </c>
      <c r="L48" s="195">
        <f>ROUND(((B48/CE61)*L61),0)</f>
        <v>250089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11957</v>
      </c>
      <c r="T48" s="195">
        <f>ROUND(((B48/CE61)*T61),0)</f>
        <v>0</v>
      </c>
      <c r="U48" s="195">
        <f>ROUND(((B48/CE61)*U61),0)</f>
        <v>83967</v>
      </c>
      <c r="V48" s="195">
        <f>ROUND(((B48/CE61)*V61),0)</f>
        <v>0</v>
      </c>
      <c r="W48" s="195">
        <f>ROUND(((B48/CE61)*W61),0)</f>
        <v>460</v>
      </c>
      <c r="X48" s="195">
        <f>ROUND(((B48/CE61)*X61),0)</f>
        <v>9947</v>
      </c>
      <c r="Y48" s="195">
        <f>ROUND(((B48/CE61)*Y61),0)</f>
        <v>73060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133554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356781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23435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96342</v>
      </c>
      <c r="AZ48" s="195">
        <f>ROUND(((B48/CE61)*AZ61),0)</f>
        <v>0</v>
      </c>
      <c r="BA48" s="195">
        <f>ROUND(((B48/CE61)*BA61),0)</f>
        <v>17953</v>
      </c>
      <c r="BB48" s="195">
        <f>ROUND(((B48/CE61)*BB61),0)</f>
        <v>27415</v>
      </c>
      <c r="BC48" s="195">
        <f>ROUND(((B48/CE61)*BC61),0)</f>
        <v>0</v>
      </c>
      <c r="BD48" s="195">
        <f>ROUND(((B48/CE61)*BD61),0)</f>
        <v>10135</v>
      </c>
      <c r="BE48" s="195">
        <f>ROUND(((B48/CE61)*BE61),0)</f>
        <v>36226</v>
      </c>
      <c r="BF48" s="195">
        <f>ROUND(((B48/CE61)*BF61),0)</f>
        <v>72699</v>
      </c>
      <c r="BG48" s="195">
        <f>ROUND(((B48/CE61)*BG61),0)</f>
        <v>0</v>
      </c>
      <c r="BH48" s="195">
        <f>ROUND(((B48/CE61)*BH61),0)</f>
        <v>39969</v>
      </c>
      <c r="BI48" s="195">
        <f>ROUND(((B48/CE61)*BI61),0)</f>
        <v>0</v>
      </c>
      <c r="BJ48" s="195">
        <f>ROUND(((B48/CE61)*BJ61),0)</f>
        <v>43029</v>
      </c>
      <c r="BK48" s="195">
        <f>ROUND(((B48/CE61)*BK61),0)</f>
        <v>74410</v>
      </c>
      <c r="BL48" s="195">
        <f>ROUND(((B48/CE61)*BL61),0)</f>
        <v>33903</v>
      </c>
      <c r="BM48" s="195">
        <f>ROUND(((B48/CE61)*BM61),0)</f>
        <v>0</v>
      </c>
      <c r="BN48" s="195">
        <f>ROUND(((B48/CE61)*BN61),0)</f>
        <v>46744</v>
      </c>
      <c r="BO48" s="195">
        <f>ROUND(((B48/CE61)*BO61),0)</f>
        <v>0</v>
      </c>
      <c r="BP48" s="195">
        <f>ROUND(((B48/CE61)*BP61),0)</f>
        <v>12946</v>
      </c>
      <c r="BQ48" s="195">
        <f>ROUND(((B48/CE61)*BQ61),0)</f>
        <v>0</v>
      </c>
      <c r="BR48" s="195">
        <f>ROUND(((B48/CE61)*BR61),0)</f>
        <v>22937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34158</v>
      </c>
      <c r="BW48" s="195">
        <f>ROUND(((B48/CE61)*BW61),0)</f>
        <v>0</v>
      </c>
      <c r="BX48" s="195">
        <f>ROUND(((B48/CE61)*BX61),0)</f>
        <v>13187</v>
      </c>
      <c r="BY48" s="195">
        <f>ROUND(((B48/CE61)*BY61),0)</f>
        <v>46212</v>
      </c>
      <c r="BZ48" s="195">
        <f>ROUND(((B48/CE61)*BZ61),0)</f>
        <v>0</v>
      </c>
      <c r="CA48" s="195">
        <f>ROUND(((B48/CE61)*CA61),0)</f>
        <v>21995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1858184</v>
      </c>
    </row>
    <row r="49" spans="1:84" ht="12.6" customHeight="1" x14ac:dyDescent="0.25">
      <c r="A49" s="175" t="s">
        <v>206</v>
      </c>
      <c r="B49" s="195">
        <f>B47+B48</f>
        <v>1858186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1534903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271986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336848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14833</v>
      </c>
      <c r="T52" s="195">
        <f>ROUND((B52/(CE76+CF76)*T76),0)</f>
        <v>0</v>
      </c>
      <c r="U52" s="195">
        <f>ROUND((B52/(CE76+CF76)*U76),0)</f>
        <v>23365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10093</v>
      </c>
      <c r="Y52" s="195">
        <f>ROUND((B52/(CE76+CF76)*Y76),0)</f>
        <v>27434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7327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56862</v>
      </c>
      <c r="AF52" s="195">
        <f>ROUND((B52/(CE76+CF76)*AF76),0)</f>
        <v>0</v>
      </c>
      <c r="AG52" s="195">
        <f>ROUND((B52/(CE76+CF76)*AG76),0)</f>
        <v>57356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109478</v>
      </c>
      <c r="AK52" s="195">
        <f>ROUND((B52/(CE76+CF76)*AK76),0)</f>
        <v>13035</v>
      </c>
      <c r="AL52" s="195">
        <f>ROUND((B52/(CE76+CF76)*AL76),0)</f>
        <v>1778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37171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26663</v>
      </c>
      <c r="AZ52" s="195">
        <f>ROUND((B52/(CE76+CF76)*AZ76),0)</f>
        <v>58561</v>
      </c>
      <c r="BA52" s="195">
        <f>ROUND((B52/(CE76+CF76)*BA76),0)</f>
        <v>27651</v>
      </c>
      <c r="BB52" s="195">
        <f>ROUND((B52/(CE76+CF76)*BB76),0)</f>
        <v>1778</v>
      </c>
      <c r="BC52" s="195">
        <f>ROUND((B52/(CE76+CF76)*BC76),0)</f>
        <v>0</v>
      </c>
      <c r="BD52" s="195">
        <f>ROUND((B52/(CE76+CF76)*BD76),0)</f>
        <v>48152</v>
      </c>
      <c r="BE52" s="195">
        <f>ROUND((B52/(CE76+CF76)*BE76),0)</f>
        <v>71181</v>
      </c>
      <c r="BF52" s="195">
        <f>ROUND((B52/(CE76+CF76)*BF76),0)</f>
        <v>30219</v>
      </c>
      <c r="BG52" s="195">
        <f>ROUND((B52/(CE76+CF76)*BG76),0)</f>
        <v>0</v>
      </c>
      <c r="BH52" s="195">
        <f>ROUND((B52/(CE76+CF76)*BH76),0)</f>
        <v>10626</v>
      </c>
      <c r="BI52" s="195">
        <f>ROUND((B52/(CE76+CF76)*BI76),0)</f>
        <v>0</v>
      </c>
      <c r="BJ52" s="195">
        <f>ROUND((B52/(CE76+CF76)*BJ76),0)</f>
        <v>14872</v>
      </c>
      <c r="BK52" s="195">
        <f>ROUND((B52/(CE76+CF76)*BK76),0)</f>
        <v>41812</v>
      </c>
      <c r="BL52" s="195">
        <f>ROUND((B52/(CE76+CF76)*BL76),0)</f>
        <v>77541</v>
      </c>
      <c r="BM52" s="195">
        <f>ROUND((B52/(CE76+CF76)*BM76),0)</f>
        <v>0</v>
      </c>
      <c r="BN52" s="195">
        <f>ROUND((B52/(CE76+CF76)*BN76),0)</f>
        <v>116963</v>
      </c>
      <c r="BO52" s="195">
        <f>ROUND((B52/(CE76+CF76)*BO76),0)</f>
        <v>0</v>
      </c>
      <c r="BP52" s="195">
        <f>ROUND((B52/(CE76+CF76)*BP76),0)</f>
        <v>1995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27829</v>
      </c>
      <c r="BW52" s="195">
        <f>ROUND((B52/(CE76+CF76)*BW76),0)</f>
        <v>0</v>
      </c>
      <c r="BX52" s="195">
        <f>ROUND((B52/(CE76+CF76)*BX76),0)</f>
        <v>1699</v>
      </c>
      <c r="BY52" s="195">
        <f>ROUND((B52/(CE76+CF76)*BY76),0)</f>
        <v>5115</v>
      </c>
      <c r="BZ52" s="195">
        <f>ROUND((B52/(CE76+CF76)*BZ76),0)</f>
        <v>0</v>
      </c>
      <c r="CA52" s="195">
        <f>ROUND((B52/(CE76+CF76)*CA76),0)</f>
        <v>4681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1534904</v>
      </c>
    </row>
    <row r="53" spans="1:84" ht="12.6" customHeight="1" x14ac:dyDescent="0.25">
      <c r="A53" s="175" t="s">
        <v>206</v>
      </c>
      <c r="B53" s="195">
        <f>B51+B52</f>
        <v>1534903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929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947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470</v>
      </c>
      <c r="F59" s="184"/>
      <c r="G59" s="184"/>
      <c r="H59" s="184"/>
      <c r="I59" s="184"/>
      <c r="J59" s="184"/>
      <c r="K59" s="184">
        <f>4256+10167</f>
        <v>14423</v>
      </c>
      <c r="L59" s="184">
        <v>5013</v>
      </c>
      <c r="M59" s="184"/>
      <c r="N59" s="184"/>
      <c r="O59" s="184"/>
      <c r="P59" s="185"/>
      <c r="Q59" s="185"/>
      <c r="R59" s="185"/>
      <c r="S59" s="244"/>
      <c r="T59" s="244"/>
      <c r="U59" s="220">
        <v>129073</v>
      </c>
      <c r="V59" s="185"/>
      <c r="W59" s="185">
        <v>2639.2</v>
      </c>
      <c r="X59" s="185">
        <v>9840.42</v>
      </c>
      <c r="Y59" s="185">
        <v>6398</v>
      </c>
      <c r="Z59" s="185"/>
      <c r="AA59" s="185"/>
      <c r="AB59" s="244"/>
      <c r="AC59" s="185"/>
      <c r="AD59" s="185"/>
      <c r="AE59" s="185">
        <v>23685</v>
      </c>
      <c r="AF59" s="185"/>
      <c r="AG59" s="185">
        <v>5032</v>
      </c>
      <c r="AH59" s="185"/>
      <c r="AI59" s="185">
        <v>168</v>
      </c>
      <c r="AJ59" s="185">
        <f>10911+1535</f>
        <v>12446</v>
      </c>
      <c r="AK59" s="185">
        <v>9278</v>
      </c>
      <c r="AL59" s="185">
        <v>1710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4"/>
      <c r="AW59" s="244"/>
      <c r="AX59" s="244"/>
      <c r="AY59" s="185">
        <v>72463</v>
      </c>
      <c r="AZ59" s="185"/>
      <c r="BA59" s="244"/>
      <c r="BB59" s="244"/>
      <c r="BC59" s="244"/>
      <c r="BD59" s="244"/>
      <c r="BE59" s="185">
        <v>77714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/>
      <c r="D60" s="187"/>
      <c r="E60" s="187"/>
      <c r="F60" s="219"/>
      <c r="G60" s="187"/>
      <c r="H60" s="187"/>
      <c r="I60" s="187"/>
      <c r="J60" s="219"/>
      <c r="K60" s="187">
        <f>12.8+9.08</f>
        <v>21.880000000000003</v>
      </c>
      <c r="L60" s="187">
        <v>19.399999999999999</v>
      </c>
      <c r="M60" s="187"/>
      <c r="N60" s="187"/>
      <c r="O60" s="187"/>
      <c r="P60" s="217"/>
      <c r="Q60" s="217"/>
      <c r="R60" s="217"/>
      <c r="S60" s="217">
        <v>1.23</v>
      </c>
      <c r="T60" s="217"/>
      <c r="U60" s="217">
        <v>6.16</v>
      </c>
      <c r="V60" s="217"/>
      <c r="W60" s="217">
        <v>0.03</v>
      </c>
      <c r="X60" s="217">
        <v>0.52</v>
      </c>
      <c r="Y60" s="217">
        <v>4.07</v>
      </c>
      <c r="Z60" s="217"/>
      <c r="AA60" s="217"/>
      <c r="AB60" s="217"/>
      <c r="AC60" s="217"/>
      <c r="AD60" s="217"/>
      <c r="AE60" s="217"/>
      <c r="AF60" s="217"/>
      <c r="AG60" s="217">
        <v>9.2100000000000009</v>
      </c>
      <c r="AH60" s="217"/>
      <c r="AI60" s="217"/>
      <c r="AJ60" s="217">
        <v>17.510000000000002</v>
      </c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>
        <v>3.09</v>
      </c>
      <c r="AW60" s="217"/>
      <c r="AX60" s="217"/>
      <c r="AY60" s="217">
        <v>11.85</v>
      </c>
      <c r="AZ60" s="217"/>
      <c r="BA60" s="217">
        <v>2.48</v>
      </c>
      <c r="BB60" s="217">
        <v>2.04</v>
      </c>
      <c r="BC60" s="217"/>
      <c r="BD60" s="217">
        <v>0.81</v>
      </c>
      <c r="BE60" s="217">
        <v>3.23</v>
      </c>
      <c r="BF60" s="217">
        <v>9.5299999999999994</v>
      </c>
      <c r="BG60" s="217"/>
      <c r="BH60" s="217">
        <v>2.27</v>
      </c>
      <c r="BI60" s="217"/>
      <c r="BJ60" s="217">
        <v>2.2000000000000002</v>
      </c>
      <c r="BK60" s="217">
        <v>5.96</v>
      </c>
      <c r="BL60" s="217">
        <v>4.01</v>
      </c>
      <c r="BM60" s="217"/>
      <c r="BN60" s="217">
        <v>2</v>
      </c>
      <c r="BO60" s="217"/>
      <c r="BP60" s="217">
        <v>0.85</v>
      </c>
      <c r="BQ60" s="217"/>
      <c r="BR60" s="217">
        <v>1.19</v>
      </c>
      <c r="BS60" s="217"/>
      <c r="BT60" s="217"/>
      <c r="BU60" s="217"/>
      <c r="BV60" s="217">
        <v>2.9</v>
      </c>
      <c r="BW60" s="217"/>
      <c r="BX60" s="217">
        <v>0.7</v>
      </c>
      <c r="BY60" s="217">
        <v>2.5099999999999998</v>
      </c>
      <c r="BZ60" s="217"/>
      <c r="CA60" s="217">
        <v>1.01</v>
      </c>
      <c r="CB60" s="217"/>
      <c r="CC60" s="217"/>
      <c r="CD60" s="245" t="s">
        <v>221</v>
      </c>
      <c r="CE60" s="247">
        <f t="shared" ref="CE60:CE70" si="0">SUM(C60:CD60)</f>
        <v>138.63999999999999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>
        <f>667726+449646</f>
        <v>1117372</v>
      </c>
      <c r="L61" s="185">
        <v>1055800</v>
      </c>
      <c r="M61" s="184"/>
      <c r="N61" s="184"/>
      <c r="O61" s="184"/>
      <c r="P61" s="185"/>
      <c r="Q61" s="185"/>
      <c r="R61" s="185"/>
      <c r="S61" s="185">
        <v>50479</v>
      </c>
      <c r="T61" s="185"/>
      <c r="U61" s="185">
        <v>354484</v>
      </c>
      <c r="V61" s="185"/>
      <c r="W61" s="185">
        <v>1942</v>
      </c>
      <c r="X61" s="185">
        <v>41994</v>
      </c>
      <c r="Y61" s="185">
        <v>308437</v>
      </c>
      <c r="Z61" s="185"/>
      <c r="AA61" s="185"/>
      <c r="AB61" s="185"/>
      <c r="AC61" s="185"/>
      <c r="AD61" s="185"/>
      <c r="AE61" s="185"/>
      <c r="AF61" s="185"/>
      <c r="AG61" s="185">
        <v>563825</v>
      </c>
      <c r="AH61" s="185"/>
      <c r="AI61" s="185"/>
      <c r="AJ61" s="185">
        <v>1506219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98936</v>
      </c>
      <c r="AW61" s="185"/>
      <c r="AX61" s="185"/>
      <c r="AY61" s="185">
        <f>406728-1</f>
        <v>406727</v>
      </c>
      <c r="AZ61" s="185"/>
      <c r="BA61" s="185">
        <v>75793</v>
      </c>
      <c r="BB61" s="185">
        <v>115736</v>
      </c>
      <c r="BC61" s="185"/>
      <c r="BD61" s="185">
        <v>42786</v>
      </c>
      <c r="BE61" s="185">
        <v>152935</v>
      </c>
      <c r="BF61" s="185">
        <v>306914</v>
      </c>
      <c r="BG61" s="185"/>
      <c r="BH61" s="185">
        <v>168739</v>
      </c>
      <c r="BI61" s="185"/>
      <c r="BJ61" s="185">
        <v>181655</v>
      </c>
      <c r="BK61" s="185">
        <v>314136</v>
      </c>
      <c r="BL61" s="185">
        <v>143130</v>
      </c>
      <c r="BM61" s="185"/>
      <c r="BN61" s="185">
        <v>197340</v>
      </c>
      <c r="BO61" s="185"/>
      <c r="BP61" s="185">
        <v>54653</v>
      </c>
      <c r="BQ61" s="185"/>
      <c r="BR61" s="185">
        <v>96835</v>
      </c>
      <c r="BS61" s="185"/>
      <c r="BT61" s="185"/>
      <c r="BU61" s="185"/>
      <c r="BV61" s="185">
        <v>144205</v>
      </c>
      <c r="BW61" s="185"/>
      <c r="BX61" s="185">
        <v>55671</v>
      </c>
      <c r="BY61" s="185">
        <v>195095</v>
      </c>
      <c r="BZ61" s="185"/>
      <c r="CA61" s="185">
        <v>92855</v>
      </c>
      <c r="CB61" s="185"/>
      <c r="CC61" s="185"/>
      <c r="CD61" s="245" t="s">
        <v>221</v>
      </c>
      <c r="CE61" s="195">
        <f t="shared" si="0"/>
        <v>7844693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264674</v>
      </c>
      <c r="L62" s="195">
        <f t="shared" si="1"/>
        <v>250089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11957</v>
      </c>
      <c r="T62" s="195">
        <f t="shared" si="1"/>
        <v>0</v>
      </c>
      <c r="U62" s="195">
        <f t="shared" si="1"/>
        <v>83967</v>
      </c>
      <c r="V62" s="195">
        <f t="shared" si="1"/>
        <v>0</v>
      </c>
      <c r="W62" s="195">
        <f t="shared" si="1"/>
        <v>460</v>
      </c>
      <c r="X62" s="195">
        <f t="shared" si="1"/>
        <v>9947</v>
      </c>
      <c r="Y62" s="195">
        <f t="shared" si="1"/>
        <v>73060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133554</v>
      </c>
      <c r="AH62" s="195">
        <f t="shared" si="1"/>
        <v>0</v>
      </c>
      <c r="AI62" s="195">
        <f t="shared" si="1"/>
        <v>0</v>
      </c>
      <c r="AJ62" s="195">
        <f t="shared" si="1"/>
        <v>356781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23435</v>
      </c>
      <c r="AW62" s="195">
        <f t="shared" si="1"/>
        <v>0</v>
      </c>
      <c r="AX62" s="195">
        <f t="shared" si="1"/>
        <v>0</v>
      </c>
      <c r="AY62" s="195">
        <f>ROUND(AY47+AY48,0)</f>
        <v>96342</v>
      </c>
      <c r="AZ62" s="195">
        <f>ROUND(AZ47+AZ48,0)</f>
        <v>0</v>
      </c>
      <c r="BA62" s="195">
        <f>ROUND(BA47+BA48,0)</f>
        <v>17953</v>
      </c>
      <c r="BB62" s="195">
        <f t="shared" si="1"/>
        <v>27415</v>
      </c>
      <c r="BC62" s="195">
        <f t="shared" si="1"/>
        <v>0</v>
      </c>
      <c r="BD62" s="195">
        <f t="shared" si="1"/>
        <v>10135</v>
      </c>
      <c r="BE62" s="195">
        <f t="shared" si="1"/>
        <v>36226</v>
      </c>
      <c r="BF62" s="195">
        <f t="shared" si="1"/>
        <v>72699</v>
      </c>
      <c r="BG62" s="195">
        <f t="shared" si="1"/>
        <v>0</v>
      </c>
      <c r="BH62" s="195">
        <f t="shared" si="1"/>
        <v>39969</v>
      </c>
      <c r="BI62" s="195">
        <f t="shared" si="1"/>
        <v>0</v>
      </c>
      <c r="BJ62" s="195">
        <f t="shared" si="1"/>
        <v>43029</v>
      </c>
      <c r="BK62" s="195">
        <f t="shared" si="1"/>
        <v>74410</v>
      </c>
      <c r="BL62" s="195">
        <f t="shared" si="1"/>
        <v>33903</v>
      </c>
      <c r="BM62" s="195">
        <f t="shared" si="1"/>
        <v>0</v>
      </c>
      <c r="BN62" s="195">
        <f t="shared" si="1"/>
        <v>46744</v>
      </c>
      <c r="BO62" s="195">
        <f t="shared" ref="BO62:CC62" si="2">ROUND(BO47+BO48,0)</f>
        <v>0</v>
      </c>
      <c r="BP62" s="195">
        <f t="shared" si="2"/>
        <v>12946</v>
      </c>
      <c r="BQ62" s="195">
        <f t="shared" si="2"/>
        <v>0</v>
      </c>
      <c r="BR62" s="195">
        <f t="shared" si="2"/>
        <v>22937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34158</v>
      </c>
      <c r="BW62" s="195">
        <f t="shared" si="2"/>
        <v>0</v>
      </c>
      <c r="BX62" s="195">
        <f t="shared" si="2"/>
        <v>13187</v>
      </c>
      <c r="BY62" s="195">
        <f t="shared" si="2"/>
        <v>46212</v>
      </c>
      <c r="BZ62" s="195">
        <f t="shared" si="2"/>
        <v>0</v>
      </c>
      <c r="CA62" s="195">
        <f t="shared" si="2"/>
        <v>21995</v>
      </c>
      <c r="CB62" s="195">
        <f t="shared" si="2"/>
        <v>0</v>
      </c>
      <c r="CC62" s="195">
        <f t="shared" si="2"/>
        <v>0</v>
      </c>
      <c r="CD62" s="245" t="s">
        <v>221</v>
      </c>
      <c r="CE62" s="195">
        <f t="shared" si="0"/>
        <v>1858184</v>
      </c>
      <c r="CF62" s="248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>
        <f>65740+37142</f>
        <v>102882</v>
      </c>
      <c r="L63" s="185">
        <v>420409</v>
      </c>
      <c r="M63" s="184"/>
      <c r="N63" s="184"/>
      <c r="O63" s="184"/>
      <c r="P63" s="185"/>
      <c r="Q63" s="185"/>
      <c r="R63" s="185"/>
      <c r="S63" s="185"/>
      <c r="T63" s="185"/>
      <c r="U63" s="185">
        <v>57330</v>
      </c>
      <c r="V63" s="185"/>
      <c r="W63" s="185"/>
      <c r="X63" s="185"/>
      <c r="Y63" s="185">
        <v>282360</v>
      </c>
      <c r="Z63" s="185"/>
      <c r="AA63" s="185"/>
      <c r="AB63" s="185">
        <v>157884</v>
      </c>
      <c r="AC63" s="185"/>
      <c r="AD63" s="185"/>
      <c r="AE63" s="185">
        <v>783007</v>
      </c>
      <c r="AF63" s="185"/>
      <c r="AG63" s="185">
        <f>212066+1344086</f>
        <v>1556152</v>
      </c>
      <c r="AH63" s="185"/>
      <c r="AI63" s="185"/>
      <c r="AJ63" s="185">
        <v>27053</v>
      </c>
      <c r="AK63" s="185">
        <v>316704</v>
      </c>
      <c r="AL63" s="185">
        <v>121516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11977</v>
      </c>
      <c r="AZ63" s="185"/>
      <c r="BA63" s="185"/>
      <c r="BB63" s="185"/>
      <c r="BC63" s="185"/>
      <c r="BD63" s="185"/>
      <c r="BE63" s="185"/>
      <c r="BF63" s="185"/>
      <c r="BG63" s="185"/>
      <c r="BH63" s="185">
        <v>677</v>
      </c>
      <c r="BI63" s="185"/>
      <c r="BJ63" s="185">
        <v>79949</v>
      </c>
      <c r="BK63" s="185">
        <v>59294</v>
      </c>
      <c r="BL63" s="185">
        <v>60</v>
      </c>
      <c r="BM63" s="185"/>
      <c r="BN63" s="185">
        <v>101644</v>
      </c>
      <c r="BO63" s="185"/>
      <c r="BP63" s="185"/>
      <c r="BQ63" s="185"/>
      <c r="BR63" s="185">
        <v>6169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5" t="s">
        <v>221</v>
      </c>
      <c r="CE63" s="195">
        <f t="shared" si="0"/>
        <v>4085067</v>
      </c>
      <c r="CF63" s="248"/>
    </row>
    <row r="64" spans="1:84" ht="12.6" customHeight="1" x14ac:dyDescent="0.25">
      <c r="A64" s="171" t="s">
        <v>237</v>
      </c>
      <c r="B64" s="175"/>
      <c r="C64" s="184"/>
      <c r="D64" s="184"/>
      <c r="E64" s="185">
        <v>12284</v>
      </c>
      <c r="F64" s="185"/>
      <c r="G64" s="184"/>
      <c r="H64" s="184"/>
      <c r="I64" s="185"/>
      <c r="J64" s="185"/>
      <c r="K64" s="185">
        <f>17130+13002</f>
        <v>30132</v>
      </c>
      <c r="L64" s="185">
        <v>63404</v>
      </c>
      <c r="M64" s="184"/>
      <c r="N64" s="184"/>
      <c r="O64" s="184"/>
      <c r="P64" s="185"/>
      <c r="Q64" s="185"/>
      <c r="R64" s="185"/>
      <c r="S64" s="185">
        <v>21608</v>
      </c>
      <c r="T64" s="185">
        <v>379</v>
      </c>
      <c r="U64" s="185">
        <f>365773+13220+9</f>
        <v>379002</v>
      </c>
      <c r="V64" s="185"/>
      <c r="W64" s="185"/>
      <c r="X64" s="185">
        <v>18150</v>
      </c>
      <c r="Y64" s="185">
        <v>9040</v>
      </c>
      <c r="Z64" s="185"/>
      <c r="AA64" s="185"/>
      <c r="AB64" s="185">
        <f>152843+125593</f>
        <v>278436</v>
      </c>
      <c r="AC64" s="185"/>
      <c r="AD64" s="185"/>
      <c r="AE64" s="185">
        <v>23292</v>
      </c>
      <c r="AF64" s="185"/>
      <c r="AG64" s="185">
        <v>43253</v>
      </c>
      <c r="AH64" s="185"/>
      <c r="AI64" s="185"/>
      <c r="AJ64" s="185">
        <v>78486</v>
      </c>
      <c r="AK64" s="185">
        <v>7003</v>
      </c>
      <c r="AL64" s="185">
        <v>4427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5352</v>
      </c>
      <c r="AW64" s="185"/>
      <c r="AX64" s="185"/>
      <c r="AY64" s="185">
        <v>244390</v>
      </c>
      <c r="AZ64" s="185"/>
      <c r="BA64" s="185">
        <v>15681</v>
      </c>
      <c r="BB64" s="185">
        <v>159</v>
      </c>
      <c r="BC64" s="185"/>
      <c r="BD64" s="185">
        <v>7059</v>
      </c>
      <c r="BE64" s="185">
        <v>29594</v>
      </c>
      <c r="BF64" s="185">
        <v>25961</v>
      </c>
      <c r="BG64" s="185"/>
      <c r="BH64" s="185">
        <f>33508+33677</f>
        <v>67185</v>
      </c>
      <c r="BI64" s="185"/>
      <c r="BJ64" s="185">
        <v>1669</v>
      </c>
      <c r="BK64" s="185">
        <v>2815</v>
      </c>
      <c r="BL64" s="185">
        <v>1837</v>
      </c>
      <c r="BM64" s="185"/>
      <c r="BN64" s="185">
        <v>120</v>
      </c>
      <c r="BO64" s="185"/>
      <c r="BP64" s="185">
        <v>1321</v>
      </c>
      <c r="BQ64" s="185"/>
      <c r="BR64" s="185">
        <v>672</v>
      </c>
      <c r="BS64" s="185"/>
      <c r="BT64" s="185"/>
      <c r="BU64" s="185"/>
      <c r="BV64" s="185">
        <v>1589</v>
      </c>
      <c r="BW64" s="185"/>
      <c r="BX64" s="185">
        <v>40</v>
      </c>
      <c r="BY64" s="185">
        <v>1687</v>
      </c>
      <c r="BZ64" s="185"/>
      <c r="CA64" s="185">
        <v>5486</v>
      </c>
      <c r="CB64" s="185"/>
      <c r="CC64" s="185"/>
      <c r="CD64" s="245" t="s">
        <v>221</v>
      </c>
      <c r="CE64" s="195">
        <f t="shared" si="0"/>
        <v>1381513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180977</v>
      </c>
      <c r="BF65" s="185"/>
      <c r="BG65" s="185"/>
      <c r="BH65" s="185">
        <v>31960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5" t="s">
        <v>221</v>
      </c>
      <c r="CE65" s="195">
        <f t="shared" si="0"/>
        <v>212937</v>
      </c>
      <c r="CF65" s="248"/>
    </row>
    <row r="66" spans="1:84" ht="12.6" customHeight="1" x14ac:dyDescent="0.25">
      <c r="A66" s="171" t="s">
        <v>239</v>
      </c>
      <c r="B66" s="175"/>
      <c r="C66" s="184"/>
      <c r="D66" s="184"/>
      <c r="E66" s="184">
        <v>8329</v>
      </c>
      <c r="F66" s="184"/>
      <c r="G66" s="184"/>
      <c r="H66" s="184"/>
      <c r="I66" s="184"/>
      <c r="J66" s="184"/>
      <c r="K66" s="185">
        <f>3266+4940</f>
        <v>8206</v>
      </c>
      <c r="L66" s="185">
        <v>20103</v>
      </c>
      <c r="M66" s="184"/>
      <c r="N66" s="184"/>
      <c r="O66" s="185"/>
      <c r="P66" s="185"/>
      <c r="Q66" s="185"/>
      <c r="R66" s="185"/>
      <c r="S66" s="184"/>
      <c r="T66" s="184">
        <v>1797</v>
      </c>
      <c r="U66" s="185">
        <f>33095+7313</f>
        <v>40408</v>
      </c>
      <c r="V66" s="185"/>
      <c r="W66" s="185">
        <v>95843</v>
      </c>
      <c r="X66" s="185">
        <v>88979</v>
      </c>
      <c r="Y66" s="185">
        <v>98788</v>
      </c>
      <c r="Z66" s="185"/>
      <c r="AA66" s="185"/>
      <c r="AB66" s="185">
        <f>8304+228903</f>
        <v>237207</v>
      </c>
      <c r="AC66" s="185"/>
      <c r="AD66" s="185"/>
      <c r="AE66" s="185"/>
      <c r="AF66" s="185"/>
      <c r="AG66" s="185">
        <v>2141</v>
      </c>
      <c r="AH66" s="185"/>
      <c r="AI66" s="185"/>
      <c r="AJ66" s="185">
        <v>163035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900</v>
      </c>
      <c r="AZ66" s="185"/>
      <c r="BA66" s="185"/>
      <c r="BB66" s="185"/>
      <c r="BC66" s="185"/>
      <c r="BD66" s="185"/>
      <c r="BE66" s="185">
        <v>42523</v>
      </c>
      <c r="BF66" s="185"/>
      <c r="BG66" s="185"/>
      <c r="BH66" s="185">
        <v>376197</v>
      </c>
      <c r="BI66" s="185"/>
      <c r="BJ66" s="185"/>
      <c r="BK66" s="185">
        <v>45843</v>
      </c>
      <c r="BL66" s="185"/>
      <c r="BM66" s="185"/>
      <c r="BN66" s="185">
        <v>12286</v>
      </c>
      <c r="BO66" s="185"/>
      <c r="BP66" s="185">
        <v>28336</v>
      </c>
      <c r="BQ66" s="185"/>
      <c r="BR66" s="185">
        <v>11675</v>
      </c>
      <c r="BS66" s="185"/>
      <c r="BT66" s="185"/>
      <c r="BU66" s="185"/>
      <c r="BV66" s="185">
        <v>36276</v>
      </c>
      <c r="BW66" s="185"/>
      <c r="BX66" s="185">
        <v>2831</v>
      </c>
      <c r="BY66" s="185"/>
      <c r="BZ66" s="185"/>
      <c r="CA66" s="185"/>
      <c r="CB66" s="185"/>
      <c r="CC66" s="185"/>
      <c r="CD66" s="245" t="s">
        <v>221</v>
      </c>
      <c r="CE66" s="195">
        <f t="shared" si="0"/>
        <v>1321703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271986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336848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14833</v>
      </c>
      <c r="T67" s="195">
        <f t="shared" si="3"/>
        <v>0</v>
      </c>
      <c r="U67" s="195">
        <f t="shared" si="3"/>
        <v>23365</v>
      </c>
      <c r="V67" s="195">
        <f t="shared" si="3"/>
        <v>0</v>
      </c>
      <c r="W67" s="195">
        <f t="shared" si="3"/>
        <v>0</v>
      </c>
      <c r="X67" s="195">
        <f t="shared" si="3"/>
        <v>10093</v>
      </c>
      <c r="Y67" s="195">
        <f t="shared" si="3"/>
        <v>27434</v>
      </c>
      <c r="Z67" s="195">
        <f t="shared" si="3"/>
        <v>0</v>
      </c>
      <c r="AA67" s="195">
        <f t="shared" si="3"/>
        <v>0</v>
      </c>
      <c r="AB67" s="195">
        <f t="shared" si="3"/>
        <v>7327</v>
      </c>
      <c r="AC67" s="195">
        <f t="shared" si="3"/>
        <v>0</v>
      </c>
      <c r="AD67" s="195">
        <f t="shared" si="3"/>
        <v>0</v>
      </c>
      <c r="AE67" s="195">
        <f t="shared" si="3"/>
        <v>56862</v>
      </c>
      <c r="AF67" s="195">
        <f t="shared" si="3"/>
        <v>0</v>
      </c>
      <c r="AG67" s="195">
        <f t="shared" si="3"/>
        <v>57356</v>
      </c>
      <c r="AH67" s="195">
        <f t="shared" si="3"/>
        <v>0</v>
      </c>
      <c r="AI67" s="195">
        <f t="shared" si="3"/>
        <v>0</v>
      </c>
      <c r="AJ67" s="195">
        <f t="shared" si="3"/>
        <v>109478</v>
      </c>
      <c r="AK67" s="195">
        <f t="shared" si="3"/>
        <v>13035</v>
      </c>
      <c r="AL67" s="195">
        <f t="shared" si="3"/>
        <v>1778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37171</v>
      </c>
      <c r="AW67" s="195">
        <f t="shared" si="3"/>
        <v>0</v>
      </c>
      <c r="AX67" s="195">
        <f t="shared" si="3"/>
        <v>0</v>
      </c>
      <c r="AY67" s="195">
        <f t="shared" si="3"/>
        <v>26663</v>
      </c>
      <c r="AZ67" s="195">
        <f>ROUND(AZ51+AZ52,0)</f>
        <v>58561</v>
      </c>
      <c r="BA67" s="195">
        <f>ROUND(BA51+BA52,0)</f>
        <v>27651</v>
      </c>
      <c r="BB67" s="195">
        <f t="shared" si="3"/>
        <v>1778</v>
      </c>
      <c r="BC67" s="195">
        <f t="shared" si="3"/>
        <v>0</v>
      </c>
      <c r="BD67" s="195">
        <f t="shared" si="3"/>
        <v>48152</v>
      </c>
      <c r="BE67" s="195">
        <f t="shared" si="3"/>
        <v>71181</v>
      </c>
      <c r="BF67" s="195">
        <f t="shared" si="3"/>
        <v>30219</v>
      </c>
      <c r="BG67" s="195">
        <f t="shared" si="3"/>
        <v>0</v>
      </c>
      <c r="BH67" s="195">
        <f t="shared" si="3"/>
        <v>10626</v>
      </c>
      <c r="BI67" s="195">
        <f t="shared" si="3"/>
        <v>0</v>
      </c>
      <c r="BJ67" s="195">
        <f t="shared" si="3"/>
        <v>14872</v>
      </c>
      <c r="BK67" s="195">
        <f t="shared" si="3"/>
        <v>41812</v>
      </c>
      <c r="BL67" s="195">
        <f t="shared" si="3"/>
        <v>77541</v>
      </c>
      <c r="BM67" s="195">
        <f t="shared" si="3"/>
        <v>0</v>
      </c>
      <c r="BN67" s="195">
        <f t="shared" si="3"/>
        <v>116963</v>
      </c>
      <c r="BO67" s="195">
        <f t="shared" si="3"/>
        <v>0</v>
      </c>
      <c r="BP67" s="195">
        <f t="shared" si="3"/>
        <v>1995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27829</v>
      </c>
      <c r="BW67" s="195">
        <f t="shared" si="4"/>
        <v>0</v>
      </c>
      <c r="BX67" s="195">
        <f t="shared" si="4"/>
        <v>1699</v>
      </c>
      <c r="BY67" s="195">
        <f t="shared" si="4"/>
        <v>5115</v>
      </c>
      <c r="BZ67" s="195">
        <f t="shared" si="4"/>
        <v>0</v>
      </c>
      <c r="CA67" s="195">
        <f t="shared" si="4"/>
        <v>4681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1534904</v>
      </c>
      <c r="CF67" s="248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>
        <v>8447</v>
      </c>
      <c r="V68" s="185"/>
      <c r="W68" s="185"/>
      <c r="X68" s="185">
        <v>64262</v>
      </c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1546</v>
      </c>
      <c r="BF68" s="185"/>
      <c r="BG68" s="185"/>
      <c r="BH68" s="185">
        <v>43367</v>
      </c>
      <c r="BI68" s="185"/>
      <c r="BJ68" s="185"/>
      <c r="BK68" s="185">
        <v>3716</v>
      </c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5" t="s">
        <v>221</v>
      </c>
      <c r="CE68" s="195">
        <f t="shared" si="0"/>
        <v>121338</v>
      </c>
      <c r="CF68" s="248"/>
    </row>
    <row r="69" spans="1:84" ht="12.6" customHeight="1" x14ac:dyDescent="0.25">
      <c r="A69" s="171" t="s">
        <v>241</v>
      </c>
      <c r="B69" s="175"/>
      <c r="C69" s="184"/>
      <c r="D69" s="184"/>
      <c r="E69" s="185">
        <v>308</v>
      </c>
      <c r="F69" s="185"/>
      <c r="G69" s="184"/>
      <c r="H69" s="184"/>
      <c r="I69" s="185"/>
      <c r="J69" s="185"/>
      <c r="K69" s="185">
        <f>48+1887</f>
        <v>1935</v>
      </c>
      <c r="L69" s="185">
        <v>867</v>
      </c>
      <c r="M69" s="184"/>
      <c r="N69" s="184"/>
      <c r="O69" s="184"/>
      <c r="P69" s="185"/>
      <c r="Q69" s="185"/>
      <c r="R69" s="220"/>
      <c r="S69" s="185">
        <v>139</v>
      </c>
      <c r="T69" s="184"/>
      <c r="U69" s="185">
        <f>11382+519</f>
        <v>11901</v>
      </c>
      <c r="V69" s="185"/>
      <c r="W69" s="184"/>
      <c r="X69" s="185"/>
      <c r="Y69" s="185">
        <v>617</v>
      </c>
      <c r="Z69" s="185"/>
      <c r="AA69" s="185"/>
      <c r="AB69" s="185">
        <v>663</v>
      </c>
      <c r="AC69" s="185"/>
      <c r="AD69" s="185"/>
      <c r="AE69" s="185"/>
      <c r="AF69" s="185"/>
      <c r="AG69" s="185">
        <v>2947</v>
      </c>
      <c r="AH69" s="185"/>
      <c r="AI69" s="185"/>
      <c r="AJ69" s="185">
        <v>21195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1598</v>
      </c>
      <c r="AW69" s="185"/>
      <c r="AX69" s="185"/>
      <c r="AY69" s="185">
        <v>632</v>
      </c>
      <c r="AZ69" s="185"/>
      <c r="BA69" s="185"/>
      <c r="BB69" s="185">
        <v>506</v>
      </c>
      <c r="BC69" s="185"/>
      <c r="BD69" s="185">
        <v>598</v>
      </c>
      <c r="BE69" s="185">
        <v>817</v>
      </c>
      <c r="BF69" s="185"/>
      <c r="BG69" s="185"/>
      <c r="BH69" s="220">
        <v>1518</v>
      </c>
      <c r="BI69" s="185"/>
      <c r="BJ69" s="185">
        <v>1773</v>
      </c>
      <c r="BK69" s="185">
        <v>44582</v>
      </c>
      <c r="BL69" s="185">
        <v>71</v>
      </c>
      <c r="BM69" s="185"/>
      <c r="BN69" s="185">
        <v>81034</v>
      </c>
      <c r="BO69" s="185"/>
      <c r="BP69" s="185">
        <v>57</v>
      </c>
      <c r="BQ69" s="185"/>
      <c r="BR69" s="185">
        <v>4108</v>
      </c>
      <c r="BS69" s="185"/>
      <c r="BT69" s="185"/>
      <c r="BU69" s="185"/>
      <c r="BV69" s="185">
        <v>1212</v>
      </c>
      <c r="BW69" s="185">
        <v>2333</v>
      </c>
      <c r="BX69" s="185">
        <v>9490</v>
      </c>
      <c r="BY69" s="185">
        <v>482</v>
      </c>
      <c r="BZ69" s="185"/>
      <c r="CA69" s="185">
        <v>1629</v>
      </c>
      <c r="CB69" s="185"/>
      <c r="CC69" s="185">
        <f>193717-193012</f>
        <v>705</v>
      </c>
      <c r="CD69" s="188">
        <v>906156</v>
      </c>
      <c r="CE69" s="195">
        <f t="shared" si="0"/>
        <v>1099873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>
        <v>1356</v>
      </c>
      <c r="T70" s="184"/>
      <c r="U70" s="185">
        <v>26565</v>
      </c>
      <c r="V70" s="184"/>
      <c r="W70" s="184"/>
      <c r="X70" s="185"/>
      <c r="Y70" s="185"/>
      <c r="Z70" s="185"/>
      <c r="AA70" s="185"/>
      <c r="AB70" s="185">
        <v>801683</v>
      </c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1453</v>
      </c>
      <c r="AW70" s="185"/>
      <c r="AX70" s="185"/>
      <c r="AY70" s="185">
        <v>72803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>
        <v>33851</v>
      </c>
      <c r="BO70" s="185"/>
      <c r="BP70" s="185"/>
      <c r="BQ70" s="185"/>
      <c r="BR70" s="185"/>
      <c r="BS70" s="185"/>
      <c r="BT70" s="185"/>
      <c r="BU70" s="185"/>
      <c r="BV70" s="185">
        <v>5036</v>
      </c>
      <c r="BW70" s="185"/>
      <c r="BX70" s="185"/>
      <c r="BY70" s="185"/>
      <c r="BZ70" s="185"/>
      <c r="CA70" s="185"/>
      <c r="CB70" s="185"/>
      <c r="CC70" s="185"/>
      <c r="CD70" s="188">
        <f>1303635-942747</f>
        <v>360888</v>
      </c>
      <c r="CE70" s="195">
        <f t="shared" si="0"/>
        <v>1303635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292907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1862049</v>
      </c>
      <c r="L71" s="195">
        <f t="shared" si="5"/>
        <v>1810672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97660</v>
      </c>
      <c r="T71" s="195">
        <f t="shared" si="5"/>
        <v>2176</v>
      </c>
      <c r="U71" s="195">
        <f t="shared" si="5"/>
        <v>932339</v>
      </c>
      <c r="V71" s="195">
        <f t="shared" si="5"/>
        <v>0</v>
      </c>
      <c r="W71" s="195">
        <f t="shared" si="5"/>
        <v>98245</v>
      </c>
      <c r="X71" s="195">
        <f t="shared" si="5"/>
        <v>233425</v>
      </c>
      <c r="Y71" s="195">
        <f t="shared" si="5"/>
        <v>799736</v>
      </c>
      <c r="Z71" s="195">
        <f t="shared" si="5"/>
        <v>0</v>
      </c>
      <c r="AA71" s="195">
        <f t="shared" si="5"/>
        <v>0</v>
      </c>
      <c r="AB71" s="195">
        <f t="shared" si="5"/>
        <v>-120166</v>
      </c>
      <c r="AC71" s="195">
        <f t="shared" si="5"/>
        <v>0</v>
      </c>
      <c r="AD71" s="195">
        <f t="shared" si="5"/>
        <v>0</v>
      </c>
      <c r="AE71" s="195">
        <f t="shared" si="5"/>
        <v>863161</v>
      </c>
      <c r="AF71" s="195">
        <f t="shared" si="5"/>
        <v>0</v>
      </c>
      <c r="AG71" s="195">
        <f t="shared" si="5"/>
        <v>2359228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2262247</v>
      </c>
      <c r="AK71" s="195">
        <f t="shared" si="6"/>
        <v>336742</v>
      </c>
      <c r="AL71" s="195">
        <f t="shared" si="6"/>
        <v>127721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165039</v>
      </c>
      <c r="AW71" s="195">
        <f t="shared" si="6"/>
        <v>0</v>
      </c>
      <c r="AX71" s="195">
        <f t="shared" si="6"/>
        <v>0</v>
      </c>
      <c r="AY71" s="195">
        <f t="shared" si="6"/>
        <v>714828</v>
      </c>
      <c r="AZ71" s="195">
        <f t="shared" si="6"/>
        <v>58561</v>
      </c>
      <c r="BA71" s="195">
        <f t="shared" si="6"/>
        <v>137078</v>
      </c>
      <c r="BB71" s="195">
        <f t="shared" si="6"/>
        <v>145594</v>
      </c>
      <c r="BC71" s="195">
        <f t="shared" si="6"/>
        <v>0</v>
      </c>
      <c r="BD71" s="195">
        <f t="shared" si="6"/>
        <v>108730</v>
      </c>
      <c r="BE71" s="195">
        <f t="shared" si="6"/>
        <v>515799</v>
      </c>
      <c r="BF71" s="195">
        <f t="shared" si="6"/>
        <v>435793</v>
      </c>
      <c r="BG71" s="195">
        <f t="shared" si="6"/>
        <v>0</v>
      </c>
      <c r="BH71" s="195">
        <f t="shared" si="6"/>
        <v>740238</v>
      </c>
      <c r="BI71" s="195">
        <f t="shared" si="6"/>
        <v>0</v>
      </c>
      <c r="BJ71" s="195">
        <f t="shared" si="6"/>
        <v>322947</v>
      </c>
      <c r="BK71" s="195">
        <f t="shared" si="6"/>
        <v>586608</v>
      </c>
      <c r="BL71" s="195">
        <f t="shared" si="6"/>
        <v>256542</v>
      </c>
      <c r="BM71" s="195">
        <f t="shared" si="6"/>
        <v>0</v>
      </c>
      <c r="BN71" s="195">
        <f t="shared" si="6"/>
        <v>522280</v>
      </c>
      <c r="BO71" s="195">
        <f t="shared" si="6"/>
        <v>0</v>
      </c>
      <c r="BP71" s="195">
        <f t="shared" ref="BP71:CC71" si="7">SUM(BP61:BP69)-BP70</f>
        <v>99308</v>
      </c>
      <c r="BQ71" s="195">
        <f t="shared" si="7"/>
        <v>0</v>
      </c>
      <c r="BR71" s="195">
        <f t="shared" si="7"/>
        <v>142396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240233</v>
      </c>
      <c r="BW71" s="195">
        <f t="shared" si="7"/>
        <v>2333</v>
      </c>
      <c r="BX71" s="195">
        <f t="shared" si="7"/>
        <v>82918</v>
      </c>
      <c r="BY71" s="195">
        <f t="shared" si="7"/>
        <v>248591</v>
      </c>
      <c r="BZ71" s="195">
        <f t="shared" si="7"/>
        <v>0</v>
      </c>
      <c r="CA71" s="195">
        <f t="shared" si="7"/>
        <v>126646</v>
      </c>
      <c r="CB71" s="195">
        <f t="shared" si="7"/>
        <v>0</v>
      </c>
      <c r="CC71" s="195">
        <f t="shared" si="7"/>
        <v>705</v>
      </c>
      <c r="CD71" s="241">
        <f>CD69-CD70</f>
        <v>545268</v>
      </c>
      <c r="CE71" s="195">
        <f>SUM(CE61:CE69)-CE70</f>
        <v>18156577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>
        <v>497377</v>
      </c>
      <c r="CF72" s="248"/>
    </row>
    <row r="73" spans="1:84" ht="12.6" customHeight="1" x14ac:dyDescent="0.25">
      <c r="A73" s="171" t="s">
        <v>245</v>
      </c>
      <c r="B73" s="175"/>
      <c r="C73" s="184"/>
      <c r="D73" s="184"/>
      <c r="E73" s="185">
        <v>785880</v>
      </c>
      <c r="F73" s="185"/>
      <c r="G73" s="184"/>
      <c r="H73" s="184"/>
      <c r="I73" s="185"/>
      <c r="J73" s="185"/>
      <c r="K73" s="185">
        <f>1041258+995227</f>
        <v>2036485</v>
      </c>
      <c r="L73" s="185">
        <v>1482960</v>
      </c>
      <c r="M73" s="184"/>
      <c r="N73" s="184"/>
      <c r="O73" s="184"/>
      <c r="P73" s="185"/>
      <c r="Q73" s="185"/>
      <c r="R73" s="185"/>
      <c r="S73" s="185">
        <v>14629</v>
      </c>
      <c r="T73" s="185">
        <v>19861</v>
      </c>
      <c r="U73" s="185">
        <f>268570+4990-1</f>
        <v>273559</v>
      </c>
      <c r="V73" s="185">
        <v>4288</v>
      </c>
      <c r="W73" s="185">
        <v>32356</v>
      </c>
      <c r="X73" s="185">
        <v>110232</v>
      </c>
      <c r="Y73" s="185">
        <f>72981+45318</f>
        <v>118299</v>
      </c>
      <c r="Z73" s="185"/>
      <c r="AA73" s="185"/>
      <c r="AB73" s="185">
        <v>522716</v>
      </c>
      <c r="AC73" s="185"/>
      <c r="AD73" s="185"/>
      <c r="AE73" s="185">
        <v>341467</v>
      </c>
      <c r="AF73" s="185"/>
      <c r="AG73" s="185">
        <f>26772+10361</f>
        <v>37133</v>
      </c>
      <c r="AH73" s="185"/>
      <c r="AI73" s="185">
        <v>19213</v>
      </c>
      <c r="AJ73" s="185"/>
      <c r="AK73" s="185">
        <v>486542</v>
      </c>
      <c r="AL73" s="185">
        <v>112911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6398531</v>
      </c>
      <c r="CF73" s="248"/>
    </row>
    <row r="74" spans="1:84" ht="12.6" customHeight="1" x14ac:dyDescent="0.25">
      <c r="A74" s="171" t="s">
        <v>246</v>
      </c>
      <c r="B74" s="175"/>
      <c r="C74" s="184"/>
      <c r="D74" s="184"/>
      <c r="E74" s="185">
        <v>-32000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>
        <v>112426</v>
      </c>
      <c r="T74" s="185">
        <v>340723</v>
      </c>
      <c r="U74" s="185">
        <f>2752780+4004+2</f>
        <v>2756786</v>
      </c>
      <c r="V74" s="185">
        <v>89728</v>
      </c>
      <c r="W74" s="185">
        <v>417477</v>
      </c>
      <c r="X74" s="185">
        <v>1729491</v>
      </c>
      <c r="Y74" s="185">
        <f>1057588+720391</f>
        <v>1777979</v>
      </c>
      <c r="Z74" s="185"/>
      <c r="AA74" s="185"/>
      <c r="AB74" s="185">
        <v>304418</v>
      </c>
      <c r="AC74" s="185"/>
      <c r="AD74" s="185"/>
      <c r="AE74" s="185">
        <v>1376988</v>
      </c>
      <c r="AF74" s="185"/>
      <c r="AG74" s="185">
        <f>2760549+1911723</f>
        <v>4672272</v>
      </c>
      <c r="AH74" s="185"/>
      <c r="AI74" s="185">
        <v>460322</v>
      </c>
      <c r="AJ74" s="185">
        <f>3578434-3</f>
        <v>3578431</v>
      </c>
      <c r="AK74" s="185">
        <v>208769</v>
      </c>
      <c r="AL74" s="185">
        <v>234053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18027863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753880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2036485</v>
      </c>
      <c r="L75" s="195">
        <f t="shared" si="9"/>
        <v>1482960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127055</v>
      </c>
      <c r="T75" s="195">
        <f t="shared" si="9"/>
        <v>360584</v>
      </c>
      <c r="U75" s="195">
        <f t="shared" si="9"/>
        <v>3030345</v>
      </c>
      <c r="V75" s="195">
        <f t="shared" si="9"/>
        <v>94016</v>
      </c>
      <c r="W75" s="195">
        <f t="shared" si="9"/>
        <v>449833</v>
      </c>
      <c r="X75" s="195">
        <f t="shared" si="9"/>
        <v>1839723</v>
      </c>
      <c r="Y75" s="195">
        <f t="shared" si="9"/>
        <v>1896278</v>
      </c>
      <c r="Z75" s="195">
        <f t="shared" si="9"/>
        <v>0</v>
      </c>
      <c r="AA75" s="195">
        <f t="shared" si="9"/>
        <v>0</v>
      </c>
      <c r="AB75" s="195">
        <f t="shared" si="9"/>
        <v>827134</v>
      </c>
      <c r="AC75" s="195">
        <f t="shared" si="9"/>
        <v>0</v>
      </c>
      <c r="AD75" s="195">
        <f t="shared" si="9"/>
        <v>0</v>
      </c>
      <c r="AE75" s="195">
        <f t="shared" si="9"/>
        <v>1718455</v>
      </c>
      <c r="AF75" s="195">
        <f t="shared" si="9"/>
        <v>0</v>
      </c>
      <c r="AG75" s="195">
        <f t="shared" si="9"/>
        <v>4709405</v>
      </c>
      <c r="AH75" s="195">
        <f t="shared" si="9"/>
        <v>0</v>
      </c>
      <c r="AI75" s="195">
        <f t="shared" si="9"/>
        <v>479535</v>
      </c>
      <c r="AJ75" s="195">
        <f t="shared" si="9"/>
        <v>3578431</v>
      </c>
      <c r="AK75" s="195">
        <f t="shared" si="9"/>
        <v>695311</v>
      </c>
      <c r="AL75" s="195">
        <f t="shared" si="9"/>
        <v>346964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24426394</v>
      </c>
      <c r="CF75" s="248"/>
    </row>
    <row r="76" spans="1:84" ht="12.6" customHeight="1" x14ac:dyDescent="0.25">
      <c r="A76" s="171" t="s">
        <v>248</v>
      </c>
      <c r="B76" s="175"/>
      <c r="C76" s="276"/>
      <c r="D76" s="276"/>
      <c r="E76" s="185">
        <f>9622+4149</f>
        <v>13771</v>
      </c>
      <c r="F76" s="185"/>
      <c r="G76" s="276"/>
      <c r="H76" s="276"/>
      <c r="I76" s="185"/>
      <c r="J76" s="185"/>
      <c r="K76" s="185">
        <v>17055</v>
      </c>
      <c r="L76" s="185"/>
      <c r="M76" s="185"/>
      <c r="N76" s="185"/>
      <c r="O76" s="185"/>
      <c r="P76" s="185"/>
      <c r="Q76" s="185"/>
      <c r="R76" s="185"/>
      <c r="S76" s="185">
        <v>751</v>
      </c>
      <c r="T76" s="185"/>
      <c r="U76" s="185">
        <v>1183</v>
      </c>
      <c r="V76" s="185"/>
      <c r="W76" s="185"/>
      <c r="X76" s="185">
        <v>511</v>
      </c>
      <c r="Y76" s="185">
        <v>1389</v>
      </c>
      <c r="Z76" s="185"/>
      <c r="AA76" s="185"/>
      <c r="AB76" s="185">
        <v>371</v>
      </c>
      <c r="AC76" s="185"/>
      <c r="AD76" s="185"/>
      <c r="AE76" s="185">
        <v>2879</v>
      </c>
      <c r="AF76" s="185"/>
      <c r="AG76" s="185">
        <v>2904</v>
      </c>
      <c r="AH76" s="185"/>
      <c r="AI76" s="185"/>
      <c r="AJ76" s="185">
        <v>5543</v>
      </c>
      <c r="AK76" s="185">
        <v>660</v>
      </c>
      <c r="AL76" s="185">
        <v>90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f>1897-15</f>
        <v>1882</v>
      </c>
      <c r="AW76" s="185"/>
      <c r="AX76" s="185"/>
      <c r="AY76" s="185">
        <v>1350</v>
      </c>
      <c r="AZ76" s="185">
        <v>2965</v>
      </c>
      <c r="BA76" s="185">
        <v>1400</v>
      </c>
      <c r="BB76" s="185">
        <v>90</v>
      </c>
      <c r="BC76" s="185"/>
      <c r="BD76" s="185">
        <v>2438</v>
      </c>
      <c r="BE76" s="185">
        <v>3604</v>
      </c>
      <c r="BF76" s="185">
        <v>1530</v>
      </c>
      <c r="BG76" s="185"/>
      <c r="BH76" s="185">
        <v>538</v>
      </c>
      <c r="BI76" s="185"/>
      <c r="BJ76" s="185">
        <v>753</v>
      </c>
      <c r="BK76" s="185">
        <v>2117</v>
      </c>
      <c r="BL76" s="185">
        <v>3926</v>
      </c>
      <c r="BM76" s="185"/>
      <c r="BN76" s="185">
        <v>5922</v>
      </c>
      <c r="BO76" s="185"/>
      <c r="BP76" s="185">
        <v>101</v>
      </c>
      <c r="BQ76" s="185"/>
      <c r="BR76" s="185"/>
      <c r="BS76" s="185"/>
      <c r="BT76" s="185"/>
      <c r="BU76" s="185"/>
      <c r="BV76" s="185">
        <v>1409</v>
      </c>
      <c r="BW76" s="185"/>
      <c r="BX76" s="185">
        <v>86</v>
      </c>
      <c r="BY76" s="185">
        <v>259</v>
      </c>
      <c r="BZ76" s="185"/>
      <c r="CA76" s="185">
        <v>237</v>
      </c>
      <c r="CB76" s="185"/>
      <c r="CC76" s="185"/>
      <c r="CD76" s="245" t="s">
        <v>221</v>
      </c>
      <c r="CE76" s="195">
        <f t="shared" si="8"/>
        <v>77714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1811</v>
      </c>
      <c r="F77" s="184"/>
      <c r="G77" s="184"/>
      <c r="H77" s="184"/>
      <c r="I77" s="184"/>
      <c r="J77" s="184"/>
      <c r="K77" s="184">
        <f>12772+29310</f>
        <v>42082</v>
      </c>
      <c r="L77" s="184">
        <v>15084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>
        <v>13486</v>
      </c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72463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>
        <f>2027+2638</f>
        <v>4665</v>
      </c>
      <c r="L78" s="184">
        <v>5486</v>
      </c>
      <c r="M78" s="184"/>
      <c r="N78" s="184"/>
      <c r="O78" s="184"/>
      <c r="P78" s="184"/>
      <c r="Q78" s="184"/>
      <c r="R78" s="184"/>
      <c r="S78" s="184">
        <v>161</v>
      </c>
      <c r="T78" s="184"/>
      <c r="U78" s="184">
        <v>368</v>
      </c>
      <c r="V78" s="184"/>
      <c r="W78" s="184"/>
      <c r="X78" s="184">
        <v>524</v>
      </c>
      <c r="Y78" s="184">
        <v>526</v>
      </c>
      <c r="Z78" s="184"/>
      <c r="AA78" s="184"/>
      <c r="AB78" s="184"/>
      <c r="AC78" s="184"/>
      <c r="AD78" s="184"/>
      <c r="AE78" s="184"/>
      <c r="AF78" s="184"/>
      <c r="AG78" s="184">
        <f>1590+333</f>
        <v>1923</v>
      </c>
      <c r="AH78" s="184"/>
      <c r="AI78" s="184"/>
      <c r="AJ78" s="184">
        <v>2021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234</v>
      </c>
      <c r="AW78" s="184"/>
      <c r="AX78" s="245" t="s">
        <v>221</v>
      </c>
      <c r="AY78" s="245" t="s">
        <v>221</v>
      </c>
      <c r="AZ78" s="245" t="s">
        <v>221</v>
      </c>
      <c r="BA78" s="184"/>
      <c r="BB78" s="184">
        <v>79</v>
      </c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/>
      <c r="BI78" s="184"/>
      <c r="BJ78" s="245" t="s">
        <v>221</v>
      </c>
      <c r="BK78" s="184">
        <f>383+76</f>
        <v>459</v>
      </c>
      <c r="BL78" s="184"/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>
        <v>178</v>
      </c>
      <c r="BW78" s="184"/>
      <c r="BX78" s="184">
        <v>23</v>
      </c>
      <c r="BY78" s="184">
        <v>558</v>
      </c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17205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/>
      <c r="F79" s="184"/>
      <c r="G79" s="184"/>
      <c r="H79" s="184"/>
      <c r="I79" s="184"/>
      <c r="J79" s="184"/>
      <c r="K79" s="184">
        <f>22464+12894</f>
        <v>35358</v>
      </c>
      <c r="L79" s="184">
        <v>41299</v>
      </c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>
        <v>157</v>
      </c>
      <c r="X79" s="184">
        <v>1185</v>
      </c>
      <c r="Y79" s="184">
        <v>4101</v>
      </c>
      <c r="Z79" s="184"/>
      <c r="AA79" s="184"/>
      <c r="AB79" s="184"/>
      <c r="AC79" s="184"/>
      <c r="AD79" s="184"/>
      <c r="AE79" s="184">
        <v>7486</v>
      </c>
      <c r="AF79" s="184"/>
      <c r="AG79" s="184">
        <f>15055</f>
        <v>15055</v>
      </c>
      <c r="AH79" s="184"/>
      <c r="AI79" s="184"/>
      <c r="AJ79" s="184">
        <v>286</v>
      </c>
      <c r="AK79" s="184">
        <v>2111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107038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/>
      <c r="I80" s="187"/>
      <c r="J80" s="187"/>
      <c r="K80" s="187">
        <f>K60-1+0.49+0.37</f>
        <v>21.740000000000002</v>
      </c>
      <c r="L80" s="187">
        <f>L60+3.35</f>
        <v>22.75</v>
      </c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AG60+1.2</f>
        <v>10.41</v>
      </c>
      <c r="AH80" s="187"/>
      <c r="AI80" s="187"/>
      <c r="AJ80" s="187">
        <f>0.2+5.06+2.4+0.01</f>
        <v>7.67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62.570000000000007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999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1002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1003</v>
      </c>
      <c r="D84" s="202"/>
      <c r="E84" s="201"/>
    </row>
    <row r="85" spans="1:5" ht="12.6" customHeight="1" x14ac:dyDescent="0.25">
      <c r="A85" s="173" t="s">
        <v>986</v>
      </c>
      <c r="B85" s="172"/>
      <c r="C85" s="267" t="s">
        <v>1004</v>
      </c>
      <c r="D85" s="202"/>
      <c r="E85" s="201"/>
    </row>
    <row r="86" spans="1:5" ht="12.6" customHeight="1" x14ac:dyDescent="0.25">
      <c r="A86" s="173" t="s">
        <v>987</v>
      </c>
      <c r="B86" s="172" t="s">
        <v>256</v>
      </c>
      <c r="C86" s="227"/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1005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1006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1007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1008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1009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1010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1011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65" customHeight="1" x14ac:dyDescent="0.25">
      <c r="A108" s="204" t="s">
        <v>275</v>
      </c>
      <c r="B108" s="205"/>
      <c r="C108" s="205"/>
      <c r="D108" s="205"/>
      <c r="E108" s="205"/>
    </row>
    <row r="109" spans="1:5" ht="13.6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173</v>
      </c>
      <c r="D111" s="174">
        <v>470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f>157+9+21</f>
        <v>187</v>
      </c>
      <c r="D112" s="174">
        <f>5013+4256+10167</f>
        <v>19436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974</v>
      </c>
      <c r="B118" s="172" t="s">
        <v>256</v>
      </c>
      <c r="C118" s="189">
        <v>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12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21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32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69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975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123+23</f>
        <v>146</v>
      </c>
      <c r="C138" s="189">
        <v>17</v>
      </c>
      <c r="D138" s="174">
        <v>10</v>
      </c>
      <c r="E138" s="175">
        <f>SUM(B138:D138)</f>
        <v>173</v>
      </c>
    </row>
    <row r="139" spans="1:6" ht="12.6" customHeight="1" x14ac:dyDescent="0.25">
      <c r="A139" s="173" t="s">
        <v>215</v>
      </c>
      <c r="B139" s="174">
        <f>351+58</f>
        <v>409</v>
      </c>
      <c r="C139" s="189">
        <v>41</v>
      </c>
      <c r="D139" s="174">
        <v>20</v>
      </c>
      <c r="E139" s="175">
        <f>SUM(B139:D139)</f>
        <v>470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f>183089.76+2475958.66-B147</f>
        <v>2170944.42</v>
      </c>
      <c r="C141" s="189">
        <f>1890126.26-C147+161789.1</f>
        <v>180482.36000000002</v>
      </c>
      <c r="D141" s="174">
        <f>6398531-B141-C141-B147-C147-D147</f>
        <v>527659.2200000002</v>
      </c>
      <c r="E141" s="175">
        <f>SUM(B141:D141)</f>
        <v>2879086</v>
      </c>
      <c r="F141" s="199"/>
    </row>
    <row r="142" spans="1:6" ht="12.6" customHeight="1" x14ac:dyDescent="0.25">
      <c r="A142" s="173" t="s">
        <v>246</v>
      </c>
      <c r="B142" s="174">
        <f>1174399.99+5140284.71</f>
        <v>6314684.7000000002</v>
      </c>
      <c r="C142" s="189">
        <f>182165.69+3955175.74-C147</f>
        <v>2265908.4300000002</v>
      </c>
      <c r="D142" s="174">
        <f>18027863-B142-C142</f>
        <v>9447269.870000001</v>
      </c>
      <c r="E142" s="175">
        <f>SUM(B142:D142)</f>
        <v>18027863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f>106+27</f>
        <v>133</v>
      </c>
      <c r="C144" s="189">
        <f>6+7+12</f>
        <v>25</v>
      </c>
      <c r="D144" s="174">
        <f>18+2+9</f>
        <v>29</v>
      </c>
      <c r="E144" s="175">
        <f>SUM(B144:D144)</f>
        <v>187</v>
      </c>
    </row>
    <row r="145" spans="1:5" ht="12.6" customHeight="1" x14ac:dyDescent="0.25">
      <c r="A145" s="173" t="s">
        <v>215</v>
      </c>
      <c r="B145" s="174">
        <f>1649+441</f>
        <v>2090</v>
      </c>
      <c r="C145" s="189">
        <f>3515+4240+2018</f>
        <v>9773</v>
      </c>
      <c r="D145" s="174">
        <f>741+5927+905</f>
        <v>7573</v>
      </c>
      <c r="E145" s="175">
        <f>SUM(B145:D145)</f>
        <v>19436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488104</v>
      </c>
      <c r="C147" s="189">
        <f>587264+861490+422679</f>
        <v>1871433</v>
      </c>
      <c r="D147" s="174">
        <f>293040+114552+179768+572548</f>
        <v>1159908</v>
      </c>
      <c r="E147" s="175">
        <f>SUM(B147:D147)</f>
        <v>3519445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568158.24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14632.33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7625.52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910166.85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6703.93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268444.71999999997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57315.43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25139.3-1</f>
        <v>25138.3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1858185.3199999998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v>1546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8446.7+64262.43+43366.93+3715.7</f>
        <v>119791.76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121337.76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125771.9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35740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161511.9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52177+730</f>
        <v>52907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52907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691737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691737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99457</v>
      </c>
      <c r="C195" s="189"/>
      <c r="D195" s="174"/>
      <c r="E195" s="175">
        <f t="shared" ref="E195:E203" si="10">SUM(B195:C195)-D195</f>
        <v>99457</v>
      </c>
    </row>
    <row r="196" spans="1:8" ht="12.6" customHeight="1" x14ac:dyDescent="0.25">
      <c r="A196" s="173" t="s">
        <v>333</v>
      </c>
      <c r="B196" s="174">
        <v>186843</v>
      </c>
      <c r="C196" s="189"/>
      <c r="D196" s="174"/>
      <c r="E196" s="175">
        <f t="shared" si="10"/>
        <v>186843</v>
      </c>
    </row>
    <row r="197" spans="1:8" ht="12.6" customHeight="1" x14ac:dyDescent="0.25">
      <c r="A197" s="173" t="s">
        <v>334</v>
      </c>
      <c r="B197" s="174">
        <v>22442569</v>
      </c>
      <c r="C197" s="189">
        <v>2040002.9</v>
      </c>
      <c r="D197" s="174">
        <v>8547</v>
      </c>
      <c r="E197" s="175">
        <f t="shared" si="10"/>
        <v>24474024.899999999</v>
      </c>
    </row>
    <row r="198" spans="1:8" ht="12.6" customHeight="1" x14ac:dyDescent="0.25">
      <c r="A198" s="173" t="s">
        <v>335</v>
      </c>
      <c r="B198" s="174">
        <v>1281894</v>
      </c>
      <c r="C198" s="189">
        <v>3233880.96</v>
      </c>
      <c r="D198" s="174"/>
      <c r="E198" s="175">
        <f t="shared" si="10"/>
        <v>4515774.96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2943433</v>
      </c>
      <c r="C200" s="189">
        <v>504703.06</v>
      </c>
      <c r="D200" s="174">
        <v>162228.79</v>
      </c>
      <c r="E200" s="175">
        <f t="shared" si="10"/>
        <v>3285907.27</v>
      </c>
    </row>
    <row r="201" spans="1:8" ht="12.6" customHeight="1" x14ac:dyDescent="0.25">
      <c r="A201" s="173" t="s">
        <v>338</v>
      </c>
      <c r="B201" s="174">
        <v>470635</v>
      </c>
      <c r="C201" s="189"/>
      <c r="D201" s="174"/>
      <c r="E201" s="175">
        <f t="shared" si="10"/>
        <v>470635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4115797</v>
      </c>
      <c r="C203" s="189">
        <v>1671176.15</v>
      </c>
      <c r="D203" s="174">
        <v>5417382.5899999999</v>
      </c>
      <c r="E203" s="175">
        <f t="shared" si="10"/>
        <v>369590.56000000052</v>
      </c>
    </row>
    <row r="204" spans="1:8" ht="12.6" customHeight="1" x14ac:dyDescent="0.25">
      <c r="A204" s="173" t="s">
        <v>203</v>
      </c>
      <c r="B204" s="175">
        <f>SUM(B195:B203)</f>
        <v>31540628</v>
      </c>
      <c r="C204" s="191">
        <f>SUM(C195:C203)</f>
        <v>7449763.0699999984</v>
      </c>
      <c r="D204" s="175">
        <f>SUM(D195:D203)</f>
        <v>5588158.3799999999</v>
      </c>
      <c r="E204" s="175">
        <f>SUM(E195:E203)</f>
        <v>33402232.689999998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101641</v>
      </c>
      <c r="C209" s="189">
        <v>10636.38</v>
      </c>
      <c r="D209" s="174"/>
      <c r="E209" s="175">
        <f t="shared" ref="E209:E216" si="11">SUM(B209:C209)-D209</f>
        <v>112277.38</v>
      </c>
      <c r="H209" s="255"/>
    </row>
    <row r="210" spans="1:8" ht="12.6" customHeight="1" x14ac:dyDescent="0.25">
      <c r="A210" s="173" t="s">
        <v>334</v>
      </c>
      <c r="B210" s="174">
        <v>8073721</v>
      </c>
      <c r="C210" s="189">
        <f>811685.07+17663.49+4942.87+169652.54</f>
        <v>1003943.97</v>
      </c>
      <c r="D210" s="174">
        <v>8546.76</v>
      </c>
      <c r="E210" s="175">
        <f t="shared" si="11"/>
        <v>9069118.2100000009</v>
      </c>
      <c r="H210" s="255"/>
    </row>
    <row r="211" spans="1:8" ht="12.6" customHeight="1" x14ac:dyDescent="0.25">
      <c r="A211" s="173" t="s">
        <v>335</v>
      </c>
      <c r="B211" s="174">
        <v>795870</v>
      </c>
      <c r="C211" s="189">
        <v>237593.63</v>
      </c>
      <c r="D211" s="174"/>
      <c r="E211" s="175">
        <f t="shared" si="11"/>
        <v>1033463.63</v>
      </c>
      <c r="H211" s="255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2354546</v>
      </c>
      <c r="C213" s="189">
        <f>233710.45+8805.91</f>
        <v>242516.36000000002</v>
      </c>
      <c r="D213" s="174">
        <v>162228.79</v>
      </c>
      <c r="E213" s="175">
        <f t="shared" si="11"/>
        <v>2434833.5699999998</v>
      </c>
      <c r="H213" s="255"/>
    </row>
    <row r="214" spans="1:8" ht="12.6" customHeight="1" x14ac:dyDescent="0.25">
      <c r="A214" s="173" t="s">
        <v>338</v>
      </c>
      <c r="B214" s="174">
        <v>430423</v>
      </c>
      <c r="C214" s="189">
        <v>40212.65</v>
      </c>
      <c r="D214" s="174"/>
      <c r="E214" s="175">
        <f t="shared" si="11"/>
        <v>470635.65</v>
      </c>
      <c r="H214" s="255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11756201</v>
      </c>
      <c r="C217" s="191">
        <f>SUM(C208:C216)</f>
        <v>1534902.99</v>
      </c>
      <c r="D217" s="175">
        <f>SUM(D208:D216)</f>
        <v>170775.55000000002</v>
      </c>
      <c r="E217" s="175">
        <f>SUM(E208:E216)</f>
        <v>13120328.440000003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81" t="s">
        <v>990</v>
      </c>
      <c r="C220" s="281"/>
      <c r="D220" s="205"/>
      <c r="E220" s="205"/>
    </row>
    <row r="221" spans="1:8" ht="12.6" customHeight="1" x14ac:dyDescent="0.25">
      <c r="A221" s="268" t="s">
        <v>990</v>
      </c>
      <c r="B221" s="205"/>
      <c r="C221" s="189">
        <v>510938</v>
      </c>
      <c r="D221" s="172">
        <f>C221</f>
        <v>510938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1655730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2827151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154528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7477416-C233-C234-C238-4637409-C221</f>
        <v>2281116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6918525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29226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3575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32801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15152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15152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7477416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f>1280459-2</f>
        <v>1280457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3009014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325000+934000</f>
        <v>1259000</v>
      </c>
      <c r="D253" s="175"/>
      <c r="E253" s="175"/>
    </row>
    <row r="254" spans="1:5" ht="12.45" customHeight="1" x14ac:dyDescent="0.25">
      <c r="A254" s="173" t="s">
        <v>976</v>
      </c>
      <c r="B254" s="172" t="s">
        <v>256</v>
      </c>
      <c r="C254" s="189">
        <v>370995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158167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107752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170675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3838060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>
        <v>5222955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29627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5252582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f>94457+5000</f>
        <v>99457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f>168046+18797</f>
        <v>186843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20610633+142870+353270+3361837+5416-1</f>
        <v>24474025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f>4515776-1</f>
        <v>4515775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3171648+90324+23935+470635</f>
        <v>3756542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369590+1</f>
        <v>369591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33402233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13120328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20281905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-426040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-426040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28946507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1007453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1003986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977</v>
      </c>
      <c r="B309" s="172" t="s">
        <v>256</v>
      </c>
      <c r="C309" s="189">
        <v>439756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f>4060+3140</f>
        <v>7200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68419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2526814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17013000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68419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17081419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68419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17013000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/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877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878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f>9406694-1</f>
        <v>9406693</v>
      </c>
      <c r="D337" s="175"/>
      <c r="E337" s="175"/>
    </row>
    <row r="338" spans="1:5" ht="12.6" customHeight="1" x14ac:dyDescent="0.25">
      <c r="A338" s="173" t="s">
        <v>988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28946507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28946507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6398531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18027863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24426394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990</v>
      </c>
      <c r="B363" s="253"/>
      <c r="C363" s="189">
        <v>510938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f>7477416-510938-32801-15152</f>
        <v>6918525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29226+3575</f>
        <v>32801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15152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7477416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16948978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f>1801012-C371</f>
        <v>1303635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497377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1801012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18749990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7844693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1858186-1</f>
        <v>1858185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2133855+1951212</f>
        <v>4085067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1381513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212937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1321703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1534903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121338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161512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52907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691737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193717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19460212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-710222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1145867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435645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435645</v>
      </c>
      <c r="E396" s="175"/>
    </row>
    <row r="397" spans="1:6" ht="13.6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Columbia Basin Hospital   H-0     FYE 12/31/2018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978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173</v>
      </c>
      <c r="C414" s="194">
        <f>E138</f>
        <v>173</v>
      </c>
      <c r="D414" s="179"/>
    </row>
    <row r="415" spans="1:5" ht="12.6" customHeight="1" x14ac:dyDescent="0.25">
      <c r="A415" s="179" t="s">
        <v>464</v>
      </c>
      <c r="B415" s="179">
        <f>D111</f>
        <v>470</v>
      </c>
      <c r="C415" s="179">
        <f>E139</f>
        <v>470</v>
      </c>
      <c r="D415" s="194">
        <f>SUM(C59:H59)+N59</f>
        <v>470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187</v>
      </c>
      <c r="C417" s="194">
        <f>E144</f>
        <v>187</v>
      </c>
      <c r="D417" s="179"/>
    </row>
    <row r="418" spans="1:7" ht="12.6" customHeight="1" x14ac:dyDescent="0.25">
      <c r="A418" s="179" t="s">
        <v>466</v>
      </c>
      <c r="B418" s="179">
        <f>D112</f>
        <v>19436</v>
      </c>
      <c r="C418" s="179">
        <f>E145</f>
        <v>19436</v>
      </c>
      <c r="D418" s="179">
        <f>K59+L59</f>
        <v>19436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979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7844693</v>
      </c>
      <c r="C427" s="179">
        <f t="shared" ref="C427:C434" si="13">CE61</f>
        <v>7844693</v>
      </c>
      <c r="D427" s="179"/>
    </row>
    <row r="428" spans="1:7" ht="12.6" customHeight="1" x14ac:dyDescent="0.25">
      <c r="A428" s="179" t="s">
        <v>3</v>
      </c>
      <c r="B428" s="179">
        <f t="shared" si="12"/>
        <v>1858185</v>
      </c>
      <c r="C428" s="179">
        <f t="shared" si="13"/>
        <v>1858184</v>
      </c>
      <c r="D428" s="179">
        <f>D173</f>
        <v>1858185.3199999998</v>
      </c>
    </row>
    <row r="429" spans="1:7" ht="12.6" customHeight="1" x14ac:dyDescent="0.25">
      <c r="A429" s="179" t="s">
        <v>236</v>
      </c>
      <c r="B429" s="179">
        <f t="shared" si="12"/>
        <v>4085067</v>
      </c>
      <c r="C429" s="179">
        <f t="shared" si="13"/>
        <v>4085067</v>
      </c>
      <c r="D429" s="179"/>
    </row>
    <row r="430" spans="1:7" ht="12.6" customHeight="1" x14ac:dyDescent="0.25">
      <c r="A430" s="179" t="s">
        <v>237</v>
      </c>
      <c r="B430" s="179">
        <f t="shared" si="12"/>
        <v>1381513</v>
      </c>
      <c r="C430" s="179">
        <f t="shared" si="13"/>
        <v>1381513</v>
      </c>
      <c r="D430" s="179"/>
    </row>
    <row r="431" spans="1:7" ht="12.6" customHeight="1" x14ac:dyDescent="0.25">
      <c r="A431" s="179" t="s">
        <v>444</v>
      </c>
      <c r="B431" s="179">
        <f t="shared" si="12"/>
        <v>212937</v>
      </c>
      <c r="C431" s="179">
        <f t="shared" si="13"/>
        <v>212937</v>
      </c>
      <c r="D431" s="179"/>
    </row>
    <row r="432" spans="1:7" ht="12.6" customHeight="1" x14ac:dyDescent="0.25">
      <c r="A432" s="179" t="s">
        <v>445</v>
      </c>
      <c r="B432" s="179">
        <f t="shared" si="12"/>
        <v>1321703</v>
      </c>
      <c r="C432" s="179">
        <f t="shared" si="13"/>
        <v>1321703</v>
      </c>
      <c r="D432" s="179"/>
    </row>
    <row r="433" spans="1:7" ht="12.6" customHeight="1" x14ac:dyDescent="0.25">
      <c r="A433" s="179" t="s">
        <v>6</v>
      </c>
      <c r="B433" s="179">
        <f t="shared" si="12"/>
        <v>1534903</v>
      </c>
      <c r="C433" s="179">
        <f t="shared" si="13"/>
        <v>1534904</v>
      </c>
      <c r="D433" s="179">
        <f>C217</f>
        <v>1534902.99</v>
      </c>
    </row>
    <row r="434" spans="1:7" ht="12.6" customHeight="1" x14ac:dyDescent="0.25">
      <c r="A434" s="179" t="s">
        <v>474</v>
      </c>
      <c r="B434" s="179">
        <f t="shared" si="12"/>
        <v>121338</v>
      </c>
      <c r="C434" s="179">
        <f t="shared" si="13"/>
        <v>121338</v>
      </c>
      <c r="D434" s="179">
        <f>D177</f>
        <v>121337.76</v>
      </c>
    </row>
    <row r="435" spans="1:7" ht="12.6" customHeight="1" x14ac:dyDescent="0.25">
      <c r="A435" s="179" t="s">
        <v>447</v>
      </c>
      <c r="B435" s="179">
        <f t="shared" si="12"/>
        <v>161512</v>
      </c>
      <c r="C435" s="179"/>
      <c r="D435" s="179">
        <f>D181</f>
        <v>161511.9</v>
      </c>
    </row>
    <row r="436" spans="1:7" ht="12.6" customHeight="1" x14ac:dyDescent="0.25">
      <c r="A436" s="179" t="s">
        <v>475</v>
      </c>
      <c r="B436" s="179">
        <f t="shared" si="12"/>
        <v>52907</v>
      </c>
      <c r="C436" s="179"/>
      <c r="D436" s="179">
        <f>D186</f>
        <v>52907</v>
      </c>
    </row>
    <row r="437" spans="1:7" ht="12.6" customHeight="1" x14ac:dyDescent="0.25">
      <c r="A437" s="194" t="s">
        <v>449</v>
      </c>
      <c r="B437" s="194">
        <f t="shared" si="12"/>
        <v>691737</v>
      </c>
      <c r="C437" s="194"/>
      <c r="D437" s="194">
        <f>D190</f>
        <v>691737</v>
      </c>
    </row>
    <row r="438" spans="1:7" ht="12.6" customHeight="1" x14ac:dyDescent="0.25">
      <c r="A438" s="194" t="s">
        <v>476</v>
      </c>
      <c r="B438" s="194">
        <f>C386+C387+C388</f>
        <v>906156</v>
      </c>
      <c r="C438" s="194">
        <f>CD69</f>
        <v>906156</v>
      </c>
      <c r="D438" s="194">
        <f>D181+D186+D190</f>
        <v>906155.9</v>
      </c>
    </row>
    <row r="439" spans="1:7" ht="12.6" customHeight="1" x14ac:dyDescent="0.25">
      <c r="A439" s="179" t="s">
        <v>451</v>
      </c>
      <c r="B439" s="194">
        <f>C389</f>
        <v>193717</v>
      </c>
      <c r="C439" s="194">
        <f>SUM(C69:CC69)</f>
        <v>193717</v>
      </c>
      <c r="D439" s="179"/>
    </row>
    <row r="440" spans="1:7" ht="12.6" customHeight="1" x14ac:dyDescent="0.25">
      <c r="A440" s="179" t="s">
        <v>477</v>
      </c>
      <c r="B440" s="194">
        <f>B438+B439</f>
        <v>1099873</v>
      </c>
      <c r="C440" s="194">
        <f>CE69</f>
        <v>1099873</v>
      </c>
      <c r="D440" s="179"/>
    </row>
    <row r="441" spans="1:7" ht="12.6" customHeight="1" x14ac:dyDescent="0.25">
      <c r="A441" s="179" t="s">
        <v>478</v>
      </c>
      <c r="B441" s="179">
        <f>D390</f>
        <v>19460212</v>
      </c>
      <c r="C441" s="179">
        <f>SUM(C427:C437)+C440</f>
        <v>19460212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991</v>
      </c>
      <c r="B444" s="179">
        <f>D221</f>
        <v>510938</v>
      </c>
      <c r="C444" s="179">
        <f>C363</f>
        <v>510938</v>
      </c>
      <c r="D444" s="179"/>
    </row>
    <row r="445" spans="1:7" ht="12.6" customHeight="1" x14ac:dyDescent="0.25">
      <c r="A445" s="179" t="s">
        <v>343</v>
      </c>
      <c r="B445" s="179">
        <f>D229</f>
        <v>6918525</v>
      </c>
      <c r="C445" s="179">
        <f>C364</f>
        <v>6918525</v>
      </c>
      <c r="D445" s="179"/>
    </row>
    <row r="446" spans="1:7" ht="12.6" customHeight="1" x14ac:dyDescent="0.25">
      <c r="A446" s="179" t="s">
        <v>351</v>
      </c>
      <c r="B446" s="179">
        <f>D236</f>
        <v>32801</v>
      </c>
      <c r="C446" s="179">
        <f>C365</f>
        <v>32801</v>
      </c>
      <c r="D446" s="179"/>
    </row>
    <row r="447" spans="1:7" ht="12.6" customHeight="1" x14ac:dyDescent="0.25">
      <c r="A447" s="179" t="s">
        <v>356</v>
      </c>
      <c r="B447" s="179">
        <f>D240</f>
        <v>15152</v>
      </c>
      <c r="C447" s="179">
        <f>C366</f>
        <v>15152</v>
      </c>
      <c r="D447" s="179"/>
    </row>
    <row r="448" spans="1:7" ht="12.6" customHeight="1" x14ac:dyDescent="0.25">
      <c r="A448" s="179" t="s">
        <v>358</v>
      </c>
      <c r="B448" s="179">
        <f>D242</f>
        <v>7477416</v>
      </c>
      <c r="C448" s="179">
        <f>D367</f>
        <v>7477416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29226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3575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1303635</v>
      </c>
      <c r="C458" s="194">
        <f>CE70</f>
        <v>1303635</v>
      </c>
      <c r="D458" s="194"/>
    </row>
    <row r="459" spans="1:7" ht="12.6" customHeight="1" x14ac:dyDescent="0.25">
      <c r="A459" s="179" t="s">
        <v>244</v>
      </c>
      <c r="B459" s="194">
        <f>C371</f>
        <v>497377</v>
      </c>
      <c r="C459" s="194">
        <f>CE72</f>
        <v>497377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980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6398531</v>
      </c>
      <c r="C463" s="194">
        <f>CE73</f>
        <v>6398531</v>
      </c>
      <c r="D463" s="194">
        <f>E141+E147+E153</f>
        <v>6398531</v>
      </c>
    </row>
    <row r="464" spans="1:7" ht="12.6" customHeight="1" x14ac:dyDescent="0.25">
      <c r="A464" s="179" t="s">
        <v>246</v>
      </c>
      <c r="B464" s="194">
        <f>C360</f>
        <v>18027863</v>
      </c>
      <c r="C464" s="194">
        <f>CE74</f>
        <v>18027863</v>
      </c>
      <c r="D464" s="194">
        <f>E142+E148+E154</f>
        <v>18027863</v>
      </c>
    </row>
    <row r="465" spans="1:7" ht="12.6" customHeight="1" x14ac:dyDescent="0.25">
      <c r="A465" s="179" t="s">
        <v>247</v>
      </c>
      <c r="B465" s="194">
        <f>D361</f>
        <v>24426394</v>
      </c>
      <c r="C465" s="194">
        <f>CE75</f>
        <v>24426394</v>
      </c>
      <c r="D465" s="194">
        <f>D463+D464</f>
        <v>24426394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99457</v>
      </c>
      <c r="C468" s="179">
        <f>E195</f>
        <v>99457</v>
      </c>
      <c r="D468" s="179"/>
    </row>
    <row r="469" spans="1:7" ht="12.6" customHeight="1" x14ac:dyDescent="0.25">
      <c r="A469" s="179" t="s">
        <v>333</v>
      </c>
      <c r="B469" s="179">
        <f t="shared" si="14"/>
        <v>186843</v>
      </c>
      <c r="C469" s="179">
        <f>E196</f>
        <v>186843</v>
      </c>
      <c r="D469" s="179"/>
    </row>
    <row r="470" spans="1:7" ht="12.6" customHeight="1" x14ac:dyDescent="0.25">
      <c r="A470" s="179" t="s">
        <v>334</v>
      </c>
      <c r="B470" s="179">
        <f t="shared" si="14"/>
        <v>24474025</v>
      </c>
      <c r="C470" s="179">
        <f>E197</f>
        <v>24474024.899999999</v>
      </c>
      <c r="D470" s="179"/>
    </row>
    <row r="471" spans="1:7" ht="12.6" customHeight="1" x14ac:dyDescent="0.25">
      <c r="A471" s="179" t="s">
        <v>494</v>
      </c>
      <c r="B471" s="179">
        <f t="shared" si="14"/>
        <v>4515775</v>
      </c>
      <c r="C471" s="179">
        <f>E198</f>
        <v>4515774.96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3756542</v>
      </c>
      <c r="C473" s="179">
        <f>SUM(E200:E201)</f>
        <v>3756542.27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369591</v>
      </c>
      <c r="C475" s="179">
        <f>E203</f>
        <v>369590.56000000052</v>
      </c>
      <c r="D475" s="179"/>
    </row>
    <row r="476" spans="1:7" ht="12.6" customHeight="1" x14ac:dyDescent="0.25">
      <c r="A476" s="179" t="s">
        <v>203</v>
      </c>
      <c r="B476" s="179">
        <f>D275</f>
        <v>33402233</v>
      </c>
      <c r="C476" s="179">
        <f>E204</f>
        <v>33402232.689999998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13120328</v>
      </c>
      <c r="C478" s="179">
        <f>E217</f>
        <v>13120328.440000003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28946507</v>
      </c>
    </row>
    <row r="482" spans="1:12" ht="12.6" customHeight="1" x14ac:dyDescent="0.25">
      <c r="A482" s="180" t="s">
        <v>499</v>
      </c>
      <c r="C482" s="180">
        <f>D339</f>
        <v>28946507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045</v>
      </c>
      <c r="B493" s="257" t="s">
        <v>1001</v>
      </c>
      <c r="C493" s="257" t="str">
        <f>RIGHT(C82,4)</f>
        <v>2018</v>
      </c>
      <c r="D493" s="257" t="s">
        <v>1001</v>
      </c>
      <c r="E493" s="257" t="str">
        <f>RIGHT(C82,4)</f>
        <v>2018</v>
      </c>
      <c r="F493" s="257" t="s">
        <v>1001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0</v>
      </c>
      <c r="C496" s="236">
        <f>C71</f>
        <v>0</v>
      </c>
      <c r="D496" s="236"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0</v>
      </c>
      <c r="C497" s="236">
        <f>D71</f>
        <v>0</v>
      </c>
      <c r="D497" s="236"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257644.64</v>
      </c>
      <c r="C498" s="236">
        <f>E71</f>
        <v>292907</v>
      </c>
      <c r="D498" s="236">
        <v>426</v>
      </c>
      <c r="E498" s="180">
        <f>E59</f>
        <v>470</v>
      </c>
      <c r="F498" s="259">
        <f t="shared" si="15"/>
        <v>604.79962441314558</v>
      </c>
      <c r="G498" s="259">
        <f t="shared" si="15"/>
        <v>623.20638297872335</v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v>0</v>
      </c>
      <c r="C499" s="236">
        <f>F71</f>
        <v>0</v>
      </c>
      <c r="D499" s="236"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v>0</v>
      </c>
      <c r="C500" s="236">
        <f>G71</f>
        <v>0</v>
      </c>
      <c r="D500" s="236"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v>0</v>
      </c>
      <c r="C501" s="236">
        <f>H71</f>
        <v>0</v>
      </c>
      <c r="D501" s="236"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v>0</v>
      </c>
      <c r="C502" s="236">
        <f>I71</f>
        <v>0</v>
      </c>
      <c r="D502" s="236"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v>0</v>
      </c>
      <c r="C503" s="236">
        <f>J71</f>
        <v>0</v>
      </c>
      <c r="D503" s="236"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v>1839707</v>
      </c>
      <c r="C504" s="236">
        <f>K71</f>
        <v>1862049</v>
      </c>
      <c r="D504" s="236">
        <v>14775</v>
      </c>
      <c r="E504" s="180">
        <f>K59</f>
        <v>14423</v>
      </c>
      <c r="F504" s="259">
        <f t="shared" si="15"/>
        <v>124.51485617597292</v>
      </c>
      <c r="G504" s="259">
        <f t="shared" si="15"/>
        <v>129.1027525480136</v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v>1853694.6</v>
      </c>
      <c r="C505" s="236">
        <f>L71</f>
        <v>1810672</v>
      </c>
      <c r="D505" s="236">
        <v>5094</v>
      </c>
      <c r="E505" s="180">
        <f>L59</f>
        <v>5013</v>
      </c>
      <c r="F505" s="259">
        <f t="shared" si="15"/>
        <v>363.89764428739693</v>
      </c>
      <c r="G505" s="259">
        <f t="shared" si="15"/>
        <v>361.19529224017555</v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0</v>
      </c>
      <c r="C507" s="236">
        <f>N71</f>
        <v>0</v>
      </c>
      <c r="D507" s="236"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0</v>
      </c>
      <c r="C508" s="236">
        <f>O71</f>
        <v>0</v>
      </c>
      <c r="D508" s="236"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v>0</v>
      </c>
      <c r="C509" s="236">
        <f>P71</f>
        <v>0</v>
      </c>
      <c r="D509" s="236">
        <v>0</v>
      </c>
      <c r="E509" s="180">
        <f>P59</f>
        <v>0</v>
      </c>
      <c r="F509" s="259" t="str">
        <f t="shared" si="15"/>
        <v/>
      </c>
      <c r="G509" s="259" t="str">
        <f t="shared" si="15"/>
        <v/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v>0</v>
      </c>
      <c r="C510" s="236">
        <f>Q71</f>
        <v>0</v>
      </c>
      <c r="D510" s="236">
        <v>0</v>
      </c>
      <c r="E510" s="180">
        <f>Q59</f>
        <v>0</v>
      </c>
      <c r="F510" s="259" t="str">
        <f t="shared" si="15"/>
        <v/>
      </c>
      <c r="G510" s="259" t="str">
        <f t="shared" si="15"/>
        <v/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v>0</v>
      </c>
      <c r="C511" s="236">
        <f>R71</f>
        <v>0</v>
      </c>
      <c r="D511" s="236">
        <v>0</v>
      </c>
      <c r="E511" s="180">
        <f>R59</f>
        <v>0</v>
      </c>
      <c r="F511" s="259" t="str">
        <f t="shared" si="15"/>
        <v/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v>101698</v>
      </c>
      <c r="C512" s="236">
        <f>S71</f>
        <v>97660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981</v>
      </c>
      <c r="B513" s="236">
        <v>3898.1400000000003</v>
      </c>
      <c r="C513" s="236">
        <f>T71</f>
        <v>2176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781129</v>
      </c>
      <c r="C514" s="236">
        <f>U71</f>
        <v>932339</v>
      </c>
      <c r="D514" s="236">
        <v>119005</v>
      </c>
      <c r="E514" s="180">
        <f>U59</f>
        <v>129073</v>
      </c>
      <c r="F514" s="259">
        <f t="shared" si="17"/>
        <v>6.5638334523759507</v>
      </c>
      <c r="G514" s="259">
        <f t="shared" si="17"/>
        <v>7.2233464783494608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0</v>
      </c>
      <c r="C515" s="236">
        <f>V71</f>
        <v>0</v>
      </c>
      <c r="D515" s="236"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v>97080</v>
      </c>
      <c r="C516" s="236">
        <f>W71</f>
        <v>98245</v>
      </c>
      <c r="D516" s="236">
        <v>2525.98</v>
      </c>
      <c r="E516" s="180">
        <f>W59</f>
        <v>2639.2</v>
      </c>
      <c r="F516" s="259">
        <f t="shared" si="17"/>
        <v>38.432608334191087</v>
      </c>
      <c r="G516" s="259">
        <f t="shared" si="17"/>
        <v>37.225295544104277</v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v>247620</v>
      </c>
      <c r="C517" s="236">
        <f>X71</f>
        <v>233425</v>
      </c>
      <c r="D517" s="236">
        <v>9598</v>
      </c>
      <c r="E517" s="180">
        <f>X59</f>
        <v>9840.42</v>
      </c>
      <c r="F517" s="259">
        <f t="shared" si="17"/>
        <v>25.799124817670346</v>
      </c>
      <c r="G517" s="259">
        <f t="shared" si="17"/>
        <v>23.721040362098364</v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v>790176</v>
      </c>
      <c r="C518" s="236">
        <f>Y71</f>
        <v>799736</v>
      </c>
      <c r="D518" s="236">
        <v>6018</v>
      </c>
      <c r="E518" s="180">
        <f>Y59</f>
        <v>6398</v>
      </c>
      <c r="F518" s="259">
        <f t="shared" si="17"/>
        <v>131.30209371884348</v>
      </c>
      <c r="G518" s="259">
        <f t="shared" si="17"/>
        <v>124.99781181619257</v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v>0</v>
      </c>
      <c r="C519" s="236">
        <f>Z71</f>
        <v>0</v>
      </c>
      <c r="D519" s="236"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0</v>
      </c>
      <c r="C520" s="236">
        <f>AA71</f>
        <v>0</v>
      </c>
      <c r="D520" s="236"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v>-151741</v>
      </c>
      <c r="C521" s="236">
        <f>AB71</f>
        <v>-120166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0</v>
      </c>
      <c r="C522" s="236">
        <f>AC71</f>
        <v>0</v>
      </c>
      <c r="D522" s="236">
        <v>0</v>
      </c>
      <c r="E522" s="180">
        <f>AC59</f>
        <v>0</v>
      </c>
      <c r="F522" s="259" t="str">
        <f t="shared" si="17"/>
        <v/>
      </c>
      <c r="G522" s="259" t="str">
        <f t="shared" si="17"/>
        <v/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v>0</v>
      </c>
      <c r="C523" s="236">
        <f>AD71</f>
        <v>0</v>
      </c>
      <c r="D523" s="236"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680826</v>
      </c>
      <c r="C524" s="236">
        <f>AE71</f>
        <v>863161</v>
      </c>
      <c r="D524" s="236">
        <v>20218</v>
      </c>
      <c r="E524" s="180">
        <f>AE59</f>
        <v>23685</v>
      </c>
      <c r="F524" s="259">
        <f t="shared" si="17"/>
        <v>33.674250667721829</v>
      </c>
      <c r="G524" s="259">
        <f t="shared" si="17"/>
        <v>36.443360776862995</v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0</v>
      </c>
      <c r="C525" s="236">
        <f>AF71</f>
        <v>0</v>
      </c>
      <c r="D525" s="236"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2068114</v>
      </c>
      <c r="C526" s="236">
        <f>AG71</f>
        <v>2359228</v>
      </c>
      <c r="D526" s="236">
        <v>5023</v>
      </c>
      <c r="E526" s="180">
        <f>AG59</f>
        <v>5032</v>
      </c>
      <c r="F526" s="259">
        <f t="shared" si="17"/>
        <v>411.72884730240889</v>
      </c>
      <c r="G526" s="259">
        <f t="shared" si="17"/>
        <v>468.8449920508744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v>0</v>
      </c>
      <c r="C527" s="236">
        <f>AH71</f>
        <v>0</v>
      </c>
      <c r="D527" s="236"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v>0</v>
      </c>
      <c r="C528" s="236">
        <f>AI71</f>
        <v>0</v>
      </c>
      <c r="D528" s="236">
        <v>172</v>
      </c>
      <c r="E528" s="180">
        <f>AI59</f>
        <v>168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v>2025146.48</v>
      </c>
      <c r="C529" s="236">
        <f>AJ71</f>
        <v>2262247</v>
      </c>
      <c r="D529" s="236">
        <v>10135</v>
      </c>
      <c r="E529" s="180">
        <f>AJ59</f>
        <v>12446</v>
      </c>
      <c r="F529" s="259">
        <f t="shared" si="18"/>
        <v>199.81711692155895</v>
      </c>
      <c r="G529" s="259">
        <f t="shared" si="18"/>
        <v>181.7649847340511</v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v>227501</v>
      </c>
      <c r="C530" s="236">
        <f>AK71</f>
        <v>336742</v>
      </c>
      <c r="D530" s="236">
        <v>6661</v>
      </c>
      <c r="E530" s="180">
        <f>AK59</f>
        <v>9278</v>
      </c>
      <c r="F530" s="259">
        <f t="shared" si="18"/>
        <v>34.154181053895812</v>
      </c>
      <c r="G530" s="259">
        <f t="shared" si="18"/>
        <v>36.294675576632898</v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118191</v>
      </c>
      <c r="C531" s="236">
        <f>AL71</f>
        <v>127721</v>
      </c>
      <c r="D531" s="236">
        <v>1658</v>
      </c>
      <c r="E531" s="180">
        <f>AL59</f>
        <v>1710</v>
      </c>
      <c r="F531" s="259">
        <f t="shared" si="18"/>
        <v>71.285283474065139</v>
      </c>
      <c r="G531" s="259">
        <f t="shared" si="18"/>
        <v>74.690643274853798</v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0</v>
      </c>
      <c r="C532" s="236">
        <f>AM71</f>
        <v>0</v>
      </c>
      <c r="D532" s="236"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982</v>
      </c>
      <c r="B533" s="236">
        <v>0</v>
      </c>
      <c r="C533" s="236">
        <f>AN71</f>
        <v>0</v>
      </c>
      <c r="D533" s="236"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0</v>
      </c>
      <c r="C534" s="236">
        <f>AO71</f>
        <v>0</v>
      </c>
      <c r="D534" s="236"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0</v>
      </c>
      <c r="C535" s="236">
        <f>AP71</f>
        <v>0</v>
      </c>
      <c r="D535" s="236"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0</v>
      </c>
      <c r="D536" s="236"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0</v>
      </c>
      <c r="C537" s="236">
        <f>AR71</f>
        <v>0</v>
      </c>
      <c r="D537" s="236"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0</v>
      </c>
      <c r="C540" s="236">
        <f>AU71</f>
        <v>0</v>
      </c>
      <c r="D540" s="236"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145142</v>
      </c>
      <c r="C541" s="236">
        <f>AV71</f>
        <v>165039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983</v>
      </c>
      <c r="B542" s="236"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801402</v>
      </c>
      <c r="C544" s="236">
        <f>AY71</f>
        <v>714828</v>
      </c>
      <c r="D544" s="236">
        <v>76515</v>
      </c>
      <c r="E544" s="180">
        <f>AY59</f>
        <v>72463</v>
      </c>
      <c r="F544" s="259">
        <f t="shared" ref="F544:G550" si="19">IF(B544=0,"",IF(D544=0,"",B544/D544))</f>
        <v>10.473789453048422</v>
      </c>
      <c r="G544" s="259">
        <f t="shared" si="19"/>
        <v>9.8647309661482403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v>51017</v>
      </c>
      <c r="C545" s="236">
        <f>AZ71</f>
        <v>58561</v>
      </c>
      <c r="D545" s="236"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v>119786</v>
      </c>
      <c r="C546" s="236">
        <f>BA71</f>
        <v>137078</v>
      </c>
      <c r="D546" s="236"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123112</v>
      </c>
      <c r="C547" s="236">
        <f>BB71</f>
        <v>145594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98609</v>
      </c>
      <c r="C549" s="236">
        <f>BD71</f>
        <v>108730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557201</v>
      </c>
      <c r="C550" s="236">
        <f>BE71</f>
        <v>515799</v>
      </c>
      <c r="D550" s="236">
        <v>77730</v>
      </c>
      <c r="E550" s="180">
        <f>BE59</f>
        <v>77714</v>
      </c>
      <c r="F550" s="259">
        <f t="shared" si="19"/>
        <v>7.1684163128779108</v>
      </c>
      <c r="G550" s="259">
        <f t="shared" si="19"/>
        <v>6.6371438865584063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433659</v>
      </c>
      <c r="C551" s="236">
        <f>BF71</f>
        <v>435793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v>723817</v>
      </c>
      <c r="C553" s="236">
        <f>BH71</f>
        <v>740238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v>13655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v>332690</v>
      </c>
      <c r="C555" s="236">
        <f>BJ71</f>
        <v>322947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v>543053</v>
      </c>
      <c r="C556" s="236">
        <f>BK71</f>
        <v>586608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v>246500</v>
      </c>
      <c r="C557" s="236">
        <f>BL71</f>
        <v>256542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v>446994</v>
      </c>
      <c r="C559" s="236">
        <f>BN71</f>
        <v>522280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v>117598</v>
      </c>
      <c r="C561" s="236">
        <f>BP71</f>
        <v>99308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v>134679</v>
      </c>
      <c r="C563" s="236">
        <f>BR71</f>
        <v>142396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984</v>
      </c>
      <c r="B564" s="236"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v>253020</v>
      </c>
      <c r="C567" s="236">
        <f>BV71</f>
        <v>240233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v>2055</v>
      </c>
      <c r="C568" s="236">
        <f>BW71</f>
        <v>2333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v>62808</v>
      </c>
      <c r="C569" s="236">
        <f>BX71</f>
        <v>82918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v>183812</v>
      </c>
      <c r="C570" s="236">
        <f>BY71</f>
        <v>248591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v>120486</v>
      </c>
      <c r="C572" s="236">
        <f>CA71</f>
        <v>126646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v>-504</v>
      </c>
      <c r="C574" s="236">
        <f>CC71</f>
        <v>705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v>658891</v>
      </c>
      <c r="C575" s="236">
        <f>CD71</f>
        <v>545268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74110</v>
      </c>
      <c r="E612" s="180">
        <f>SUM(C624:D647)+SUM(C668:D713)</f>
        <v>17114321.887437589</v>
      </c>
      <c r="F612" s="180">
        <f>CE64-(AX64+BD64+BE64+BG64+BJ64+BN64+BP64+BQ64+CB64+CC64+CD64)</f>
        <v>1341750</v>
      </c>
      <c r="G612" s="180">
        <f>CE77-(AX77+AY77+BD77+BE77+BG77+BJ77+BN77+BP77+BQ77+CB77+CC77+CD77)</f>
        <v>72463</v>
      </c>
      <c r="H612" s="197">
        <f>CE60-(AX60+AY60+AZ60+BD60+BE60+BG60+BJ60+BN60+BO60+BP60+BQ60+BR60+CB60+CC60+CD60)</f>
        <v>116.50999999999999</v>
      </c>
      <c r="I612" s="180">
        <f>CE78-(AX78+AY78+AZ78+BD78+BE78+BF78+BG78+BJ78+BN78+BO78+BP78+BQ78+BR78+CB78+CC78+CD78)</f>
        <v>17205</v>
      </c>
      <c r="J612" s="180">
        <f>CE79-(AX79+AY79+AZ79+BA79+BD79+BE79+BF79+BG79+BJ79+BN79+BO79+BP79+BQ79+BR79+CB79+CC79+CD79)</f>
        <v>107038</v>
      </c>
      <c r="K612" s="180">
        <f>CE75-(AW75+AX75+AY75+AZ75+BA75+BB75+BC75+BD75+BE75+BF75+BG75+BH75+BI75+BJ75+BK75+BL75+BM75+BN75+BO75+BP75+BQ75+BR75+BS75+BT75+BU75+BV75+BW75+BX75+CB75+CC75+CD75)</f>
        <v>24426394</v>
      </c>
      <c r="L612" s="197">
        <f>CE80-(AW80+AX80+AY80+AZ80+BA80+BB80+BC80+BD80+BE80+BF80+BG80+BH80+BI80+BJ80+BK80+BL80+BM80+BN80+BO80+BP80+BQ80+BR80+BS80+BT80+BU80+BV80+BW80+BX80+BY80+BZ80+CA80+CB80+CC80+CD80)</f>
        <v>62.570000000000007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515799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545268</v>
      </c>
      <c r="D615" s="262">
        <f>SUM(C614:C615)</f>
        <v>1061067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322947</v>
      </c>
      <c r="D617" s="180">
        <f>(D615/D612)*BJ76</f>
        <v>10781.047780326542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522280</v>
      </c>
      <c r="D619" s="180">
        <f>(D615/D612)*BN76</f>
        <v>84788.001268384833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705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99308</v>
      </c>
      <c r="D621" s="180">
        <f>(D615/D612)*BP76</f>
        <v>1446.0635136958574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1042255.1125624073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108730</v>
      </c>
      <c r="D624" s="180">
        <f>(D615/D612)*BD76</f>
        <v>34905.968776143571</v>
      </c>
      <c r="E624" s="180">
        <f>(E623/E612)*SUM(C624:D624)</f>
        <v>8747.3709907652246</v>
      </c>
      <c r="F624" s="180">
        <f>SUM(C624:E624)</f>
        <v>152383.33976690879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714828</v>
      </c>
      <c r="D625" s="180">
        <f>(D615/D612)*AY76</f>
        <v>19328.571717716906</v>
      </c>
      <c r="E625" s="180">
        <f>(E623/E612)*SUM(C625:D625)</f>
        <v>44709.831060016651</v>
      </c>
      <c r="F625" s="180">
        <f>(F624/F612)*AY64</f>
        <v>27755.516605652945</v>
      </c>
      <c r="G625" s="180">
        <f>SUM(C625:F625)</f>
        <v>806621.9193833865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142396</v>
      </c>
      <c r="D626" s="180">
        <f>(D615/D612)*BR76</f>
        <v>0</v>
      </c>
      <c r="E626" s="180">
        <f>(E623/E612)*SUM(C626:D626)</f>
        <v>8671.8574060112751</v>
      </c>
      <c r="F626" s="180">
        <f>(F624/F612)*BR64</f>
        <v>76.319436797736316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58561</v>
      </c>
      <c r="D628" s="180">
        <f>(D615/D612)*AZ76</f>
        <v>42451.270476318983</v>
      </c>
      <c r="E628" s="180">
        <f>(E623/E612)*SUM(C628:D628)</f>
        <v>6151.6054231023409</v>
      </c>
      <c r="F628" s="180">
        <f>(F624/F612)*AZ64</f>
        <v>0</v>
      </c>
      <c r="G628" s="180">
        <f>(G625/G612)*AZ77</f>
        <v>150119.41549210425</v>
      </c>
      <c r="H628" s="180">
        <f>SUM(C626:G628)</f>
        <v>408427.46823433461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435793</v>
      </c>
      <c r="D629" s="180">
        <f>(D615/D612)*BF76</f>
        <v>21905.714613412496</v>
      </c>
      <c r="E629" s="180">
        <f>(E623/E612)*SUM(C629:D629)</f>
        <v>27873.662097546017</v>
      </c>
      <c r="F629" s="180">
        <f>(F624/F612)*BF64</f>
        <v>2948.4060992649297</v>
      </c>
      <c r="G629" s="180">
        <f>(G625/G612)*BF77</f>
        <v>0</v>
      </c>
      <c r="H629" s="180">
        <f>(H628/H612)*BF60</f>
        <v>33407.551045173881</v>
      </c>
      <c r="I629" s="180">
        <f>SUM(C629:H629)</f>
        <v>521928.33385539736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137078</v>
      </c>
      <c r="D630" s="180">
        <f>(D615/D612)*BA76</f>
        <v>20044.444744299013</v>
      </c>
      <c r="E630" s="180">
        <f>(E623/E612)*SUM(C630:D630)</f>
        <v>9568.69178984274</v>
      </c>
      <c r="F630" s="180">
        <f>(F624/F612)*BA64</f>
        <v>1780.9004292043203</v>
      </c>
      <c r="G630" s="180">
        <f>(G625/G612)*BA77</f>
        <v>0</v>
      </c>
      <c r="H630" s="180">
        <f>(H628/H612)*BA60</f>
        <v>8693.6754031512319</v>
      </c>
      <c r="I630" s="180">
        <f>(I629/I612)*BA78</f>
        <v>0</v>
      </c>
      <c r="J630" s="180">
        <f>SUM(C630:I630)</f>
        <v>177165.71236649729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145594</v>
      </c>
      <c r="D632" s="180">
        <f>(D615/D612)*BB76</f>
        <v>1288.5714478477937</v>
      </c>
      <c r="E632" s="180">
        <f>(E623/E612)*SUM(C632:D632)</f>
        <v>8945.0877484198936</v>
      </c>
      <c r="F632" s="180">
        <f>(F624/F612)*BB64</f>
        <v>18.057723885178682</v>
      </c>
      <c r="G632" s="180">
        <f>(G625/G612)*BB77</f>
        <v>0</v>
      </c>
      <c r="H632" s="180">
        <f>(H628/H612)*BB60</f>
        <v>7151.2491219469803</v>
      </c>
      <c r="I632" s="180">
        <f>(I629/I612)*BB78</f>
        <v>2396.5323088972036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586608</v>
      </c>
      <c r="D635" s="180">
        <f>(D615/D612)*BK76</f>
        <v>30310.063945486439</v>
      </c>
      <c r="E635" s="180">
        <f>(E623/E612)*SUM(C635:D635)</f>
        <v>37570.054508046604</v>
      </c>
      <c r="F635" s="180">
        <f>(F624/F612)*BK64</f>
        <v>319.70121218099365</v>
      </c>
      <c r="G635" s="180">
        <f>(G625/G612)*BK77</f>
        <v>0</v>
      </c>
      <c r="H635" s="180">
        <f>(H628/H612)*BK60</f>
        <v>20892.865081766668</v>
      </c>
      <c r="I635" s="180">
        <f>(I629/I612)*BK78</f>
        <v>13924.156073212867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740238</v>
      </c>
      <c r="D636" s="180">
        <f>(D615/D612)*BH76</f>
        <v>7702.7937660234784</v>
      </c>
      <c r="E636" s="180">
        <f>(E623/E612)*SUM(C636:D636)</f>
        <v>45549.284472020583</v>
      </c>
      <c r="F636" s="180">
        <f>(F624/F612)*BH64</f>
        <v>7630.24012091654</v>
      </c>
      <c r="G636" s="180">
        <f>(G625/G612)*BH77</f>
        <v>0</v>
      </c>
      <c r="H636" s="180">
        <f>(H628/H612)*BH60</f>
        <v>7957.5174053037481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256542</v>
      </c>
      <c r="D637" s="180">
        <f>(D615/D612)*BL76</f>
        <v>56210.35004722709</v>
      </c>
      <c r="E637" s="180">
        <f>(E623/E612)*SUM(C637:D637)</f>
        <v>19046.488546058019</v>
      </c>
      <c r="F637" s="180">
        <f>(F624/F612)*BL64</f>
        <v>208.62917469857385</v>
      </c>
      <c r="G637" s="180">
        <f>(G625/G612)*BL77</f>
        <v>0</v>
      </c>
      <c r="H637" s="180">
        <f>(H628/H612)*BL60</f>
        <v>14057.112244611466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240233</v>
      </c>
      <c r="D642" s="180">
        <f>(D615/D612)*BV76</f>
        <v>20173.301889083792</v>
      </c>
      <c r="E642" s="180">
        <f>(E623/E612)*SUM(C642:D642)</f>
        <v>15858.635899947045</v>
      </c>
      <c r="F642" s="180">
        <f>(F624/F612)*BV64</f>
        <v>180.46366826131401</v>
      </c>
      <c r="G642" s="180">
        <f>(G625/G612)*BV77</f>
        <v>0</v>
      </c>
      <c r="H642" s="180">
        <f>(H628/H612)*BV60</f>
        <v>10165.991398846198</v>
      </c>
      <c r="I642" s="180">
        <f>(I629/I612)*BV78</f>
        <v>5399.7816580215476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2333</v>
      </c>
      <c r="D643" s="180">
        <f>(D615/D612)*BW76</f>
        <v>0</v>
      </c>
      <c r="E643" s="180">
        <f>(E623/E612)*SUM(C643:D643)</f>
        <v>142.07873344914398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82918</v>
      </c>
      <c r="D644" s="180">
        <f>(D615/D612)*BX76</f>
        <v>1231.3016057212251</v>
      </c>
      <c r="E644" s="180">
        <f>(E623/E612)*SUM(C644:D644)</f>
        <v>5124.657605131114</v>
      </c>
      <c r="F644" s="180">
        <f>(F624/F612)*BX64</f>
        <v>4.5428236189128759</v>
      </c>
      <c r="G644" s="180">
        <f>(G625/G612)*BX77</f>
        <v>0</v>
      </c>
      <c r="H644" s="180">
        <f>(H628/H612)*BX60</f>
        <v>2453.8599928249441</v>
      </c>
      <c r="I644" s="180">
        <f>(I629/I612)*BX78</f>
        <v>697.72459626121122</v>
      </c>
      <c r="J644" s="180">
        <f>(J630/J612)*BX79</f>
        <v>0</v>
      </c>
      <c r="K644" s="180">
        <f>SUM(C631:J644)</f>
        <v>2397077.0948197162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248591</v>
      </c>
      <c r="D645" s="180">
        <f>(D615/D612)*BY76</f>
        <v>3708.2222776953176</v>
      </c>
      <c r="E645" s="180">
        <f>(E623/E612)*SUM(C645:D645)</f>
        <v>15364.918110338192</v>
      </c>
      <c r="F645" s="180">
        <f>(F624/F612)*BY64</f>
        <v>191.59358612765055</v>
      </c>
      <c r="G645" s="180">
        <f>(G625/G612)*BY77</f>
        <v>0</v>
      </c>
      <c r="H645" s="180">
        <f>(H628/H612)*BY60</f>
        <v>8798.8408314151566</v>
      </c>
      <c r="I645" s="180">
        <f>(I629/I612)*BY78</f>
        <v>16927.405422337211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126646</v>
      </c>
      <c r="D647" s="180">
        <f>(D615/D612)*CA76</f>
        <v>3393.2381459991902</v>
      </c>
      <c r="E647" s="180">
        <f>(E623/E612)*SUM(C647:D647)</f>
        <v>7919.3357284505682</v>
      </c>
      <c r="F647" s="180">
        <f>(F624/F612)*CA64</f>
        <v>623.048259333901</v>
      </c>
      <c r="G647" s="180">
        <f>(G625/G612)*CA77</f>
        <v>0</v>
      </c>
      <c r="H647" s="180">
        <f>(H628/H612)*CA60</f>
        <v>3540.5694182188481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435704.17177991604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6033396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292907</v>
      </c>
      <c r="D670" s="180">
        <f>(D615/D612)*E76</f>
        <v>197165.74898124408</v>
      </c>
      <c r="E670" s="180">
        <f>(E623/E612)*SUM(C670:D670)</f>
        <v>29845.227378137773</v>
      </c>
      <c r="F670" s="180">
        <f>(F624/F612)*E64</f>
        <v>1395.1011333681442</v>
      </c>
      <c r="G670" s="180">
        <f>(G625/G612)*E77</f>
        <v>20159.14737180786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73981.795276154458</v>
      </c>
      <c r="L670" s="180">
        <f>(L647/L612)*E80</f>
        <v>0</v>
      </c>
      <c r="M670" s="180">
        <f t="shared" si="20"/>
        <v>322547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1862049</v>
      </c>
      <c r="D676" s="180">
        <f>(D615/D612)*K76</f>
        <v>244184.28936715692</v>
      </c>
      <c r="E676" s="180">
        <f>(E623/E612)*SUM(C676:D676)</f>
        <v>128268.73471997859</v>
      </c>
      <c r="F676" s="180">
        <f>(F624/F612)*K64</f>
        <v>3422.1090321270694</v>
      </c>
      <c r="G676" s="180">
        <f>(G625/G612)*K77</f>
        <v>468435.80325809959</v>
      </c>
      <c r="H676" s="180">
        <f>(H628/H612)*K60</f>
        <v>76700.652347156836</v>
      </c>
      <c r="I676" s="180">
        <f>(I629/I612)*K78</f>
        <v>141516.74963298044</v>
      </c>
      <c r="J676" s="180">
        <f>(J630/J612)*K79</f>
        <v>58523.377285212831</v>
      </c>
      <c r="K676" s="180">
        <f>(K644/K612)*K75</f>
        <v>199849.86516814271</v>
      </c>
      <c r="L676" s="180">
        <f>(L647/L612)*K80</f>
        <v>151385.78703045187</v>
      </c>
      <c r="M676" s="180">
        <f t="shared" si="20"/>
        <v>1472287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1810672</v>
      </c>
      <c r="D677" s="180">
        <f>(D615/D612)*L76</f>
        <v>0</v>
      </c>
      <c r="E677" s="180">
        <f>(E623/E612)*SUM(C677:D677)</f>
        <v>110269.17464716178</v>
      </c>
      <c r="F677" s="180">
        <f>(F624/F612)*L64</f>
        <v>7200.8297183388004</v>
      </c>
      <c r="G677" s="180">
        <f>(G625/G612)*L77</f>
        <v>167907.55326137479</v>
      </c>
      <c r="H677" s="180">
        <f>(H628/H612)*L60</f>
        <v>68006.976944005597</v>
      </c>
      <c r="I677" s="180">
        <f>(I629/I612)*L78</f>
        <v>166422.48413430454</v>
      </c>
      <c r="J677" s="180">
        <f>(J630/J612)*L79</f>
        <v>68356.721491656892</v>
      </c>
      <c r="K677" s="180">
        <f>(K644/K612)*L75</f>
        <v>145529.84974097472</v>
      </c>
      <c r="L677" s="180">
        <f>(L647/L612)*L80</f>
        <v>158418.88937179302</v>
      </c>
      <c r="M677" s="180">
        <f t="shared" si="20"/>
        <v>892112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97660</v>
      </c>
      <c r="D684" s="180">
        <f>(D615/D612)*S76</f>
        <v>10752.412859263257</v>
      </c>
      <c r="E684" s="180">
        <f>(E623/E612)*SUM(C684:D684)</f>
        <v>6602.2710283796887</v>
      </c>
      <c r="F684" s="180">
        <f>(F624/F612)*S64</f>
        <v>2454.0333189367357</v>
      </c>
      <c r="G684" s="180">
        <f>(G625/G612)*S77</f>
        <v>0</v>
      </c>
      <c r="H684" s="180">
        <f>(H628/H612)*S60</f>
        <v>4311.7825588209735</v>
      </c>
      <c r="I684" s="180">
        <f>(I629/I612)*S78</f>
        <v>4884.0721738284783</v>
      </c>
      <c r="J684" s="180">
        <f>(J630/J612)*S79</f>
        <v>0</v>
      </c>
      <c r="K684" s="180">
        <f>(K644/K612)*S75</f>
        <v>12468.505596131752</v>
      </c>
      <c r="L684" s="180">
        <f>(L647/L612)*S80</f>
        <v>0</v>
      </c>
      <c r="M684" s="180">
        <f t="shared" si="20"/>
        <v>41473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2176</v>
      </c>
      <c r="D685" s="180">
        <f>(D615/D612)*T76</f>
        <v>0</v>
      </c>
      <c r="E685" s="180">
        <f>(E623/E612)*SUM(C685:D685)</f>
        <v>132.51749849350077</v>
      </c>
      <c r="F685" s="180">
        <f>(F624/F612)*T64</f>
        <v>43.043253789199504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35385.806319118266</v>
      </c>
      <c r="L685" s="180">
        <f>(L647/L612)*T80</f>
        <v>0</v>
      </c>
      <c r="M685" s="180">
        <f t="shared" si="20"/>
        <v>35561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932339</v>
      </c>
      <c r="D686" s="180">
        <f>(D615/D612)*U76</f>
        <v>16937.555808932666</v>
      </c>
      <c r="E686" s="180">
        <f>(E623/E612)*SUM(C686:D686)</f>
        <v>57810.54896798062</v>
      </c>
      <c r="F686" s="180">
        <f>(F624/F612)*U64</f>
        <v>43043.48093038045</v>
      </c>
      <c r="G686" s="180">
        <f>(G625/G612)*U77</f>
        <v>0</v>
      </c>
      <c r="H686" s="180">
        <f>(H628/H612)*U60</f>
        <v>21593.96793685951</v>
      </c>
      <c r="I686" s="180">
        <f>(I629/I612)*U78</f>
        <v>11163.593540179379</v>
      </c>
      <c r="J686" s="180">
        <f>(J630/J612)*U79</f>
        <v>0</v>
      </c>
      <c r="K686" s="180">
        <f>(K644/K612)*U75</f>
        <v>297382.02818236098</v>
      </c>
      <c r="L686" s="180">
        <f>(L647/L612)*U80</f>
        <v>0</v>
      </c>
      <c r="M686" s="180">
        <f t="shared" si="20"/>
        <v>447931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9226.2329079998653</v>
      </c>
      <c r="L687" s="180">
        <f>(L647/L612)*V80</f>
        <v>0</v>
      </c>
      <c r="M687" s="180">
        <f t="shared" si="20"/>
        <v>9226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98245</v>
      </c>
      <c r="D688" s="180">
        <f>(D615/D612)*W76</f>
        <v>0</v>
      </c>
      <c r="E688" s="180">
        <f>(E623/E612)*SUM(C688:D688)</f>
        <v>5983.0797975615733</v>
      </c>
      <c r="F688" s="180">
        <f>(F624/F612)*W64</f>
        <v>0</v>
      </c>
      <c r="G688" s="180">
        <f>(G625/G612)*W77</f>
        <v>0</v>
      </c>
      <c r="H688" s="180">
        <f>(H628/H612)*W60</f>
        <v>105.16542826392617</v>
      </c>
      <c r="I688" s="180">
        <f>(I629/I612)*W78</f>
        <v>0</v>
      </c>
      <c r="J688" s="180">
        <f>(J630/J612)*W79</f>
        <v>259.86114129131778</v>
      </c>
      <c r="K688" s="180">
        <f>(K644/K612)*W75</f>
        <v>44144.231063907238</v>
      </c>
      <c r="L688" s="180">
        <f>(L647/L612)*W80</f>
        <v>0</v>
      </c>
      <c r="M688" s="180">
        <f t="shared" si="20"/>
        <v>50492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233425</v>
      </c>
      <c r="D689" s="180">
        <f>(D615/D612)*X76</f>
        <v>7316.2223316691407</v>
      </c>
      <c r="E689" s="180">
        <f>(E623/E612)*SUM(C689:D689)</f>
        <v>14661.040702049862</v>
      </c>
      <c r="F689" s="180">
        <f>(F624/F612)*X64</f>
        <v>2061.3062170817175</v>
      </c>
      <c r="G689" s="180">
        <f>(G625/G612)*X77</f>
        <v>0</v>
      </c>
      <c r="H689" s="180">
        <f>(H628/H612)*X60</f>
        <v>1822.8674232413873</v>
      </c>
      <c r="I689" s="180">
        <f>(I629/I612)*X78</f>
        <v>15895.986453951073</v>
      </c>
      <c r="J689" s="180">
        <f>(J630/J612)*X79</f>
        <v>1961.3723084726851</v>
      </c>
      <c r="K689" s="180">
        <f>(K644/K612)*X75</f>
        <v>180540.68333266929</v>
      </c>
      <c r="L689" s="180">
        <f>(L647/L612)*X80</f>
        <v>0</v>
      </c>
      <c r="M689" s="180">
        <f t="shared" si="20"/>
        <v>224259</v>
      </c>
      <c r="N689" s="198" t="s">
        <v>699</v>
      </c>
    </row>
    <row r="690" spans="1:14" ht="12.6" customHeight="1" x14ac:dyDescent="0.25">
      <c r="A690" s="196">
        <v>7140</v>
      </c>
      <c r="B690" s="198" t="s">
        <v>985</v>
      </c>
      <c r="C690" s="180">
        <f>Y71</f>
        <v>799736</v>
      </c>
      <c r="D690" s="180">
        <f>(D615/D612)*Y76</f>
        <v>19886.952678450951</v>
      </c>
      <c r="E690" s="180">
        <f>(E623/E612)*SUM(C690:D690)</f>
        <v>49914.698252208313</v>
      </c>
      <c r="F690" s="180">
        <f>(F624/F612)*Y64</f>
        <v>1026.6781378743101</v>
      </c>
      <c r="G690" s="180">
        <f>(G625/G612)*Y77</f>
        <v>0</v>
      </c>
      <c r="H690" s="180">
        <f>(H628/H612)*Y60</f>
        <v>14267.443101139319</v>
      </c>
      <c r="I690" s="180">
        <f>(I629/I612)*Y78</f>
        <v>15956.658157973787</v>
      </c>
      <c r="J690" s="180">
        <f>(J630/J612)*Y79</f>
        <v>6787.8378371700273</v>
      </c>
      <c r="K690" s="180">
        <f>(K644/K612)*Y75</f>
        <v>186090.69186432275</v>
      </c>
      <c r="L690" s="180">
        <f>(L647/L612)*Y80</f>
        <v>0</v>
      </c>
      <c r="M690" s="180">
        <f t="shared" si="20"/>
        <v>293931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-120166</v>
      </c>
      <c r="D693" s="180">
        <f>(D615/D612)*AB76</f>
        <v>5311.777857239239</v>
      </c>
      <c r="E693" s="180">
        <f>(E623/E612)*SUM(C693:D693)</f>
        <v>-6994.5745449335946</v>
      </c>
      <c r="F693" s="180">
        <f>(F624/F612)*AB64</f>
        <v>31622.14092889064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81170.555332343007</v>
      </c>
      <c r="L693" s="180">
        <f>(L647/L612)*AB80</f>
        <v>0</v>
      </c>
      <c r="M693" s="180">
        <f t="shared" si="20"/>
        <v>111110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863161</v>
      </c>
      <c r="D696" s="180">
        <f>(D615/D612)*AE76</f>
        <v>41219.968870597761</v>
      </c>
      <c r="E696" s="180">
        <f>(E623/E612)*SUM(C696:D696)</f>
        <v>55076.426323465173</v>
      </c>
      <c r="F696" s="180">
        <f>(F624/F612)*AE64</f>
        <v>2645.2861932929677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12390.576456731242</v>
      </c>
      <c r="K696" s="180">
        <f>(K644/K612)*AE75</f>
        <v>168640.08330408557</v>
      </c>
      <c r="L696" s="180">
        <f>(L647/L612)*AE80</f>
        <v>0</v>
      </c>
      <c r="M696" s="180">
        <f t="shared" si="20"/>
        <v>279972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2359228</v>
      </c>
      <c r="D698" s="180">
        <f>(D615/D612)*AG76</f>
        <v>41577.905383888814</v>
      </c>
      <c r="E698" s="180">
        <f>(E623/E612)*SUM(C698:D698)</f>
        <v>146208.08499535717</v>
      </c>
      <c r="F698" s="180">
        <f>(F624/F612)*AG64</f>
        <v>4912.2687497209663</v>
      </c>
      <c r="G698" s="180">
        <f>(G625/G612)*AG77</f>
        <v>0</v>
      </c>
      <c r="H698" s="180">
        <f>(H628/H612)*AG60</f>
        <v>32285.78647702534</v>
      </c>
      <c r="I698" s="180">
        <f>(I629/I612)*AG78</f>
        <v>58335.843417839526</v>
      </c>
      <c r="J698" s="180">
        <f>(J630/J612)*AG79</f>
        <v>24918.531733380823</v>
      </c>
      <c r="K698" s="180">
        <f>(K644/K612)*AG75</f>
        <v>462156.0945807001</v>
      </c>
      <c r="L698" s="180">
        <f>(L647/L612)*AG80</f>
        <v>72489.698389466605</v>
      </c>
      <c r="M698" s="180">
        <f t="shared" si="20"/>
        <v>842884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47059.028224320493</v>
      </c>
      <c r="L700" s="180">
        <f>(L647/L612)*AI80</f>
        <v>0</v>
      </c>
      <c r="M700" s="180">
        <f t="shared" si="20"/>
        <v>47059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2262247</v>
      </c>
      <c r="D701" s="180">
        <f>(D615/D612)*AJ76</f>
        <v>79361.683726892457</v>
      </c>
      <c r="E701" s="180">
        <f>(E623/E612)*SUM(C701:D701)</f>
        <v>142602.99872157481</v>
      </c>
      <c r="F701" s="180">
        <f>(F624/F612)*AJ64</f>
        <v>8913.7013638498993</v>
      </c>
      <c r="G701" s="180">
        <f>(G625/G612)*AJ77</f>
        <v>0</v>
      </c>
      <c r="H701" s="180">
        <f>(H628/H612)*AJ60</f>
        <v>61381.554963378258</v>
      </c>
      <c r="I701" s="180">
        <f>(I629/I612)*AJ78</f>
        <v>61308.756914952515</v>
      </c>
      <c r="J701" s="180">
        <f>(J630/J612)*AJ79</f>
        <v>473.37762044150884</v>
      </c>
      <c r="K701" s="180">
        <f>(K644/K612)*AJ75</f>
        <v>351168.28892110771</v>
      </c>
      <c r="L701" s="180">
        <f>(L647/L612)*AJ80</f>
        <v>53409.7969882045</v>
      </c>
      <c r="M701" s="180">
        <f t="shared" si="20"/>
        <v>758620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336742</v>
      </c>
      <c r="D702" s="180">
        <f>(D615/D612)*AK76</f>
        <v>9449.5239508838204</v>
      </c>
      <c r="E702" s="180">
        <f>(E623/E612)*SUM(C702:D702)</f>
        <v>21082.920383099259</v>
      </c>
      <c r="F702" s="180">
        <f>(F624/F612)*AK64</f>
        <v>795.33484508117181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3494.0564921399482</v>
      </c>
      <c r="K702" s="180">
        <f>(K644/K612)*AK75</f>
        <v>68234.143438290223</v>
      </c>
      <c r="L702" s="180">
        <f>(L647/L612)*AK80</f>
        <v>0</v>
      </c>
      <c r="M702" s="180">
        <f t="shared" si="20"/>
        <v>103056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127721</v>
      </c>
      <c r="D703" s="180">
        <f>(D615/D612)*AL76</f>
        <v>1288.5714478477937</v>
      </c>
      <c r="E703" s="180">
        <f>(E623/E612)*SUM(C703:D703)</f>
        <v>7856.629453119187</v>
      </c>
      <c r="F703" s="180">
        <f>(F624/F612)*AL64</f>
        <v>502.7770040231826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34049.211567087143</v>
      </c>
      <c r="L703" s="180">
        <f>(L647/L612)*AL80</f>
        <v>0</v>
      </c>
      <c r="M703" s="180">
        <f t="shared" si="20"/>
        <v>43697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165039</v>
      </c>
      <c r="D713" s="180">
        <f>(D615/D612)*AV76</f>
        <v>26945.460720550531</v>
      </c>
      <c r="E713" s="180">
        <f>(E623/E612)*SUM(C713:D713)</f>
        <v>11691.77411962827</v>
      </c>
      <c r="F713" s="180">
        <f>(F624/F612)*AV64</f>
        <v>607.82980021054288</v>
      </c>
      <c r="G713" s="180">
        <f>(G625/G612)*AV77</f>
        <v>0</v>
      </c>
      <c r="H713" s="180">
        <f>(H628/H612)*AV60</f>
        <v>10832.039111184396</v>
      </c>
      <c r="I713" s="180">
        <f>(I629/I612)*AV78</f>
        <v>7098.5893706575398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57176</v>
      </c>
      <c r="N713" s="199" t="s">
        <v>741</v>
      </c>
    </row>
    <row r="715" spans="1:15" ht="12.6" customHeight="1" x14ac:dyDescent="0.25">
      <c r="C715" s="180">
        <f>SUM(C614:C647)+SUM(C668:C713)</f>
        <v>18156577</v>
      </c>
      <c r="D715" s="180">
        <f>SUM(D616:D647)+SUM(D668:D713)</f>
        <v>1061066.9999999998</v>
      </c>
      <c r="E715" s="180">
        <f>SUM(E624:E647)+SUM(E668:E713)</f>
        <v>1042255.1125624073</v>
      </c>
      <c r="F715" s="180">
        <f>SUM(F625:F648)+SUM(F668:F713)</f>
        <v>152383.33976690879</v>
      </c>
      <c r="G715" s="180">
        <f>SUM(G626:G647)+SUM(G668:G713)</f>
        <v>806621.9193833865</v>
      </c>
      <c r="H715" s="180">
        <f>SUM(H629:H647)+SUM(H668:H713)</f>
        <v>408427.46823433466</v>
      </c>
      <c r="I715" s="180">
        <f>SUM(I630:I647)+SUM(I668:I713)</f>
        <v>521928.3338553973</v>
      </c>
      <c r="J715" s="180">
        <f>SUM(J631:J647)+SUM(J668:J713)</f>
        <v>177165.71236649729</v>
      </c>
      <c r="K715" s="180">
        <f>SUM(K668:K713)</f>
        <v>2397077.0948197162</v>
      </c>
      <c r="L715" s="180">
        <f>SUM(L668:L713)</f>
        <v>435704.17177991604</v>
      </c>
      <c r="M715" s="180">
        <f>SUM(M668:M713)</f>
        <v>6033393</v>
      </c>
      <c r="N715" s="198" t="s">
        <v>742</v>
      </c>
    </row>
    <row r="716" spans="1:15" ht="12.6" customHeight="1" x14ac:dyDescent="0.25">
      <c r="C716" s="180">
        <f>CE71</f>
        <v>18156577</v>
      </c>
      <c r="D716" s="180">
        <f>D615</f>
        <v>1061067</v>
      </c>
      <c r="E716" s="180">
        <f>E623</f>
        <v>1042255.1125624073</v>
      </c>
      <c r="F716" s="180">
        <f>F624</f>
        <v>152383.33976690879</v>
      </c>
      <c r="G716" s="180">
        <f>G625</f>
        <v>806621.9193833865</v>
      </c>
      <c r="H716" s="180">
        <f>H628</f>
        <v>408427.46823433461</v>
      </c>
      <c r="I716" s="180">
        <f>I629</f>
        <v>521928.33385539736</v>
      </c>
      <c r="J716" s="180">
        <f>J630</f>
        <v>177165.71236649729</v>
      </c>
      <c r="K716" s="180">
        <f>K644</f>
        <v>2397077.0948197162</v>
      </c>
      <c r="L716" s="180">
        <f>L647</f>
        <v>435704.17177991604</v>
      </c>
      <c r="M716" s="180">
        <f>C648</f>
        <v>6033396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B34" sqref="B34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5" t="s">
        <v>998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995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996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997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Columbia Basin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H-045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>200 Nat Washington Way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Ephrata, WA 98823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1014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759</v>
      </c>
      <c r="C35" s="70" t="s">
        <v>1007</v>
      </c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760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761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759</v>
      </c>
      <c r="C41" s="70" t="s">
        <v>1013</v>
      </c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760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762</v>
      </c>
      <c r="H1" s="7"/>
    </row>
    <row r="2" spans="1:13" ht="20.100000000000001" customHeight="1" x14ac:dyDescent="0.25">
      <c r="A2" s="6" t="s">
        <v>763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H-45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Columbia Basin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Grant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764</v>
      </c>
      <c r="C7" s="24"/>
      <c r="D7" s="127" t="str">
        <f>"  "&amp;data!C89</f>
        <v xml:space="preserve">  Rosalinda Kibby, Administrator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765</v>
      </c>
      <c r="C8" s="24"/>
      <c r="D8" s="127" t="str">
        <f>"  "&amp;data!C90</f>
        <v xml:space="preserve">  Rhonda Handly, Director of Finance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766</v>
      </c>
      <c r="C9" s="24"/>
      <c r="D9" s="127" t="str">
        <f>"  "&amp;data!C91</f>
        <v xml:space="preserve">  Amy Paynter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767</v>
      </c>
      <c r="C10" s="24"/>
      <c r="D10" s="127" t="str">
        <f>"  "&amp;data!C92</f>
        <v xml:space="preserve">  509-754-4631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768</v>
      </c>
      <c r="C11" s="24"/>
      <c r="D11" s="127" t="str">
        <f>"  "&amp;data!C93</f>
        <v xml:space="preserve">  509-754-6356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769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770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771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772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773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774</v>
      </c>
      <c r="C23" s="38"/>
      <c r="D23" s="38"/>
      <c r="E23" s="38"/>
      <c r="F23" s="13">
        <f>data!C111</f>
        <v>144</v>
      </c>
      <c r="G23" s="21">
        <f>data!D111</f>
        <v>420</v>
      </c>
      <c r="H23" s="7"/>
    </row>
    <row r="24" spans="1:9" ht="20.100000000000001" customHeight="1" x14ac:dyDescent="0.25">
      <c r="A24" s="130"/>
      <c r="B24" s="49" t="s">
        <v>775</v>
      </c>
      <c r="C24" s="38"/>
      <c r="D24" s="38"/>
      <c r="E24" s="38"/>
      <c r="F24" s="13">
        <f>data!C112</f>
        <v>156</v>
      </c>
      <c r="G24" s="21">
        <f>data!D112</f>
        <v>18649</v>
      </c>
      <c r="H24" s="7"/>
    </row>
    <row r="25" spans="1:9" ht="20.100000000000001" customHeight="1" x14ac:dyDescent="0.25">
      <c r="A25" s="130"/>
      <c r="B25" s="49" t="s">
        <v>776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777</v>
      </c>
      <c r="C29" s="24"/>
      <c r="D29" s="15" t="s">
        <v>167</v>
      </c>
      <c r="E29" s="97" t="s">
        <v>777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12</v>
      </c>
      <c r="H30" s="7"/>
    </row>
    <row r="31" spans="1:9" ht="20.100000000000001" customHeight="1" x14ac:dyDescent="0.25">
      <c r="A31" s="130"/>
      <c r="B31" s="97" t="s">
        <v>778</v>
      </c>
      <c r="C31" s="24"/>
      <c r="D31" s="21">
        <f>data!C117</f>
        <v>0</v>
      </c>
      <c r="E31" s="49" t="s">
        <v>289</v>
      </c>
      <c r="F31" s="24"/>
      <c r="G31" s="21">
        <f>data!C124</f>
        <v>21</v>
      </c>
      <c r="H31" s="7"/>
    </row>
    <row r="32" spans="1:9" ht="20.100000000000001" customHeight="1" x14ac:dyDescent="0.25">
      <c r="A32" s="130"/>
      <c r="B32" s="97" t="s">
        <v>779</v>
      </c>
      <c r="C32" s="24"/>
      <c r="D32" s="21">
        <f>data!C118</f>
        <v>4</v>
      </c>
      <c r="E32" s="49" t="s">
        <v>780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781</v>
      </c>
      <c r="C33" s="24"/>
      <c r="D33" s="21">
        <f>data!C119</f>
        <v>0</v>
      </c>
      <c r="E33" s="49" t="s">
        <v>782</v>
      </c>
      <c r="F33" s="24"/>
      <c r="G33" s="21">
        <f>data!C126</f>
        <v>32</v>
      </c>
      <c r="H33" s="7"/>
    </row>
    <row r="34" spans="1:8" ht="20.100000000000001" customHeight="1" x14ac:dyDescent="0.25">
      <c r="A34" s="130"/>
      <c r="B34" s="97" t="s">
        <v>783</v>
      </c>
      <c r="C34" s="24"/>
      <c r="D34" s="21">
        <f>data!C120</f>
        <v>0</v>
      </c>
      <c r="E34" s="49" t="s">
        <v>291</v>
      </c>
      <c r="F34" s="24"/>
      <c r="G34" s="21">
        <f>data!E127</f>
        <v>69</v>
      </c>
      <c r="H34" s="7"/>
    </row>
    <row r="35" spans="1:8" ht="20.100000000000001" customHeight="1" x14ac:dyDescent="0.25">
      <c r="A35" s="130"/>
      <c r="B35" s="97" t="s">
        <v>784</v>
      </c>
      <c r="C35" s="24"/>
      <c r="D35" s="21">
        <f>data!C121</f>
        <v>0</v>
      </c>
      <c r="E35" s="49" t="s">
        <v>785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786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787</v>
      </c>
      <c r="B1" s="8"/>
      <c r="C1" s="8"/>
      <c r="D1" s="8"/>
      <c r="E1" s="8"/>
      <c r="F1" s="8"/>
      <c r="G1" s="165" t="s">
        <v>788</v>
      </c>
    </row>
    <row r="2" spans="1:13" ht="20.100000000000001" customHeight="1" x14ac:dyDescent="0.25">
      <c r="A2" s="105" t="str">
        <f>"Hospital Name: "&amp;data!C84</f>
        <v>Hospital Name: Columbia Basin Hospital</v>
      </c>
      <c r="B2" s="8"/>
      <c r="C2" s="8"/>
      <c r="D2" s="8"/>
      <c r="E2" s="8"/>
      <c r="F2" s="11"/>
      <c r="G2" s="76" t="s">
        <v>789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790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791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792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107</v>
      </c>
      <c r="C7" s="48">
        <f>data!B139</f>
        <v>307</v>
      </c>
      <c r="D7" s="48">
        <f>data!B140</f>
        <v>0</v>
      </c>
      <c r="E7" s="48">
        <f>data!B141</f>
        <v>1780225.6099999999</v>
      </c>
      <c r="F7" s="48">
        <f>data!B142</f>
        <v>6354348</v>
      </c>
      <c r="G7" s="48">
        <f>data!B141+data!B142</f>
        <v>8134573.6099999994</v>
      </c>
    </row>
    <row r="8" spans="1:13" ht="20.100000000000001" customHeight="1" x14ac:dyDescent="0.25">
      <c r="A8" s="23" t="s">
        <v>297</v>
      </c>
      <c r="B8" s="48">
        <f>data!C138</f>
        <v>14</v>
      </c>
      <c r="C8" s="48">
        <f>data!C139</f>
        <v>35</v>
      </c>
      <c r="D8" s="48">
        <f>data!C140</f>
        <v>0</v>
      </c>
      <c r="E8" s="48">
        <f>data!C141</f>
        <v>131472.59000000008</v>
      </c>
      <c r="F8" s="48">
        <f>data!C142</f>
        <v>3915433.1700000004</v>
      </c>
      <c r="G8" s="48">
        <f>data!C141+data!C142</f>
        <v>4046905.7600000007</v>
      </c>
    </row>
    <row r="9" spans="1:13" ht="20.100000000000001" customHeight="1" x14ac:dyDescent="0.25">
      <c r="A9" s="23" t="s">
        <v>793</v>
      </c>
      <c r="B9" s="48">
        <f>data!D138</f>
        <v>23</v>
      </c>
      <c r="C9" s="48">
        <f>data!D139</f>
        <v>78</v>
      </c>
      <c r="D9" s="48">
        <f>data!D140</f>
        <v>0</v>
      </c>
      <c r="E9" s="48">
        <f>data!D141</f>
        <v>4058108.8</v>
      </c>
      <c r="F9" s="48">
        <f>data!D142</f>
        <v>8163435.8300000001</v>
      </c>
      <c r="G9" s="48">
        <f>data!D141+data!D142</f>
        <v>12221544.629999999</v>
      </c>
    </row>
    <row r="10" spans="1:13" ht="20.100000000000001" customHeight="1" x14ac:dyDescent="0.25">
      <c r="A10" s="111" t="s">
        <v>203</v>
      </c>
      <c r="B10" s="48">
        <f>data!E138</f>
        <v>144</v>
      </c>
      <c r="C10" s="48">
        <f>data!E139</f>
        <v>420</v>
      </c>
      <c r="D10" s="48">
        <f>data!E140</f>
        <v>0</v>
      </c>
      <c r="E10" s="48">
        <f>data!E141</f>
        <v>5969807</v>
      </c>
      <c r="F10" s="48">
        <f>data!E142</f>
        <v>18433217</v>
      </c>
      <c r="G10" s="48">
        <f>data!E141+data!E142</f>
        <v>24403024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794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791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792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94</v>
      </c>
      <c r="C16" s="48">
        <f>data!B145</f>
        <v>1837</v>
      </c>
      <c r="D16" s="48">
        <f>data!B146</f>
        <v>0</v>
      </c>
      <c r="E16" s="48">
        <f>data!B147</f>
        <v>459342</v>
      </c>
      <c r="F16" s="48">
        <f>data!B148</f>
        <v>0</v>
      </c>
      <c r="G16" s="48">
        <f>data!B147+data!B148</f>
        <v>459342</v>
      </c>
    </row>
    <row r="17" spans="1:7" ht="20.100000000000001" customHeight="1" x14ac:dyDescent="0.25">
      <c r="A17" s="23" t="s">
        <v>297</v>
      </c>
      <c r="B17" s="48">
        <f>data!C144</f>
        <v>28</v>
      </c>
      <c r="C17" s="48">
        <f>data!C145</f>
        <v>8842</v>
      </c>
      <c r="D17" s="48">
        <f>data!C146</f>
        <v>0</v>
      </c>
      <c r="E17" s="48">
        <f>data!C147</f>
        <v>1684362</v>
      </c>
      <c r="F17" s="48">
        <f>data!C148</f>
        <v>0</v>
      </c>
      <c r="G17" s="48">
        <f>data!C147+data!C148</f>
        <v>1684362</v>
      </c>
    </row>
    <row r="18" spans="1:7" ht="20.100000000000001" customHeight="1" x14ac:dyDescent="0.25">
      <c r="A18" s="23" t="s">
        <v>793</v>
      </c>
      <c r="B18" s="48">
        <f>data!D144</f>
        <v>34</v>
      </c>
      <c r="C18" s="48">
        <f>data!D145</f>
        <v>7970</v>
      </c>
      <c r="D18" s="48">
        <f>data!D146</f>
        <v>0</v>
      </c>
      <c r="E18" s="48">
        <f>data!D147</f>
        <v>1198688</v>
      </c>
      <c r="F18" s="48">
        <f>data!D148</f>
        <v>0</v>
      </c>
      <c r="G18" s="48">
        <f>data!D147+data!D148</f>
        <v>1198688</v>
      </c>
    </row>
    <row r="19" spans="1:7" ht="20.100000000000001" customHeight="1" x14ac:dyDescent="0.25">
      <c r="A19" s="111" t="s">
        <v>203</v>
      </c>
      <c r="B19" s="48">
        <f>data!E144</f>
        <v>156</v>
      </c>
      <c r="C19" s="48">
        <f>data!E145</f>
        <v>18649</v>
      </c>
      <c r="D19" s="48">
        <f>data!E146</f>
        <v>0</v>
      </c>
      <c r="E19" s="48">
        <f>data!E147</f>
        <v>3342392</v>
      </c>
      <c r="F19" s="48">
        <f>data!E148</f>
        <v>0</v>
      </c>
      <c r="G19" s="48">
        <f>data!E147+data!E148</f>
        <v>3342392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795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791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792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793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796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797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798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799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Columbia Basin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800</v>
      </c>
      <c r="C6" s="13">
        <f>data!C165</f>
        <v>622163.71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12880.98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89151.83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1095331.2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5796.35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318484.31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43509.9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32704.74</v>
      </c>
    </row>
    <row r="14" spans="1:13" ht="20.100000000000001" customHeight="1" x14ac:dyDescent="0.25">
      <c r="A14" s="40">
        <v>10</v>
      </c>
      <c r="B14" s="49" t="s">
        <v>801</v>
      </c>
      <c r="C14" s="13">
        <f>data!D173</f>
        <v>2220023.02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802</v>
      </c>
      <c r="C18" s="13">
        <f>data!C175</f>
        <v>1357</v>
      </c>
    </row>
    <row r="19" spans="1:3" ht="20.100000000000001" customHeight="1" x14ac:dyDescent="0.25">
      <c r="A19" s="13">
        <v>13</v>
      </c>
      <c r="B19" s="49" t="s">
        <v>803</v>
      </c>
      <c r="C19" s="13">
        <f>data!C176</f>
        <v>48719.29</v>
      </c>
    </row>
    <row r="20" spans="1:3" ht="20.100000000000001" customHeight="1" x14ac:dyDescent="0.25">
      <c r="A20" s="13">
        <v>14</v>
      </c>
      <c r="B20" s="49" t="s">
        <v>804</v>
      </c>
      <c r="C20" s="13">
        <f>data!D177</f>
        <v>50076.29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805</v>
      </c>
      <c r="C24" s="104"/>
    </row>
    <row r="25" spans="1:3" ht="20.100000000000001" customHeight="1" x14ac:dyDescent="0.25">
      <c r="A25" s="13">
        <v>17</v>
      </c>
      <c r="B25" s="49" t="s">
        <v>806</v>
      </c>
      <c r="C25" s="13">
        <f>data!C179</f>
        <v>128389.02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41941.519999999997</v>
      </c>
    </row>
    <row r="27" spans="1:3" ht="20.100000000000001" customHeight="1" x14ac:dyDescent="0.25">
      <c r="A27" s="13">
        <v>19</v>
      </c>
      <c r="B27" s="49" t="s">
        <v>807</v>
      </c>
      <c r="C27" s="13">
        <f>data!D181</f>
        <v>170330.54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808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809</v>
      </c>
      <c r="C32" s="13">
        <f>data!C184</f>
        <v>53243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810</v>
      </c>
      <c r="C34" s="13">
        <f>data!D186</f>
        <v>53243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811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811653</v>
      </c>
    </row>
    <row r="40" spans="1:3" ht="20.100000000000001" customHeight="1" x14ac:dyDescent="0.25">
      <c r="A40" s="13">
        <v>28</v>
      </c>
      <c r="B40" s="49" t="s">
        <v>812</v>
      </c>
      <c r="C40" s="13">
        <f>data!D190</f>
        <v>811653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813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Columbia Basin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814</v>
      </c>
      <c r="D5" s="47"/>
      <c r="E5" s="47"/>
      <c r="F5" s="72" t="s">
        <v>815</v>
      </c>
    </row>
    <row r="6" spans="1:13" ht="20.100000000000001" customHeight="1" x14ac:dyDescent="0.25">
      <c r="A6" s="19"/>
      <c r="B6" s="20"/>
      <c r="C6" s="18" t="s">
        <v>816</v>
      </c>
      <c r="D6" s="18" t="s">
        <v>329</v>
      </c>
      <c r="E6" s="18" t="s">
        <v>817</v>
      </c>
      <c r="F6" s="18" t="s">
        <v>816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99457</v>
      </c>
      <c r="D7" s="21">
        <f>data!C195</f>
        <v>0</v>
      </c>
      <c r="E7" s="21">
        <f>data!D195</f>
        <v>0</v>
      </c>
      <c r="F7" s="21">
        <f>data!E195</f>
        <v>99457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186843</v>
      </c>
      <c r="D8" s="21">
        <f>data!C196</f>
        <v>0</v>
      </c>
      <c r="E8" s="21">
        <f>data!D196</f>
        <v>0</v>
      </c>
      <c r="F8" s="21">
        <f>data!E196</f>
        <v>186843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24474025</v>
      </c>
      <c r="D9" s="21">
        <f>data!C197</f>
        <v>0</v>
      </c>
      <c r="E9" s="21">
        <f>data!D197</f>
        <v>0</v>
      </c>
      <c r="F9" s="21">
        <f>data!E197</f>
        <v>24474025</v>
      </c>
    </row>
    <row r="10" spans="1:13" ht="20.100000000000001" customHeight="1" x14ac:dyDescent="0.25">
      <c r="A10" s="13">
        <v>4</v>
      </c>
      <c r="B10" s="14" t="s">
        <v>818</v>
      </c>
      <c r="C10" s="21">
        <f>data!B198</f>
        <v>4515775</v>
      </c>
      <c r="D10" s="21">
        <f>data!C198</f>
        <v>368418.69</v>
      </c>
      <c r="E10" s="21">
        <f>data!D198</f>
        <v>0</v>
      </c>
      <c r="F10" s="21">
        <f>data!E198</f>
        <v>4884193.6900000004</v>
      </c>
    </row>
    <row r="11" spans="1:13" ht="20.100000000000001" customHeight="1" x14ac:dyDescent="0.25">
      <c r="A11" s="13">
        <v>5</v>
      </c>
      <c r="B11" s="14" t="s">
        <v>819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820</v>
      </c>
      <c r="C12" s="21">
        <f>data!B200</f>
        <v>3285907</v>
      </c>
      <c r="D12" s="21">
        <f>data!C200</f>
        <v>444836.6</v>
      </c>
      <c r="E12" s="21">
        <f>data!D200</f>
        <v>93200.76</v>
      </c>
      <c r="F12" s="21">
        <f>data!E200</f>
        <v>3637542.8400000003</v>
      </c>
    </row>
    <row r="13" spans="1:13" ht="20.100000000000001" customHeight="1" x14ac:dyDescent="0.25">
      <c r="A13" s="13">
        <v>7</v>
      </c>
      <c r="B13" s="14" t="s">
        <v>821</v>
      </c>
      <c r="C13" s="21">
        <f>data!B201</f>
        <v>470635</v>
      </c>
      <c r="D13" s="21">
        <f>data!C201</f>
        <v>0</v>
      </c>
      <c r="E13" s="21">
        <f>data!D201</f>
        <v>470634.9</v>
      </c>
      <c r="F13" s="21">
        <f>data!E201</f>
        <v>9.9999999976716936E-2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822</v>
      </c>
      <c r="C15" s="21">
        <f>data!B203</f>
        <v>369591</v>
      </c>
      <c r="D15" s="21">
        <f>data!C203</f>
        <v>1990381.45</v>
      </c>
      <c r="E15" s="21">
        <f>data!D203</f>
        <v>2358188.04</v>
      </c>
      <c r="F15" s="21">
        <f>data!E203</f>
        <v>1784.410000000149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33402233</v>
      </c>
      <c r="D16" s="21">
        <f>data!C204</f>
        <v>2803636.74</v>
      </c>
      <c r="E16" s="21">
        <f>data!D204</f>
        <v>2922023.7</v>
      </c>
      <c r="F16" s="21">
        <f>data!E204</f>
        <v>33283846.040000003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814</v>
      </c>
      <c r="D21" s="76" t="s">
        <v>203</v>
      </c>
      <c r="E21" s="25"/>
      <c r="F21" s="18" t="s">
        <v>815</v>
      </c>
    </row>
    <row r="22" spans="1:6" ht="20.100000000000001" customHeight="1" x14ac:dyDescent="0.25">
      <c r="A22" s="75"/>
      <c r="B22" s="44"/>
      <c r="C22" s="18" t="s">
        <v>816</v>
      </c>
      <c r="D22" s="18" t="s">
        <v>823</v>
      </c>
      <c r="E22" s="18" t="s">
        <v>817</v>
      </c>
      <c r="F22" s="18" t="s">
        <v>816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112277</v>
      </c>
      <c r="D24" s="21">
        <f>data!C209</f>
        <v>10636.38</v>
      </c>
      <c r="E24" s="21">
        <f>data!D209</f>
        <v>0</v>
      </c>
      <c r="F24" s="21">
        <f>data!E209</f>
        <v>122913.38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9069118</v>
      </c>
      <c r="D25" s="21">
        <f>data!C210</f>
        <v>1077048.29</v>
      </c>
      <c r="E25" s="21">
        <f>data!D210</f>
        <v>0</v>
      </c>
      <c r="F25" s="21">
        <f>data!E210</f>
        <v>10146166.289999999</v>
      </c>
    </row>
    <row r="26" spans="1:6" ht="20.100000000000001" customHeight="1" x14ac:dyDescent="0.25">
      <c r="A26" s="13">
        <v>14</v>
      </c>
      <c r="B26" s="14" t="s">
        <v>818</v>
      </c>
      <c r="C26" s="21">
        <f>data!B211</f>
        <v>1033464</v>
      </c>
      <c r="D26" s="21">
        <f>data!C211</f>
        <v>425324.15</v>
      </c>
      <c r="E26" s="21">
        <f>data!D211</f>
        <v>0</v>
      </c>
      <c r="F26" s="21">
        <f>data!E211</f>
        <v>1458788.15</v>
      </c>
    </row>
    <row r="27" spans="1:6" ht="20.100000000000001" customHeight="1" x14ac:dyDescent="0.25">
      <c r="A27" s="13">
        <v>15</v>
      </c>
      <c r="B27" s="14" t="s">
        <v>819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820</v>
      </c>
      <c r="C28" s="21">
        <f>data!B213</f>
        <v>2434834</v>
      </c>
      <c r="D28" s="21">
        <f>data!C213</f>
        <v>293644.55</v>
      </c>
      <c r="E28" s="21">
        <f>data!D213</f>
        <v>91432.639999999999</v>
      </c>
      <c r="F28" s="21">
        <f>data!E213</f>
        <v>2637045.9099999997</v>
      </c>
    </row>
    <row r="29" spans="1:6" ht="20.100000000000001" customHeight="1" x14ac:dyDescent="0.25">
      <c r="A29" s="13">
        <v>17</v>
      </c>
      <c r="B29" s="14" t="s">
        <v>821</v>
      </c>
      <c r="C29" s="21">
        <f>data!B214</f>
        <v>470636</v>
      </c>
      <c r="D29" s="21">
        <f>data!C214</f>
        <v>0</v>
      </c>
      <c r="E29" s="21">
        <f>data!D214</f>
        <v>470636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822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13120329</v>
      </c>
      <c r="D32" s="21">
        <f>data!C217</f>
        <v>1806653.3699999999</v>
      </c>
      <c r="E32" s="21">
        <f>data!D217</f>
        <v>562068.64</v>
      </c>
      <c r="F32" s="21">
        <f>data!E217</f>
        <v>14364913.73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824</v>
      </c>
      <c r="B1" s="6"/>
      <c r="C1" s="6"/>
      <c r="D1" s="169" t="s">
        <v>825</v>
      </c>
    </row>
    <row r="2" spans="1:13" ht="20.100000000000001" customHeight="1" x14ac:dyDescent="0.25">
      <c r="A2" s="29" t="str">
        <f>"Hospital: "&amp;data!C84</f>
        <v>Hospital: Columbia Basin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826</v>
      </c>
      <c r="C4" s="41" t="s">
        <v>827</v>
      </c>
      <c r="D4" s="54"/>
    </row>
    <row r="5" spans="1:13" ht="20.100000000000001" customHeight="1" x14ac:dyDescent="0.25">
      <c r="A5" s="102">
        <v>1</v>
      </c>
      <c r="B5" s="55"/>
      <c r="C5" s="22" t="s">
        <v>990</v>
      </c>
      <c r="D5" s="14">
        <f>data!D221</f>
        <v>677035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1142576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2886933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116045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828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2408306</v>
      </c>
    </row>
    <row r="13" spans="1:13" ht="20.100000000000001" customHeight="1" x14ac:dyDescent="0.25">
      <c r="A13" s="23">
        <v>9</v>
      </c>
      <c r="B13" s="24"/>
      <c r="C13" s="14" t="s">
        <v>829</v>
      </c>
      <c r="D13" s="14">
        <f>data!D229</f>
        <v>6553860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830</v>
      </c>
      <c r="D16" s="140">
        <f>+data!C231</f>
        <v>0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37494</v>
      </c>
    </row>
    <row r="19" spans="1:4" ht="20.100000000000001" customHeight="1" x14ac:dyDescent="0.25">
      <c r="A19" s="61">
        <v>15</v>
      </c>
      <c r="B19" s="55">
        <v>5910</v>
      </c>
      <c r="C19" s="22" t="s">
        <v>831</v>
      </c>
      <c r="D19" s="14">
        <f>data!C234</f>
        <v>4970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832</v>
      </c>
      <c r="D22" s="14">
        <f>data!D236</f>
        <v>42464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1">
        <v>20</v>
      </c>
      <c r="B24" s="55">
        <v>5970</v>
      </c>
      <c r="C24" s="14" t="s">
        <v>357</v>
      </c>
      <c r="D24" s="14">
        <f>data!C238</f>
        <v>12978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833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834</v>
      </c>
      <c r="C27" s="56"/>
      <c r="D27" s="14">
        <f>data!D242</f>
        <v>7286337</v>
      </c>
    </row>
    <row r="28" spans="1:4" ht="20.100000000000001" customHeight="1" x14ac:dyDescent="0.25">
      <c r="A28" s="126">
        <v>24</v>
      </c>
      <c r="B28" s="65" t="s">
        <v>835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836</v>
      </c>
      <c r="B1" s="5"/>
      <c r="C1" s="6"/>
    </row>
    <row r="2" spans="1:13" ht="20.100000000000001" customHeight="1" x14ac:dyDescent="0.25">
      <c r="A2" s="4"/>
      <c r="B2" s="5"/>
      <c r="C2" s="167" t="s">
        <v>837</v>
      </c>
    </row>
    <row r="3" spans="1:13" ht="20.100000000000001" customHeight="1" x14ac:dyDescent="0.25">
      <c r="A3" s="29" t="str">
        <f>"HOSPITAL: "&amp;data!C84</f>
        <v>HOSPITAL: Columbia Basin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838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1695933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3146029</v>
      </c>
    </row>
    <row r="9" spans="1:13" ht="20.100000000000001" customHeight="1" x14ac:dyDescent="0.25">
      <c r="A9" s="13">
        <v>5</v>
      </c>
      <c r="B9" s="14" t="s">
        <v>839</v>
      </c>
      <c r="C9" s="21">
        <f>data!C253</f>
        <v>1398000</v>
      </c>
    </row>
    <row r="10" spans="1:13" ht="20.100000000000001" customHeight="1" x14ac:dyDescent="0.25">
      <c r="A10" s="13">
        <v>6</v>
      </c>
      <c r="B10" s="14" t="s">
        <v>840</v>
      </c>
      <c r="C10" s="21">
        <f>data!C254</f>
        <v>335000</v>
      </c>
    </row>
    <row r="11" spans="1:13" ht="20.100000000000001" customHeight="1" x14ac:dyDescent="0.25">
      <c r="A11" s="13">
        <v>7</v>
      </c>
      <c r="B11" s="14" t="s">
        <v>841</v>
      </c>
      <c r="C11" s="21">
        <f>data!C255</f>
        <v>160944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118561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2233579</v>
      </c>
    </row>
    <row r="15" spans="1:13" ht="20.100000000000001" customHeight="1" x14ac:dyDescent="0.25">
      <c r="A15" s="13">
        <v>11</v>
      </c>
      <c r="B15" s="14" t="s">
        <v>842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843</v>
      </c>
      <c r="C16" s="21">
        <f>data!D260</f>
        <v>6292046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844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3539935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24204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845</v>
      </c>
      <c r="C22" s="21">
        <f>data!D265</f>
        <v>3564139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846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99457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186842.71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24474025.199999999</v>
      </c>
    </row>
    <row r="28" spans="1:3" ht="20.100000000000001" customHeight="1" x14ac:dyDescent="0.25">
      <c r="A28" s="13">
        <v>24</v>
      </c>
      <c r="B28" s="14" t="s">
        <v>847</v>
      </c>
      <c r="C28" s="21">
        <f>data!C270</f>
        <v>4884194.45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3637543.49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1783.74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33283846.59</v>
      </c>
    </row>
    <row r="34" spans="1:3" ht="20.100000000000001" customHeight="1" x14ac:dyDescent="0.25">
      <c r="A34" s="13">
        <v>30</v>
      </c>
      <c r="B34" s="14" t="s">
        <v>848</v>
      </c>
      <c r="C34" s="21">
        <f>data!C276</f>
        <v>14364914.140000001</v>
      </c>
    </row>
    <row r="35" spans="1:3" ht="20.100000000000001" customHeight="1" x14ac:dyDescent="0.25">
      <c r="A35" s="13">
        <v>31</v>
      </c>
      <c r="B35" s="14" t="s">
        <v>849</v>
      </c>
      <c r="C35" s="21">
        <f>data!D277</f>
        <v>18918932.449999999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850</v>
      </c>
      <c r="C37" s="36"/>
    </row>
    <row r="38" spans="1:3" ht="20.100000000000001" customHeight="1" x14ac:dyDescent="0.25">
      <c r="A38" s="13">
        <v>34</v>
      </c>
      <c r="B38" s="14" t="s">
        <v>851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852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853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854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855</v>
      </c>
      <c r="C47" s="21">
        <f>data!C288</f>
        <v>-403217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856</v>
      </c>
      <c r="C49" s="21">
        <f>data!D290</f>
        <v>-403217</v>
      </c>
    </row>
    <row r="50" spans="1:3" ht="20.100000000000001" customHeight="1" x14ac:dyDescent="0.25">
      <c r="A50" s="40">
        <v>46</v>
      </c>
      <c r="B50" s="41" t="s">
        <v>857</v>
      </c>
      <c r="C50" s="21">
        <f>data!D292</f>
        <v>28371900.449999999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858</v>
      </c>
      <c r="B53" s="5"/>
      <c r="C53" s="6"/>
    </row>
    <row r="54" spans="1:3" ht="20.100000000000001" customHeight="1" x14ac:dyDescent="0.25">
      <c r="A54" s="4"/>
      <c r="B54" s="5"/>
      <c r="C54" s="167" t="s">
        <v>859</v>
      </c>
    </row>
    <row r="55" spans="1:3" ht="20.100000000000001" customHeight="1" x14ac:dyDescent="0.25">
      <c r="A55" s="29" t="str">
        <f>"HOSPITAL: "&amp;data!C84</f>
        <v>HOSPITAL: Columbia Basin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860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861</v>
      </c>
      <c r="C59" s="21">
        <f>data!C305</f>
        <v>767630</v>
      </c>
    </row>
    <row r="60" spans="1:3" ht="20.100000000000001" customHeight="1" x14ac:dyDescent="0.25">
      <c r="A60" s="13">
        <v>4</v>
      </c>
      <c r="B60" s="14" t="s">
        <v>862</v>
      </c>
      <c r="C60" s="21">
        <f>data!C306</f>
        <v>1250438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863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864</v>
      </c>
      <c r="C63" s="21">
        <f>data!C309</f>
        <v>304709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17258</v>
      </c>
    </row>
    <row r="67" spans="1:3" ht="20.100000000000001" customHeight="1" x14ac:dyDescent="0.25">
      <c r="A67" s="13">
        <v>11</v>
      </c>
      <c r="B67" s="14" t="s">
        <v>865</v>
      </c>
      <c r="C67" s="21">
        <f>data!C313</f>
        <v>66164</v>
      </c>
    </row>
    <row r="68" spans="1:3" ht="20.100000000000001" customHeight="1" x14ac:dyDescent="0.25">
      <c r="A68" s="13">
        <v>12</v>
      </c>
      <c r="B68" s="14" t="s">
        <v>866</v>
      </c>
      <c r="C68" s="21">
        <f>data!D314</f>
        <v>2406199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867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868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869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870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871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16307615</v>
      </c>
    </row>
    <row r="82" spans="1:3" ht="20.100000000000001" customHeight="1" x14ac:dyDescent="0.25">
      <c r="A82" s="13">
        <v>26</v>
      </c>
      <c r="B82" s="14" t="s">
        <v>872</v>
      </c>
      <c r="C82" s="21">
        <f>data!C326</f>
        <v>66164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16373779</v>
      </c>
    </row>
    <row r="85" spans="1:3" ht="20.100000000000001" customHeight="1" x14ac:dyDescent="0.25">
      <c r="A85" s="13">
        <v>29</v>
      </c>
      <c r="B85" s="14" t="s">
        <v>873</v>
      </c>
      <c r="C85" s="21">
        <f>data!D329</f>
        <v>66164</v>
      </c>
    </row>
    <row r="86" spans="1:3" ht="20.100000000000001" customHeight="1" x14ac:dyDescent="0.25">
      <c r="A86" s="13">
        <v>30</v>
      </c>
      <c r="B86" s="14" t="s">
        <v>874</v>
      </c>
      <c r="C86" s="21">
        <f>data!D330</f>
        <v>16307615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875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876</v>
      </c>
      <c r="C90" s="36"/>
    </row>
    <row r="91" spans="1:3" ht="20.100000000000001" customHeight="1" x14ac:dyDescent="0.25">
      <c r="A91" s="13">
        <v>35</v>
      </c>
      <c r="B91" s="14" t="s">
        <v>877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878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879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880</v>
      </c>
      <c r="C97" s="21">
        <f>data!C337</f>
        <v>9658086</v>
      </c>
    </row>
    <row r="98" spans="1:3" ht="20.100000000000001" customHeight="1" x14ac:dyDescent="0.25">
      <c r="A98" s="13">
        <v>42</v>
      </c>
      <c r="B98" s="14" t="s">
        <v>881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882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883</v>
      </c>
      <c r="C101" s="21">
        <f>data!C332+data!C334+data!C335+data!C336+data!C337-data!C338</f>
        <v>9658086</v>
      </c>
    </row>
    <row r="102" spans="1:3" ht="20.100000000000001" customHeight="1" x14ac:dyDescent="0.25">
      <c r="A102" s="13">
        <v>46</v>
      </c>
      <c r="B102" s="14" t="s">
        <v>884</v>
      </c>
      <c r="C102" s="21">
        <f>data!D339</f>
        <v>28371900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885</v>
      </c>
      <c r="B105" s="5"/>
      <c r="C105" s="6"/>
    </row>
    <row r="106" spans="1:3" ht="20.100000000000001" customHeight="1" x14ac:dyDescent="0.25">
      <c r="A106" s="45"/>
      <c r="B106" s="8"/>
      <c r="C106" s="167" t="s">
        <v>886</v>
      </c>
    </row>
    <row r="107" spans="1:3" ht="20.100000000000001" customHeight="1" x14ac:dyDescent="0.25">
      <c r="A107" s="29" t="str">
        <f>"HOSPITAL: "&amp;data!C84</f>
        <v>HOSPITAL: Columbia Basin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887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5969807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18433217</v>
      </c>
    </row>
    <row r="112" spans="1:3" ht="20.100000000000001" customHeight="1" x14ac:dyDescent="0.25">
      <c r="A112" s="13">
        <v>4</v>
      </c>
      <c r="B112" s="14" t="s">
        <v>888</v>
      </c>
      <c r="C112" s="21">
        <f>data!D361</f>
        <v>24403024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889</v>
      </c>
      <c r="C114" s="36"/>
    </row>
    <row r="115" spans="1:3" ht="20.100000000000001" customHeight="1" x14ac:dyDescent="0.25">
      <c r="A115" s="13">
        <v>7</v>
      </c>
      <c r="B115" s="270" t="s">
        <v>450</v>
      </c>
      <c r="C115" s="48">
        <f>data!C363</f>
        <v>677035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6553860</v>
      </c>
    </row>
    <row r="117" spans="1:3" ht="20.100000000000001" customHeight="1" x14ac:dyDescent="0.25">
      <c r="A117" s="13">
        <v>9</v>
      </c>
      <c r="B117" s="14" t="s">
        <v>890</v>
      </c>
      <c r="C117" s="48">
        <f>data!C365</f>
        <v>42464</v>
      </c>
    </row>
    <row r="118" spans="1:3" ht="20.100000000000001" customHeight="1" x14ac:dyDescent="0.25">
      <c r="A118" s="13">
        <v>10</v>
      </c>
      <c r="B118" s="14" t="s">
        <v>891</v>
      </c>
      <c r="C118" s="48">
        <f>data!C366</f>
        <v>12978</v>
      </c>
    </row>
    <row r="119" spans="1:3" ht="20.100000000000001" customHeight="1" x14ac:dyDescent="0.25">
      <c r="A119" s="13">
        <v>11</v>
      </c>
      <c r="B119" s="14" t="s">
        <v>834</v>
      </c>
      <c r="C119" s="48">
        <f>data!D367</f>
        <v>7286337</v>
      </c>
    </row>
    <row r="120" spans="1:3" ht="20.100000000000001" customHeight="1" x14ac:dyDescent="0.25">
      <c r="A120" s="13">
        <v>12</v>
      </c>
      <c r="B120" s="14" t="s">
        <v>892</v>
      </c>
      <c r="C120" s="48">
        <f>data!D368</f>
        <v>17116687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1445165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522113</v>
      </c>
    </row>
    <row r="125" spans="1:3" ht="20.100000000000001" customHeight="1" x14ac:dyDescent="0.25">
      <c r="A125" s="13">
        <v>17</v>
      </c>
      <c r="B125" s="14" t="s">
        <v>893</v>
      </c>
      <c r="C125" s="48">
        <f>data!D372</f>
        <v>1967278</v>
      </c>
    </row>
    <row r="126" spans="1:3" ht="20.100000000000001" customHeight="1" x14ac:dyDescent="0.25">
      <c r="A126" s="13">
        <v>18</v>
      </c>
      <c r="B126" s="14" t="s">
        <v>894</v>
      </c>
      <c r="C126" s="48">
        <f>data!D373</f>
        <v>19083965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895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8522563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2220023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3755340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1224490</v>
      </c>
    </row>
    <row r="133" spans="1:3" ht="20.100000000000001" customHeight="1" x14ac:dyDescent="0.25">
      <c r="A133" s="13">
        <v>25</v>
      </c>
      <c r="B133" s="14" t="s">
        <v>896</v>
      </c>
      <c r="C133" s="48">
        <f>data!C382</f>
        <v>185721</v>
      </c>
    </row>
    <row r="134" spans="1:3" ht="20.100000000000001" customHeight="1" x14ac:dyDescent="0.25">
      <c r="A134" s="13">
        <v>26</v>
      </c>
      <c r="B134" s="14" t="s">
        <v>897</v>
      </c>
      <c r="C134" s="48">
        <f>data!C383</f>
        <v>1341214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1806653</v>
      </c>
    </row>
    <row r="136" spans="1:3" ht="20.100000000000001" customHeight="1" x14ac:dyDescent="0.25">
      <c r="A136" s="13">
        <v>28</v>
      </c>
      <c r="B136" s="14" t="s">
        <v>898</v>
      </c>
      <c r="C136" s="48">
        <f>data!C385</f>
        <v>50076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170331</v>
      </c>
    </row>
    <row r="138" spans="1:3" ht="20.100000000000001" customHeight="1" x14ac:dyDescent="0.25">
      <c r="A138" s="13">
        <v>30</v>
      </c>
      <c r="B138" s="14" t="s">
        <v>899</v>
      </c>
      <c r="C138" s="48">
        <f>data!C387</f>
        <v>53243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811653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204170</v>
      </c>
    </row>
    <row r="141" spans="1:3" ht="20.100000000000001" customHeight="1" x14ac:dyDescent="0.25">
      <c r="A141" s="13">
        <v>34</v>
      </c>
      <c r="B141" s="14" t="s">
        <v>900</v>
      </c>
      <c r="C141" s="48">
        <f>data!D390</f>
        <v>20345477</v>
      </c>
    </row>
    <row r="142" spans="1:3" ht="20.100000000000001" customHeight="1" x14ac:dyDescent="0.25">
      <c r="A142" s="13">
        <v>35</v>
      </c>
      <c r="B142" s="14" t="s">
        <v>901</v>
      </c>
      <c r="C142" s="48">
        <f>data!D391</f>
        <v>-1261512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902</v>
      </c>
      <c r="C144" s="48">
        <f>data!C392</f>
        <v>1512905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903</v>
      </c>
      <c r="C146" s="21">
        <f>data!D393</f>
        <v>251393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904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905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906</v>
      </c>
      <c r="C151" s="48">
        <f>data!D396</f>
        <v>251393</v>
      </c>
    </row>
    <row r="152" spans="1:3" ht="20.100000000000001" customHeight="1" x14ac:dyDescent="0.25">
      <c r="A152" s="40">
        <v>45</v>
      </c>
      <c r="B152" s="49" t="s">
        <v>907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1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908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909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Columbia Basin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910</v>
      </c>
      <c r="C6" s="88" t="s">
        <v>92</v>
      </c>
      <c r="D6" s="18" t="s">
        <v>911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912</v>
      </c>
      <c r="E7" s="18" t="s">
        <v>163</v>
      </c>
      <c r="F7" s="18" t="s">
        <v>913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914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420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12989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7575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320141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416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915</v>
      </c>
      <c r="C21" s="14">
        <f>data!C71</f>
        <v>0</v>
      </c>
      <c r="D21" s="14">
        <f>data!D71</f>
        <v>0</v>
      </c>
      <c r="E21" s="14">
        <f>data!E71</f>
        <v>341121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916</v>
      </c>
      <c r="C23" s="48">
        <f>+data!M668</f>
        <v>0</v>
      </c>
      <c r="D23" s="48">
        <f>+data!M669</f>
        <v>0</v>
      </c>
      <c r="E23" s="48">
        <f>+data!M670</f>
        <v>336182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917</v>
      </c>
      <c r="C24" s="14">
        <f>data!C73</f>
        <v>0</v>
      </c>
      <c r="D24" s="14">
        <f>data!D73</f>
        <v>0</v>
      </c>
      <c r="E24" s="14">
        <f>data!E73</f>
        <v>688471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918</v>
      </c>
      <c r="C25" s="14">
        <f>data!C74</f>
        <v>0</v>
      </c>
      <c r="D25" s="14">
        <f>data!D74</f>
        <v>0</v>
      </c>
      <c r="E25" s="14">
        <f>data!E74</f>
        <v>-16400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919</v>
      </c>
      <c r="C26" s="14">
        <f>data!C75</f>
        <v>0</v>
      </c>
      <c r="D26" s="14">
        <f>data!D75</f>
        <v>0</v>
      </c>
      <c r="E26" s="14">
        <f>data!E75</f>
        <v>672071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920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921</v>
      </c>
      <c r="C28" s="14">
        <f>data!C76</f>
        <v>0</v>
      </c>
      <c r="D28" s="14">
        <f>data!D76</f>
        <v>0</v>
      </c>
      <c r="E28" s="14">
        <f>data!E76</f>
        <v>13771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922</v>
      </c>
      <c r="C29" s="14">
        <f>data!C77</f>
        <v>0</v>
      </c>
      <c r="D29" s="14">
        <f>data!D77</f>
        <v>0</v>
      </c>
      <c r="E29" s="14">
        <f>data!E77</f>
        <v>1714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923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924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908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925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Columbia Basin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910</v>
      </c>
      <c r="C38" s="25"/>
      <c r="D38" s="18" t="s">
        <v>100</v>
      </c>
      <c r="E38" s="18" t="s">
        <v>101</v>
      </c>
      <c r="F38" s="18" t="s">
        <v>926</v>
      </c>
      <c r="G38" s="18" t="s">
        <v>103</v>
      </c>
      <c r="H38" s="18" t="s">
        <v>927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914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13687</v>
      </c>
      <c r="E41" s="14">
        <f>data!L59</f>
        <v>4962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22.45</v>
      </c>
      <c r="E42" s="26">
        <f>data!L60</f>
        <v>20.37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1201742</v>
      </c>
      <c r="E43" s="14">
        <f>data!L61</f>
        <v>1250863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313038</v>
      </c>
      <c r="E44" s="14">
        <f>data!L62</f>
        <v>325834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60825</v>
      </c>
      <c r="E45" s="14">
        <f>data!L63</f>
        <v>169256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31091</v>
      </c>
      <c r="E46" s="14">
        <f>data!L64</f>
        <v>51175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7761</v>
      </c>
      <c r="E48" s="14">
        <f>data!L66</f>
        <v>16910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396485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1425</v>
      </c>
      <c r="E51" s="14">
        <f>data!L69</f>
        <v>1239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915</v>
      </c>
      <c r="C53" s="14">
        <f>data!J71</f>
        <v>0</v>
      </c>
      <c r="D53" s="14">
        <f>data!K71</f>
        <v>2012367</v>
      </c>
      <c r="E53" s="14">
        <f>data!L71</f>
        <v>1815277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916</v>
      </c>
      <c r="C55" s="48">
        <f>+data!M675</f>
        <v>0</v>
      </c>
      <c r="D55" s="48">
        <f>+data!M676</f>
        <v>1565575</v>
      </c>
      <c r="E55" s="48">
        <f>+data!M677</f>
        <v>900532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917</v>
      </c>
      <c r="C56" s="14">
        <f>data!J73</f>
        <v>0</v>
      </c>
      <c r="D56" s="14">
        <f>data!K73</f>
        <v>2012981</v>
      </c>
      <c r="E56" s="14">
        <f>data!L73</f>
        <v>1494490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918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919</v>
      </c>
      <c r="C58" s="14">
        <f>data!J75</f>
        <v>0</v>
      </c>
      <c r="D58" s="14">
        <f>data!K75</f>
        <v>2012981</v>
      </c>
      <c r="E58" s="14">
        <f>data!L75</f>
        <v>1494490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920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921</v>
      </c>
      <c r="C60" s="14">
        <f>data!J76</f>
        <v>0</v>
      </c>
      <c r="D60" s="14">
        <f>data!K76</f>
        <v>17055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922</v>
      </c>
      <c r="C61" s="14">
        <f>data!J77</f>
        <v>0</v>
      </c>
      <c r="D61" s="14">
        <f>data!K77</f>
        <v>39556</v>
      </c>
      <c r="E61" s="14">
        <f>data!L77</f>
        <v>15275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923</v>
      </c>
      <c r="C62" s="14">
        <f>data!J78</f>
        <v>0</v>
      </c>
      <c r="D62" s="14">
        <f>data!K78</f>
        <v>4440</v>
      </c>
      <c r="E62" s="14">
        <f>data!L78</f>
        <v>3797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924</v>
      </c>
      <c r="C63" s="14">
        <f>data!J79</f>
        <v>0</v>
      </c>
      <c r="D63" s="14">
        <f>data!K79</f>
        <v>26553</v>
      </c>
      <c r="E63" s="14">
        <f>data!L79</f>
        <v>28925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23.17</v>
      </c>
      <c r="E64" s="26">
        <f>data!L80</f>
        <v>22.42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908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928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Columbia Basin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910</v>
      </c>
      <c r="C70" s="18" t="s">
        <v>106</v>
      </c>
      <c r="D70" s="25"/>
      <c r="E70" s="18" t="s">
        <v>108</v>
      </c>
      <c r="F70" s="18" t="s">
        <v>929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930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914</v>
      </c>
      <c r="C72" s="15" t="s">
        <v>931</v>
      </c>
      <c r="D72" s="89" t="s">
        <v>932</v>
      </c>
      <c r="E72" s="208"/>
      <c r="F72" s="208"/>
      <c r="G72" s="89" t="s">
        <v>933</v>
      </c>
      <c r="H72" s="89" t="s">
        <v>933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08"/>
      <c r="F73" s="208"/>
      <c r="G73" s="14">
        <f>data!U59</f>
        <v>125048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1.21</v>
      </c>
      <c r="F74" s="26">
        <f>data!T60</f>
        <v>0</v>
      </c>
      <c r="G74" s="26">
        <f>data!U60</f>
        <v>6.37</v>
      </c>
      <c r="H74" s="26">
        <f>data!V60</f>
        <v>0</v>
      </c>
      <c r="I74" s="26">
        <f>data!W60</f>
        <v>0.04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50872</v>
      </c>
      <c r="F75" s="14">
        <f>data!T61</f>
        <v>0</v>
      </c>
      <c r="G75" s="14">
        <f>data!U61</f>
        <v>358087</v>
      </c>
      <c r="H75" s="14">
        <f>data!V61</f>
        <v>0</v>
      </c>
      <c r="I75" s="14">
        <f>data!W61</f>
        <v>2696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13252</v>
      </c>
      <c r="F76" s="14">
        <f>data!T62</f>
        <v>0</v>
      </c>
      <c r="G76" s="14">
        <f>data!U62</f>
        <v>93277</v>
      </c>
      <c r="H76" s="14">
        <f>data!V62</f>
        <v>0</v>
      </c>
      <c r="I76" s="14">
        <f>data!W62</f>
        <v>702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114601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21634</v>
      </c>
      <c r="F78" s="14">
        <f>data!T64</f>
        <v>1198</v>
      </c>
      <c r="G78" s="14">
        <f>data!U64</f>
        <v>301228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432</v>
      </c>
      <c r="G80" s="14">
        <f>data!U66</f>
        <v>37077</v>
      </c>
      <c r="H80" s="14">
        <f>data!V66</f>
        <v>0</v>
      </c>
      <c r="I80" s="14">
        <f>data!W66</f>
        <v>108371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17459</v>
      </c>
      <c r="F81" s="14">
        <f>data!T67</f>
        <v>0</v>
      </c>
      <c r="G81" s="14">
        <f>data!U67</f>
        <v>27502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8092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100</v>
      </c>
      <c r="F83" s="14">
        <f>data!T69</f>
        <v>0</v>
      </c>
      <c r="G83" s="14">
        <f>data!U69</f>
        <v>16121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-1935</v>
      </c>
      <c r="F84" s="14">
        <f>-data!T70</f>
        <v>0</v>
      </c>
      <c r="G84" s="14">
        <f>-data!U70</f>
        <v>-24795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915</v>
      </c>
      <c r="C85" s="14">
        <f>data!Q71</f>
        <v>0</v>
      </c>
      <c r="D85" s="14">
        <f>data!R71</f>
        <v>0</v>
      </c>
      <c r="E85" s="14">
        <f>data!S71</f>
        <v>101382</v>
      </c>
      <c r="F85" s="14">
        <f>data!T71</f>
        <v>1630</v>
      </c>
      <c r="G85" s="14">
        <f>data!U71</f>
        <v>931190</v>
      </c>
      <c r="H85" s="14">
        <f>data!V71</f>
        <v>0</v>
      </c>
      <c r="I85" s="14">
        <f>data!W71</f>
        <v>111769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916</v>
      </c>
      <c r="C87" s="48">
        <f>+data!M682</f>
        <v>0</v>
      </c>
      <c r="D87" s="48">
        <f>+data!M683</f>
        <v>0</v>
      </c>
      <c r="E87" s="48">
        <f>+data!M684</f>
        <v>50138</v>
      </c>
      <c r="F87" s="48">
        <f>+data!M685</f>
        <v>37501</v>
      </c>
      <c r="G87" s="48">
        <f>+data!M686</f>
        <v>473925</v>
      </c>
      <c r="H87" s="48">
        <f>+data!M687</f>
        <v>10397</v>
      </c>
      <c r="I87" s="48">
        <f>+data!M688</f>
        <v>61529</v>
      </c>
    </row>
    <row r="88" spans="1:9" ht="20.100000000000001" customHeight="1" x14ac:dyDescent="0.25">
      <c r="A88" s="23">
        <v>19</v>
      </c>
      <c r="B88" s="48" t="s">
        <v>917</v>
      </c>
      <c r="C88" s="14">
        <f>data!Q73</f>
        <v>0</v>
      </c>
      <c r="D88" s="14">
        <f>data!R73</f>
        <v>0</v>
      </c>
      <c r="E88" s="14">
        <f>data!S73</f>
        <v>30317</v>
      </c>
      <c r="F88" s="14">
        <f>data!T73</f>
        <v>13183</v>
      </c>
      <c r="G88" s="14">
        <f>data!U73</f>
        <v>204058</v>
      </c>
      <c r="H88" s="14">
        <f>data!V73</f>
        <v>2140</v>
      </c>
      <c r="I88" s="14">
        <f>data!W73</f>
        <v>22145</v>
      </c>
    </row>
    <row r="89" spans="1:9" ht="20.100000000000001" customHeight="1" x14ac:dyDescent="0.25">
      <c r="A89" s="23">
        <v>20</v>
      </c>
      <c r="B89" s="48" t="s">
        <v>918</v>
      </c>
      <c r="C89" s="14">
        <f>data!Q74</f>
        <v>0</v>
      </c>
      <c r="D89" s="14">
        <f>data!R74</f>
        <v>0</v>
      </c>
      <c r="E89" s="14">
        <f>data!S74</f>
        <v>116526</v>
      </c>
      <c r="F89" s="14">
        <f>data!T74</f>
        <v>330799</v>
      </c>
      <c r="G89" s="14">
        <f>data!U74</f>
        <v>2719407</v>
      </c>
      <c r="H89" s="14">
        <f>data!V74</f>
        <v>93941</v>
      </c>
      <c r="I89" s="14">
        <f>data!W74</f>
        <v>473180</v>
      </c>
    </row>
    <row r="90" spans="1:9" ht="20.100000000000001" customHeight="1" x14ac:dyDescent="0.25">
      <c r="A90" s="23">
        <v>21</v>
      </c>
      <c r="B90" s="48" t="s">
        <v>919</v>
      </c>
      <c r="C90" s="14">
        <f>data!Q75</f>
        <v>0</v>
      </c>
      <c r="D90" s="14">
        <f>data!R75</f>
        <v>0</v>
      </c>
      <c r="E90" s="14">
        <f>data!S75</f>
        <v>146843</v>
      </c>
      <c r="F90" s="14">
        <f>data!T75</f>
        <v>343982</v>
      </c>
      <c r="G90" s="14">
        <f>data!U75</f>
        <v>2923465</v>
      </c>
      <c r="H90" s="14">
        <f>data!V75</f>
        <v>96081</v>
      </c>
      <c r="I90" s="14">
        <f>data!W75</f>
        <v>495325</v>
      </c>
    </row>
    <row r="91" spans="1:9" ht="20.100000000000001" customHeight="1" x14ac:dyDescent="0.25">
      <c r="A91" s="23" t="s">
        <v>920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921</v>
      </c>
      <c r="C92" s="14">
        <f>data!Q76</f>
        <v>0</v>
      </c>
      <c r="D92" s="14">
        <f>data!R76</f>
        <v>0</v>
      </c>
      <c r="E92" s="14">
        <f>data!S76</f>
        <v>751</v>
      </c>
      <c r="F92" s="14">
        <f>data!T76</f>
        <v>0</v>
      </c>
      <c r="G92" s="14">
        <f>data!U76</f>
        <v>1183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922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923</v>
      </c>
      <c r="C94" s="14">
        <f>data!Q78</f>
        <v>0</v>
      </c>
      <c r="D94" s="14">
        <f>data!R78</f>
        <v>0</v>
      </c>
      <c r="E94" s="14">
        <f>data!S78</f>
        <v>254</v>
      </c>
      <c r="F94" s="14">
        <f>data!T78</f>
        <v>0</v>
      </c>
      <c r="G94" s="14">
        <f>data!U78</f>
        <v>384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924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175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908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934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Columbia Basin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910</v>
      </c>
      <c r="C102" s="18" t="s">
        <v>935</v>
      </c>
      <c r="D102" s="18" t="s">
        <v>936</v>
      </c>
      <c r="E102" s="18" t="s">
        <v>936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914</v>
      </c>
      <c r="C104" s="89" t="s">
        <v>224</v>
      </c>
      <c r="D104" s="15" t="s">
        <v>937</v>
      </c>
      <c r="E104" s="15" t="s">
        <v>937</v>
      </c>
      <c r="F104" s="15" t="s">
        <v>937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08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0.55000000000000004</v>
      </c>
      <c r="D106" s="26">
        <f>data!Y60</f>
        <v>4.18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45080</v>
      </c>
      <c r="D107" s="14">
        <f>data!Y61</f>
        <v>328780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11743</v>
      </c>
      <c r="D108" s="14">
        <f>data!Y62</f>
        <v>85643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278696</v>
      </c>
      <c r="E109" s="14">
        <f>data!Z63</f>
        <v>0</v>
      </c>
      <c r="F109" s="14">
        <f>data!AA63</f>
        <v>0</v>
      </c>
      <c r="G109" s="14">
        <f>data!AB63</f>
        <v>178428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13144</v>
      </c>
      <c r="D110" s="14">
        <f>data!Y64</f>
        <v>4529</v>
      </c>
      <c r="E110" s="14">
        <f>data!Z64</f>
        <v>0</v>
      </c>
      <c r="F110" s="14">
        <f>data!AA64</f>
        <v>0</v>
      </c>
      <c r="G110" s="14">
        <f>data!AB64</f>
        <v>219069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92369</v>
      </c>
      <c r="D112" s="14">
        <f>data!Y66</f>
        <v>101532</v>
      </c>
      <c r="E112" s="14">
        <f>data!Z66</f>
        <v>0</v>
      </c>
      <c r="F112" s="14">
        <f>data!AA66</f>
        <v>0</v>
      </c>
      <c r="G112" s="14">
        <f>data!AB66</f>
        <v>198517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11879</v>
      </c>
      <c r="D113" s="14">
        <f>data!Y67</f>
        <v>32291</v>
      </c>
      <c r="E113" s="14">
        <f>data!Z67</f>
        <v>0</v>
      </c>
      <c r="F113" s="14">
        <f>data!AA67</f>
        <v>0</v>
      </c>
      <c r="G113" s="14">
        <f>data!AB67</f>
        <v>8625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1000</v>
      </c>
      <c r="D115" s="14">
        <f>data!Y69</f>
        <v>127</v>
      </c>
      <c r="E115" s="14">
        <f>data!Z69</f>
        <v>0</v>
      </c>
      <c r="F115" s="14">
        <f>data!AA69</f>
        <v>0</v>
      </c>
      <c r="G115" s="14">
        <f>data!AB69</f>
        <v>866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-840805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915</v>
      </c>
      <c r="C117" s="14">
        <f>data!X71</f>
        <v>175215</v>
      </c>
      <c r="D117" s="14">
        <f>data!Y71</f>
        <v>831598</v>
      </c>
      <c r="E117" s="14">
        <f>data!Z71</f>
        <v>0</v>
      </c>
      <c r="F117" s="14">
        <f>data!AA71</f>
        <v>0</v>
      </c>
      <c r="G117" s="14">
        <f>data!AB71</f>
        <v>-235300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916</v>
      </c>
      <c r="C119" s="48">
        <f>+data!M689</f>
        <v>241770</v>
      </c>
      <c r="D119" s="48">
        <f>+data!M690</f>
        <v>319163</v>
      </c>
      <c r="E119" s="48">
        <f>+data!M691</f>
        <v>0</v>
      </c>
      <c r="F119" s="48">
        <f>+data!M692</f>
        <v>0</v>
      </c>
      <c r="G119" s="48">
        <f>+data!M693</f>
        <v>103392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917</v>
      </c>
      <c r="C120" s="14">
        <f>data!X73</f>
        <v>54017</v>
      </c>
      <c r="D120" s="14">
        <f>data!Y73</f>
        <v>74155</v>
      </c>
      <c r="E120" s="14">
        <f>data!Z73</f>
        <v>0</v>
      </c>
      <c r="F120" s="14">
        <f>data!AA73</f>
        <v>0</v>
      </c>
      <c r="G120" s="14">
        <f>data!AB73</f>
        <v>449533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918</v>
      </c>
      <c r="C121" s="14">
        <f>data!X74</f>
        <v>1776858</v>
      </c>
      <c r="D121" s="14">
        <f>data!Y74</f>
        <v>1814925</v>
      </c>
      <c r="E121" s="14">
        <f>data!Z74</f>
        <v>0</v>
      </c>
      <c r="F121" s="14">
        <f>data!AA74</f>
        <v>0</v>
      </c>
      <c r="G121" s="14">
        <f>data!AB74</f>
        <v>304612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919</v>
      </c>
      <c r="C122" s="14">
        <f>data!X75</f>
        <v>1830875</v>
      </c>
      <c r="D122" s="14">
        <f>data!Y75</f>
        <v>1889080</v>
      </c>
      <c r="E122" s="14">
        <f>data!Z75</f>
        <v>0</v>
      </c>
      <c r="F122" s="14">
        <f>data!AA75</f>
        <v>0</v>
      </c>
      <c r="G122" s="14">
        <f>data!AB75</f>
        <v>754145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920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921</v>
      </c>
      <c r="C124" s="14">
        <f>data!X76</f>
        <v>511</v>
      </c>
      <c r="D124" s="14">
        <f>data!Y76</f>
        <v>1389</v>
      </c>
      <c r="E124" s="14">
        <f>data!Z76</f>
        <v>0</v>
      </c>
      <c r="F124" s="14">
        <f>data!AA76</f>
        <v>0</v>
      </c>
      <c r="G124" s="14">
        <f>data!AB76</f>
        <v>371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922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923</v>
      </c>
      <c r="C126" s="14">
        <f>data!X78</f>
        <v>519</v>
      </c>
      <c r="D126" s="14">
        <f>data!Y78</f>
        <v>468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924</v>
      </c>
      <c r="C127" s="14">
        <f>data!X79</f>
        <v>1181</v>
      </c>
      <c r="D127" s="14">
        <f>data!Y79</f>
        <v>3115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908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938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Columbia Basin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910</v>
      </c>
      <c r="C134" s="18" t="s">
        <v>96</v>
      </c>
      <c r="D134" s="18" t="s">
        <v>97</v>
      </c>
      <c r="E134" s="18" t="s">
        <v>118</v>
      </c>
      <c r="F134" s="25"/>
      <c r="G134" s="18" t="s">
        <v>939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914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940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21769</v>
      </c>
      <c r="D137" s="14">
        <f>data!AF59</f>
        <v>0</v>
      </c>
      <c r="E137" s="14">
        <f>data!AG59</f>
        <v>5160</v>
      </c>
      <c r="F137" s="14">
        <f>data!AH59</f>
        <v>0</v>
      </c>
      <c r="G137" s="14">
        <f>data!AI59</f>
        <v>160</v>
      </c>
      <c r="H137" s="14">
        <f>data!AJ59</f>
        <v>0</v>
      </c>
      <c r="I137" s="14">
        <f>data!AK59</f>
        <v>8139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11.57</v>
      </c>
      <c r="F138" s="26">
        <f>data!AH60</f>
        <v>0</v>
      </c>
      <c r="G138" s="26">
        <f>data!AI60</f>
        <v>0</v>
      </c>
      <c r="H138" s="26">
        <f>data!AJ60</f>
        <v>16.3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785005</v>
      </c>
      <c r="F139" s="14">
        <f>data!AH61</f>
        <v>0</v>
      </c>
      <c r="G139" s="14">
        <f>data!AI61</f>
        <v>0</v>
      </c>
      <c r="H139" s="14">
        <f>data!AJ61</f>
        <v>1505476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204484</v>
      </c>
      <c r="F140" s="14">
        <f>data!AH62</f>
        <v>0</v>
      </c>
      <c r="G140" s="14">
        <f>data!AI62</f>
        <v>0</v>
      </c>
      <c r="H140" s="14">
        <f>data!AJ62</f>
        <v>392158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747629</v>
      </c>
      <c r="D141" s="14">
        <f>data!AF63</f>
        <v>0</v>
      </c>
      <c r="E141" s="14">
        <f>data!AG63</f>
        <v>1479137</v>
      </c>
      <c r="F141" s="14">
        <f>data!AH63</f>
        <v>0</v>
      </c>
      <c r="G141" s="14">
        <f>data!AI63</f>
        <v>0</v>
      </c>
      <c r="H141" s="14">
        <f>data!AJ63</f>
        <v>368</v>
      </c>
      <c r="I141" s="14">
        <f>data!AK63</f>
        <v>273604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6210</v>
      </c>
      <c r="D142" s="14">
        <f>data!AF64</f>
        <v>0</v>
      </c>
      <c r="E142" s="14">
        <f>data!AG64</f>
        <v>45247</v>
      </c>
      <c r="F142" s="14">
        <f>data!AH64</f>
        <v>0</v>
      </c>
      <c r="G142" s="14">
        <f>data!AI64</f>
        <v>0</v>
      </c>
      <c r="H142" s="14">
        <f>data!AJ64</f>
        <v>86504</v>
      </c>
      <c r="I142" s="14">
        <f>data!AK64</f>
        <v>3821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8492</v>
      </c>
      <c r="F144" s="14">
        <f>data!AH66</f>
        <v>0</v>
      </c>
      <c r="G144" s="14">
        <f>data!AI66</f>
        <v>0</v>
      </c>
      <c r="H144" s="14">
        <f>data!AJ66</f>
        <v>130668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66929</v>
      </c>
      <c r="D145" s="14">
        <f>data!AF67</f>
        <v>0</v>
      </c>
      <c r="E145" s="14">
        <f>data!AG67</f>
        <v>67511</v>
      </c>
      <c r="F145" s="14">
        <f>data!AH67</f>
        <v>0</v>
      </c>
      <c r="G145" s="14">
        <f>data!AI67</f>
        <v>0</v>
      </c>
      <c r="H145" s="14">
        <f>data!AJ67</f>
        <v>128861</v>
      </c>
      <c r="I145" s="14">
        <f>data!AK67</f>
        <v>15343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4735</v>
      </c>
      <c r="F147" s="14">
        <f>data!AH69</f>
        <v>0</v>
      </c>
      <c r="G147" s="14">
        <f>data!AI69</f>
        <v>0</v>
      </c>
      <c r="H147" s="14">
        <f>data!AJ69</f>
        <v>31561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915</v>
      </c>
      <c r="C149" s="14">
        <f>data!AE71</f>
        <v>820768</v>
      </c>
      <c r="D149" s="14">
        <f>data!AF71</f>
        <v>0</v>
      </c>
      <c r="E149" s="14">
        <f>data!AG71</f>
        <v>2594611</v>
      </c>
      <c r="F149" s="14">
        <f>data!AH71</f>
        <v>0</v>
      </c>
      <c r="G149" s="14">
        <f>data!AI71</f>
        <v>0</v>
      </c>
      <c r="H149" s="14">
        <f>data!AJ71</f>
        <v>2275596</v>
      </c>
      <c r="I149" s="14">
        <f>data!AK71</f>
        <v>292768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916</v>
      </c>
      <c r="C151" s="48">
        <f>+data!M696</f>
        <v>300575</v>
      </c>
      <c r="D151" s="48">
        <f>+data!M697</f>
        <v>0</v>
      </c>
      <c r="E151" s="48">
        <f>+data!M698</f>
        <v>1011953</v>
      </c>
      <c r="F151" s="48">
        <f>+data!M699</f>
        <v>0</v>
      </c>
      <c r="G151" s="48">
        <f>+data!M700</f>
        <v>48373</v>
      </c>
      <c r="H151" s="48">
        <f>+data!M701</f>
        <v>819911</v>
      </c>
      <c r="I151" s="48">
        <f>+data!M702</f>
        <v>103332</v>
      </c>
    </row>
    <row r="152" spans="1:9" ht="20.100000000000001" customHeight="1" x14ac:dyDescent="0.25">
      <c r="A152" s="23">
        <v>19</v>
      </c>
      <c r="B152" s="48" t="s">
        <v>917</v>
      </c>
      <c r="C152" s="14">
        <f>data!AE73</f>
        <v>296848</v>
      </c>
      <c r="D152" s="14">
        <f>data!AF73</f>
        <v>0</v>
      </c>
      <c r="E152" s="14">
        <f>data!AG73</f>
        <v>52173</v>
      </c>
      <c r="F152" s="14">
        <f>data!AH73</f>
        <v>0</v>
      </c>
      <c r="G152" s="14">
        <f>data!AI73</f>
        <v>15121</v>
      </c>
      <c r="H152" s="14">
        <f>data!AJ73</f>
        <v>0</v>
      </c>
      <c r="I152" s="14">
        <f>data!AK73</f>
        <v>461142</v>
      </c>
    </row>
    <row r="153" spans="1:9" ht="20.100000000000001" customHeight="1" x14ac:dyDescent="0.25">
      <c r="A153" s="23">
        <v>20</v>
      </c>
      <c r="B153" s="48" t="s">
        <v>918</v>
      </c>
      <c r="C153" s="14">
        <f>data!AE74</f>
        <v>1347963</v>
      </c>
      <c r="D153" s="14">
        <f>data!AF74</f>
        <v>0</v>
      </c>
      <c r="E153" s="14">
        <f>data!AG74</f>
        <v>4988169</v>
      </c>
      <c r="F153" s="14">
        <f>data!AH74</f>
        <v>0</v>
      </c>
      <c r="G153" s="14">
        <f>data!AI74</f>
        <v>431925</v>
      </c>
      <c r="H153" s="14">
        <f>data!AJ74</f>
        <v>3635248</v>
      </c>
      <c r="I153" s="14">
        <f>data!AK74</f>
        <v>155071</v>
      </c>
    </row>
    <row r="154" spans="1:9" ht="20.100000000000001" customHeight="1" x14ac:dyDescent="0.25">
      <c r="A154" s="23">
        <v>21</v>
      </c>
      <c r="B154" s="48" t="s">
        <v>919</v>
      </c>
      <c r="C154" s="14">
        <f>data!AE75</f>
        <v>1644811</v>
      </c>
      <c r="D154" s="14">
        <f>data!AF75</f>
        <v>0</v>
      </c>
      <c r="E154" s="14">
        <f>data!AG75</f>
        <v>5040342</v>
      </c>
      <c r="F154" s="14">
        <f>data!AH75</f>
        <v>0</v>
      </c>
      <c r="G154" s="14">
        <f>data!AI75</f>
        <v>447046</v>
      </c>
      <c r="H154" s="14">
        <f>data!AJ75</f>
        <v>3635248</v>
      </c>
      <c r="I154" s="14">
        <f>data!AK75</f>
        <v>616213</v>
      </c>
    </row>
    <row r="155" spans="1:9" ht="20.100000000000001" customHeight="1" x14ac:dyDescent="0.25">
      <c r="A155" s="23" t="s">
        <v>920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921</v>
      </c>
      <c r="C156" s="14">
        <f>data!AE76</f>
        <v>2879</v>
      </c>
      <c r="D156" s="14">
        <f>data!AF76</f>
        <v>0</v>
      </c>
      <c r="E156" s="14">
        <f>data!AG76</f>
        <v>2904</v>
      </c>
      <c r="F156" s="14">
        <f>data!AH76</f>
        <v>0</v>
      </c>
      <c r="G156" s="14">
        <f>data!AI76</f>
        <v>0</v>
      </c>
      <c r="H156" s="14">
        <f>data!AJ76</f>
        <v>5543</v>
      </c>
      <c r="I156" s="14">
        <f>data!AK76</f>
        <v>660</v>
      </c>
    </row>
    <row r="157" spans="1:9" ht="20.100000000000001" customHeight="1" x14ac:dyDescent="0.25">
      <c r="A157" s="23">
        <v>23</v>
      </c>
      <c r="B157" s="14" t="s">
        <v>922</v>
      </c>
      <c r="C157" s="14">
        <f>data!AE77</f>
        <v>0</v>
      </c>
      <c r="D157" s="14">
        <f>data!AF77</f>
        <v>0</v>
      </c>
      <c r="E157" s="14">
        <f>data!AG77</f>
        <v>5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923</v>
      </c>
      <c r="C158" s="14">
        <f>data!AE78</f>
        <v>251</v>
      </c>
      <c r="D158" s="14">
        <f>data!AF78</f>
        <v>0</v>
      </c>
      <c r="E158" s="14">
        <f>data!AG78</f>
        <v>2449</v>
      </c>
      <c r="F158" s="14">
        <f>data!AH78</f>
        <v>0</v>
      </c>
      <c r="G158" s="14">
        <f>data!AI78</f>
        <v>0</v>
      </c>
      <c r="H158" s="14">
        <f>data!AJ78</f>
        <v>1742</v>
      </c>
      <c r="I158" s="14">
        <f>data!AK78</f>
        <v>75</v>
      </c>
    </row>
    <row r="159" spans="1:9" ht="20.100000000000001" customHeight="1" x14ac:dyDescent="0.25">
      <c r="A159" s="23">
        <v>25</v>
      </c>
      <c r="B159" s="14" t="s">
        <v>924</v>
      </c>
      <c r="C159" s="14">
        <f>data!AE79</f>
        <v>5594</v>
      </c>
      <c r="D159" s="14">
        <f>data!AF79</f>
        <v>0</v>
      </c>
      <c r="E159" s="14">
        <f>data!AG79</f>
        <v>16458</v>
      </c>
      <c r="F159" s="14">
        <f>data!AH79</f>
        <v>0</v>
      </c>
      <c r="G159" s="14">
        <f>data!AI79</f>
        <v>0</v>
      </c>
      <c r="H159" s="14">
        <f>data!AJ79</f>
        <v>355</v>
      </c>
      <c r="I159" s="14">
        <f>data!AK79</f>
        <v>1578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11.75</v>
      </c>
      <c r="F160" s="26">
        <f>data!AH80</f>
        <v>0</v>
      </c>
      <c r="G160" s="26">
        <f>data!AI80</f>
        <v>0</v>
      </c>
      <c r="H160" s="26">
        <f>data!AJ80</f>
        <v>8.9499999999999993</v>
      </c>
      <c r="I160" s="26">
        <f>data!AK80</f>
        <v>0</v>
      </c>
    </row>
    <row r="161" spans="1:9" ht="20.100000000000001" customHeight="1" x14ac:dyDescent="0.25">
      <c r="A161" s="4" t="s">
        <v>908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941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Columbia Basin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910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942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943</v>
      </c>
      <c r="F167" s="18" t="s">
        <v>182</v>
      </c>
      <c r="G167" s="18" t="s">
        <v>121</v>
      </c>
      <c r="H167" s="88" t="s">
        <v>944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914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1941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153334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2758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2092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195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915</v>
      </c>
      <c r="C181" s="14">
        <f>data!AL71</f>
        <v>158379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916</v>
      </c>
      <c r="C183" s="48">
        <f>+data!M703</f>
        <v>51224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917</v>
      </c>
      <c r="C184" s="14">
        <f>data!AL73</f>
        <v>99033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918</v>
      </c>
      <c r="C185" s="14">
        <f>data!AL74</f>
        <v>260993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919</v>
      </c>
      <c r="C186" s="14">
        <f>data!AL75</f>
        <v>360026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920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921</v>
      </c>
      <c r="C188" s="14">
        <f>data!AL76</f>
        <v>90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922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923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924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908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945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Columbia Basin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910</v>
      </c>
      <c r="C198" s="25"/>
      <c r="D198" s="18" t="s">
        <v>130</v>
      </c>
      <c r="E198" s="18" t="s">
        <v>131</v>
      </c>
      <c r="F198" s="18" t="s">
        <v>132</v>
      </c>
      <c r="G198" s="18" t="s">
        <v>946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947</v>
      </c>
      <c r="E199" s="18" t="s">
        <v>948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914</v>
      </c>
      <c r="C200" s="15" t="s">
        <v>226</v>
      </c>
      <c r="D200" s="15" t="s">
        <v>947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67175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3.02</v>
      </c>
      <c r="G202" s="26">
        <f>data!AW60</f>
        <v>0</v>
      </c>
      <c r="H202" s="26">
        <f>data!AX60</f>
        <v>0</v>
      </c>
      <c r="I202" s="26">
        <f>data!AY60</f>
        <v>10.73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100420</v>
      </c>
      <c r="G203" s="14">
        <f>data!AW61</f>
        <v>0</v>
      </c>
      <c r="H203" s="14">
        <f>data!AX61</f>
        <v>0</v>
      </c>
      <c r="I203" s="14">
        <f>data!AY61</f>
        <v>367077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26158</v>
      </c>
      <c r="G204" s="14">
        <f>data!AW62</f>
        <v>0</v>
      </c>
      <c r="H204" s="14">
        <f>data!AX62</f>
        <v>0</v>
      </c>
      <c r="I204" s="14">
        <f>data!AY62</f>
        <v>95619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35644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4222</v>
      </c>
      <c r="G206" s="14">
        <f>data!AW64</f>
        <v>0</v>
      </c>
      <c r="H206" s="14">
        <f>data!AX64</f>
        <v>0</v>
      </c>
      <c r="I206" s="14">
        <f>data!AY64</f>
        <v>256202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900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43752</v>
      </c>
      <c r="G209" s="14">
        <f>data!AW67</f>
        <v>0</v>
      </c>
      <c r="H209" s="14">
        <f>data!AX67</f>
        <v>0</v>
      </c>
      <c r="I209" s="14">
        <f>data!AY67</f>
        <v>31384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1242</v>
      </c>
      <c r="G211" s="14">
        <f>data!AW69</f>
        <v>0</v>
      </c>
      <c r="H211" s="14">
        <f>data!AX69</f>
        <v>0</v>
      </c>
      <c r="I211" s="14">
        <f>data!AY69</f>
        <v>438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-60558</v>
      </c>
    </row>
    <row r="213" spans="1:9" ht="20.100000000000001" customHeight="1" x14ac:dyDescent="0.25">
      <c r="A213" s="23">
        <v>16</v>
      </c>
      <c r="B213" s="48" t="s">
        <v>915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175794</v>
      </c>
      <c r="G213" s="14">
        <f>data!AW71</f>
        <v>0</v>
      </c>
      <c r="H213" s="14">
        <f>data!AX71</f>
        <v>0</v>
      </c>
      <c r="I213" s="14">
        <f>data!AY71</f>
        <v>726706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916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60677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917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918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919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920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921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1882</v>
      </c>
      <c r="G220" s="14">
        <f>data!AW76</f>
        <v>0</v>
      </c>
      <c r="H220" s="14">
        <f>data!AX76</f>
        <v>0</v>
      </c>
      <c r="I220" s="85">
        <f>data!AY76</f>
        <v>1350</v>
      </c>
    </row>
    <row r="221" spans="1:9" ht="20.100000000000001" customHeight="1" x14ac:dyDescent="0.25">
      <c r="A221" s="23">
        <v>23</v>
      </c>
      <c r="B221" s="14" t="s">
        <v>922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923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256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924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908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949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Columbia Basin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910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950</v>
      </c>
      <c r="F231" s="18" t="s">
        <v>951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914</v>
      </c>
      <c r="C232" s="15" t="s">
        <v>952</v>
      </c>
      <c r="D232" s="15" t="s">
        <v>953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77714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2.82</v>
      </c>
      <c r="E234" s="26">
        <f>data!BB60</f>
        <v>2.08</v>
      </c>
      <c r="F234" s="26">
        <f>data!BC60</f>
        <v>0</v>
      </c>
      <c r="G234" s="26">
        <f>data!BD60</f>
        <v>0.83</v>
      </c>
      <c r="H234" s="26">
        <f>data!BE60</f>
        <v>4.07</v>
      </c>
      <c r="I234" s="26">
        <f>data!BF60</f>
        <v>9.11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87163</v>
      </c>
      <c r="E235" s="14">
        <f>data!BB61</f>
        <v>120995</v>
      </c>
      <c r="F235" s="14">
        <f>data!BC61</f>
        <v>0</v>
      </c>
      <c r="G235" s="14">
        <f>data!BD61</f>
        <v>45988</v>
      </c>
      <c r="H235" s="14">
        <f>data!BE61</f>
        <v>183266</v>
      </c>
      <c r="I235" s="14">
        <f>data!BF61</f>
        <v>307104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22705</v>
      </c>
      <c r="E236" s="14">
        <f>data!BB62</f>
        <v>31518</v>
      </c>
      <c r="F236" s="14">
        <f>data!BC62</f>
        <v>0</v>
      </c>
      <c r="G236" s="14">
        <f>data!BD62</f>
        <v>11979</v>
      </c>
      <c r="H236" s="14">
        <f>data!BE62</f>
        <v>47739</v>
      </c>
      <c r="I236" s="14">
        <f>data!BF62</f>
        <v>79997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17054</v>
      </c>
      <c r="E238" s="14">
        <f>data!BB64</f>
        <v>161</v>
      </c>
      <c r="F238" s="14">
        <f>data!BC64</f>
        <v>0</v>
      </c>
      <c r="G238" s="14">
        <f>data!BD64</f>
        <v>7208</v>
      </c>
      <c r="H238" s="14">
        <f>data!BE64</f>
        <v>25232</v>
      </c>
      <c r="I238" s="14">
        <f>data!BF64</f>
        <v>27083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154200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41277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68929</v>
      </c>
      <c r="D241" s="14">
        <f>data!BA67</f>
        <v>32546</v>
      </c>
      <c r="E241" s="14">
        <f>data!BB67</f>
        <v>2092</v>
      </c>
      <c r="F241" s="14">
        <f>data!BC67</f>
        <v>0</v>
      </c>
      <c r="G241" s="14">
        <f>data!BD67</f>
        <v>56677</v>
      </c>
      <c r="H241" s="14">
        <f>data!BE67</f>
        <v>83784</v>
      </c>
      <c r="I241" s="14">
        <f>data!BF67</f>
        <v>35569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1486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650</v>
      </c>
      <c r="F243" s="14">
        <f>data!BC69</f>
        <v>0</v>
      </c>
      <c r="G243" s="14">
        <f>data!BD69</f>
        <v>615</v>
      </c>
      <c r="H243" s="14">
        <f>data!BE69</f>
        <v>543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915</v>
      </c>
      <c r="C245" s="14">
        <f>data!AZ71</f>
        <v>68929</v>
      </c>
      <c r="D245" s="14">
        <f>data!BA71</f>
        <v>159468</v>
      </c>
      <c r="E245" s="14">
        <f>data!BB71</f>
        <v>155416</v>
      </c>
      <c r="F245" s="14">
        <f>data!BC71</f>
        <v>0</v>
      </c>
      <c r="G245" s="14">
        <f>data!BD71</f>
        <v>122467</v>
      </c>
      <c r="H245" s="14">
        <f>data!BE71</f>
        <v>537527</v>
      </c>
      <c r="I245" s="14">
        <f>data!BF71</f>
        <v>449753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916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917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918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919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920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921</v>
      </c>
      <c r="C252" s="85">
        <f>data!AZ76</f>
        <v>2965</v>
      </c>
      <c r="D252" s="85">
        <f>data!BA76</f>
        <v>1400</v>
      </c>
      <c r="E252" s="85">
        <f>data!BB76</f>
        <v>90</v>
      </c>
      <c r="F252" s="85">
        <f>data!BC76</f>
        <v>0</v>
      </c>
      <c r="G252" s="85">
        <f>data!BD76</f>
        <v>2438</v>
      </c>
      <c r="H252" s="85">
        <f>data!BE76</f>
        <v>3604</v>
      </c>
      <c r="I252" s="85">
        <f>data!BF76</f>
        <v>1530</v>
      </c>
    </row>
    <row r="253" spans="1:9" ht="20.100000000000001" customHeight="1" x14ac:dyDescent="0.25">
      <c r="A253" s="23">
        <v>23</v>
      </c>
      <c r="B253" s="14" t="s">
        <v>922</v>
      </c>
      <c r="C253" s="85">
        <f>data!AZ77</f>
        <v>10624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923</v>
      </c>
      <c r="C254" s="209" t="str">
        <f>IF(data!AZ78&gt;0,data!AZ78,"")</f>
        <v>x</v>
      </c>
      <c r="D254" s="85">
        <f>data!BA78</f>
        <v>0</v>
      </c>
      <c r="E254" s="85">
        <f>data!BB78</f>
        <v>102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924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908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954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Columbia Basin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910</v>
      </c>
      <c r="C262" s="18" t="s">
        <v>955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956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957</v>
      </c>
    </row>
    <row r="264" spans="1:9" ht="20.100000000000001" customHeight="1" x14ac:dyDescent="0.25">
      <c r="A264" s="23">
        <v>3</v>
      </c>
      <c r="B264" s="14" t="s">
        <v>914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2.88</v>
      </c>
      <c r="E266" s="26">
        <f>data!BI60</f>
        <v>0</v>
      </c>
      <c r="F266" s="26">
        <f>data!BJ60</f>
        <v>2.04</v>
      </c>
      <c r="G266" s="26">
        <f>data!BK60</f>
        <v>6.77</v>
      </c>
      <c r="H266" s="26">
        <f>data!BL60</f>
        <v>4.09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1444</v>
      </c>
      <c r="D267" s="14">
        <f>data!BH61</f>
        <v>215159</v>
      </c>
      <c r="E267" s="14">
        <f>data!BI61</f>
        <v>0</v>
      </c>
      <c r="F267" s="14">
        <f>data!BJ61</f>
        <v>187216</v>
      </c>
      <c r="G267" s="14">
        <f>data!BK61</f>
        <v>362714</v>
      </c>
      <c r="H267" s="14">
        <f>data!BL61</f>
        <v>158029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376</v>
      </c>
      <c r="D268" s="14">
        <f>data!BH62</f>
        <v>56046</v>
      </c>
      <c r="E268" s="14">
        <f>data!BI62</f>
        <v>0</v>
      </c>
      <c r="F268" s="14">
        <f>data!BJ62</f>
        <v>48767</v>
      </c>
      <c r="G268" s="14">
        <f>data!BK62</f>
        <v>94483</v>
      </c>
      <c r="H268" s="14">
        <f>data!BL62</f>
        <v>41165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65</v>
      </c>
      <c r="E269" s="14">
        <f>data!BI63</f>
        <v>0</v>
      </c>
      <c r="F269" s="14">
        <f>data!BJ63</f>
        <v>78051</v>
      </c>
      <c r="G269" s="14">
        <f>data!BK63</f>
        <v>64545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1433</v>
      </c>
      <c r="D270" s="14">
        <f>data!BH64</f>
        <v>17868</v>
      </c>
      <c r="E270" s="14">
        <f>data!BI64</f>
        <v>41475</v>
      </c>
      <c r="F270" s="14">
        <f>data!BJ64</f>
        <v>10308</v>
      </c>
      <c r="G270" s="14">
        <f>data!BK64</f>
        <v>3192</v>
      </c>
      <c r="H270" s="14">
        <f>data!BL64</f>
        <v>1718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31521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35796</v>
      </c>
      <c r="D272" s="14">
        <f>data!BH66</f>
        <v>404232</v>
      </c>
      <c r="E272" s="14">
        <f>data!BI66</f>
        <v>0</v>
      </c>
      <c r="F272" s="14">
        <f>data!BJ66</f>
        <v>9395</v>
      </c>
      <c r="G272" s="14">
        <f>data!BK66</f>
        <v>43014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27478</v>
      </c>
      <c r="E273" s="14">
        <f>data!BI67</f>
        <v>0</v>
      </c>
      <c r="F273" s="14">
        <f>data!BJ67</f>
        <v>17505</v>
      </c>
      <c r="G273" s="14">
        <f>data!BK67</f>
        <v>49215</v>
      </c>
      <c r="H273" s="14">
        <f>data!BL67</f>
        <v>91270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36873</v>
      </c>
      <c r="E274" s="14">
        <f>data!BI68</f>
        <v>0</v>
      </c>
      <c r="F274" s="14">
        <f>data!BJ68</f>
        <v>0</v>
      </c>
      <c r="G274" s="14">
        <f>data!BK68</f>
        <v>3625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1505</v>
      </c>
      <c r="D275" s="14">
        <f>data!BH69</f>
        <v>1113</v>
      </c>
      <c r="E275" s="14">
        <f>data!BI69</f>
        <v>0</v>
      </c>
      <c r="F275" s="14">
        <f>data!BJ69</f>
        <v>2543</v>
      </c>
      <c r="G275" s="14">
        <f>data!BK69</f>
        <v>35041</v>
      </c>
      <c r="H275" s="14">
        <f>data!BL69</f>
        <v>31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915</v>
      </c>
      <c r="C277" s="14">
        <f>data!BG71</f>
        <v>40554</v>
      </c>
      <c r="D277" s="14">
        <f>data!BH71</f>
        <v>790355</v>
      </c>
      <c r="E277" s="14">
        <f>data!BI71</f>
        <v>41475</v>
      </c>
      <c r="F277" s="14">
        <f>data!BJ71</f>
        <v>353785</v>
      </c>
      <c r="G277" s="14">
        <f>data!BK71</f>
        <v>655829</v>
      </c>
      <c r="H277" s="14">
        <f>data!BL71</f>
        <v>292213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916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917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918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919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920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921</v>
      </c>
      <c r="C284" s="85">
        <f>data!BG76</f>
        <v>0</v>
      </c>
      <c r="D284" s="85">
        <f>data!BH76</f>
        <v>1182</v>
      </c>
      <c r="E284" s="85">
        <f>data!BI76</f>
        <v>0</v>
      </c>
      <c r="F284" s="85">
        <f>data!BJ76</f>
        <v>753</v>
      </c>
      <c r="G284" s="85">
        <f>data!BK76</f>
        <v>2117</v>
      </c>
      <c r="H284" s="85">
        <f>data!BL76</f>
        <v>3926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922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923</v>
      </c>
      <c r="C286" s="209" t="str">
        <f>IF(data!BG78&gt;0,data!BG78,"")</f>
        <v>x</v>
      </c>
      <c r="D286" s="85">
        <f>data!BH78</f>
        <v>0</v>
      </c>
      <c r="E286" s="85">
        <f>data!BI78</f>
        <v>0</v>
      </c>
      <c r="F286" s="209" t="str">
        <f>IF(data!BJ78&gt;0,data!BJ78,"")</f>
        <v>x</v>
      </c>
      <c r="G286" s="85">
        <f>data!BK78</f>
        <v>401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924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908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958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Columbia Basin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910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959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914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</v>
      </c>
      <c r="D298" s="26">
        <f>data!BO60</f>
        <v>0</v>
      </c>
      <c r="E298" s="26">
        <f>data!BP60</f>
        <v>1</v>
      </c>
      <c r="F298" s="26">
        <f>data!BQ60</f>
        <v>0</v>
      </c>
      <c r="G298" s="26">
        <f>data!BR60</f>
        <v>1.02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203674</v>
      </c>
      <c r="D299" s="14">
        <f>data!BO61</f>
        <v>0</v>
      </c>
      <c r="E299" s="14">
        <f>data!BP61</f>
        <v>66340</v>
      </c>
      <c r="F299" s="14">
        <f>data!BQ61</f>
        <v>0</v>
      </c>
      <c r="G299" s="14">
        <f>data!BR61</f>
        <v>96803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53055</v>
      </c>
      <c r="D300" s="14">
        <f>data!BO62</f>
        <v>0</v>
      </c>
      <c r="E300" s="14">
        <f>data!BP62</f>
        <v>17281</v>
      </c>
      <c r="F300" s="14">
        <f>data!BQ62</f>
        <v>0</v>
      </c>
      <c r="G300" s="14">
        <f>data!BR62</f>
        <v>25216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116671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4486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1355</v>
      </c>
      <c r="D302" s="14">
        <f>data!BO64</f>
        <v>0</v>
      </c>
      <c r="E302" s="14">
        <f>data!BP64</f>
        <v>603</v>
      </c>
      <c r="F302" s="14">
        <f>data!BQ64</f>
        <v>0</v>
      </c>
      <c r="G302" s="14">
        <f>data!BR64</f>
        <v>859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371</v>
      </c>
      <c r="D304" s="14">
        <f>data!BO66</f>
        <v>0</v>
      </c>
      <c r="E304" s="14">
        <f>data!BP66</f>
        <v>45204</v>
      </c>
      <c r="F304" s="14">
        <f>data!BQ66</f>
        <v>0</v>
      </c>
      <c r="G304" s="14">
        <f>data!BR66</f>
        <v>11209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122700</v>
      </c>
      <c r="D305" s="14">
        <f>data!BO67</f>
        <v>0</v>
      </c>
      <c r="E305" s="14">
        <f>data!BP67</f>
        <v>2348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92788</v>
      </c>
      <c r="D307" s="14">
        <f>data!BO69</f>
        <v>0</v>
      </c>
      <c r="E307" s="14">
        <f>data!BP69</f>
        <v>235</v>
      </c>
      <c r="F307" s="14">
        <f>data!BQ69</f>
        <v>0</v>
      </c>
      <c r="G307" s="14">
        <f>data!BR69</f>
        <v>3563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-38412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915</v>
      </c>
      <c r="C309" s="14">
        <f>data!BN71</f>
        <v>552202</v>
      </c>
      <c r="D309" s="14">
        <f>data!BO71</f>
        <v>0</v>
      </c>
      <c r="E309" s="14">
        <f>data!BP71</f>
        <v>132011</v>
      </c>
      <c r="F309" s="14">
        <f>data!BQ71</f>
        <v>0</v>
      </c>
      <c r="G309" s="14">
        <f>data!BR71</f>
        <v>142136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916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917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918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919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920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921</v>
      </c>
      <c r="C316" s="85">
        <f>data!BN76</f>
        <v>5278</v>
      </c>
      <c r="D316" s="85">
        <f>data!BO76</f>
        <v>0</v>
      </c>
      <c r="E316" s="85">
        <f>data!BP76</f>
        <v>101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922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923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924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908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960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Columbia Basin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910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959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914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2.61</v>
      </c>
      <c r="E330" s="26">
        <f>data!BW60</f>
        <v>0</v>
      </c>
      <c r="F330" s="26">
        <f>data!BX60</f>
        <v>0.66</v>
      </c>
      <c r="G330" s="26">
        <f>data!BY60</f>
        <v>2.48</v>
      </c>
      <c r="H330" s="26">
        <f>data!BZ60</f>
        <v>0</v>
      </c>
      <c r="I330" s="26">
        <f>data!CA60</f>
        <v>1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151123</v>
      </c>
      <c r="E331" s="86">
        <f>data!BW61</f>
        <v>0</v>
      </c>
      <c r="F331" s="86">
        <f>data!BX61</f>
        <v>45306</v>
      </c>
      <c r="G331" s="86">
        <f>data!BY61</f>
        <v>201649</v>
      </c>
      <c r="H331" s="86">
        <f>data!BZ61</f>
        <v>0</v>
      </c>
      <c r="I331" s="86">
        <f>data!CA61</f>
        <v>92492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39366</v>
      </c>
      <c r="E332" s="86">
        <f>data!BW62</f>
        <v>0</v>
      </c>
      <c r="F332" s="86">
        <f>data!BX62</f>
        <v>11802</v>
      </c>
      <c r="G332" s="86">
        <f>data!BY62</f>
        <v>52527</v>
      </c>
      <c r="H332" s="86">
        <f>data!BZ62</f>
        <v>0</v>
      </c>
      <c r="I332" s="86">
        <f>data!CA62</f>
        <v>24093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566</v>
      </c>
      <c r="E334" s="86">
        <f>data!BW64</f>
        <v>1</v>
      </c>
      <c r="F334" s="86">
        <f>data!BX64</f>
        <v>30</v>
      </c>
      <c r="G334" s="86">
        <f>data!BY64</f>
        <v>1882</v>
      </c>
      <c r="H334" s="86">
        <f>data!BZ64</f>
        <v>0</v>
      </c>
      <c r="I334" s="86">
        <f>data!CA64</f>
        <v>5441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37967</v>
      </c>
      <c r="E336" s="86">
        <f>data!BW66</f>
        <v>0</v>
      </c>
      <c r="F336" s="86">
        <f>data!BX66</f>
        <v>2145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32756</v>
      </c>
      <c r="E337" s="86">
        <f>data!BW67</f>
        <v>0</v>
      </c>
      <c r="F337" s="86">
        <f>data!BX67</f>
        <v>1999</v>
      </c>
      <c r="G337" s="86">
        <f>data!BY67</f>
        <v>6021</v>
      </c>
      <c r="H337" s="86">
        <f>data!BZ67</f>
        <v>0</v>
      </c>
      <c r="I337" s="86">
        <f>data!CA67</f>
        <v>5510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1851</v>
      </c>
      <c r="E339" s="86">
        <f>data!BW69</f>
        <v>1914</v>
      </c>
      <c r="F339" s="86">
        <f>data!BX69</f>
        <v>90</v>
      </c>
      <c r="G339" s="86">
        <f>data!BY69</f>
        <v>1927</v>
      </c>
      <c r="H339" s="86">
        <f>data!BZ69</f>
        <v>0</v>
      </c>
      <c r="I339" s="86">
        <f>data!CA69</f>
        <v>296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-5716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915</v>
      </c>
      <c r="C341" s="14">
        <f>data!BU71</f>
        <v>0</v>
      </c>
      <c r="D341" s="14">
        <f>data!BV71</f>
        <v>257913</v>
      </c>
      <c r="E341" s="14">
        <f>data!BW71</f>
        <v>1915</v>
      </c>
      <c r="F341" s="14">
        <f>data!BX71</f>
        <v>61372</v>
      </c>
      <c r="G341" s="14">
        <f>data!BY71</f>
        <v>264006</v>
      </c>
      <c r="H341" s="14">
        <f>data!BZ71</f>
        <v>0</v>
      </c>
      <c r="I341" s="14">
        <f>data!CA71</f>
        <v>127832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916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917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918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919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920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921</v>
      </c>
      <c r="C348" s="85">
        <f>data!BU76</f>
        <v>0</v>
      </c>
      <c r="D348" s="85">
        <f>data!BV76</f>
        <v>1409</v>
      </c>
      <c r="E348" s="85">
        <f>data!BW76</f>
        <v>0</v>
      </c>
      <c r="F348" s="85">
        <f>data!BX76</f>
        <v>86</v>
      </c>
      <c r="G348" s="85">
        <f>data!BY76</f>
        <v>259</v>
      </c>
      <c r="H348" s="85">
        <f>data!BZ76</f>
        <v>0</v>
      </c>
      <c r="I348" s="85">
        <f>data!CA76</f>
        <v>237</v>
      </c>
    </row>
    <row r="349" spans="1:9" ht="20.100000000000001" customHeight="1" x14ac:dyDescent="0.25">
      <c r="A349" s="23">
        <v>23</v>
      </c>
      <c r="B349" s="14" t="s">
        <v>922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923</v>
      </c>
      <c r="C350" s="85">
        <f>data!BU78</f>
        <v>0</v>
      </c>
      <c r="D350" s="85">
        <f>data!BV78</f>
        <v>165</v>
      </c>
      <c r="E350" s="85">
        <f>data!BW78</f>
        <v>0</v>
      </c>
      <c r="F350" s="85">
        <f>data!BX78</f>
        <v>6</v>
      </c>
      <c r="G350" s="85">
        <f>data!BY78</f>
        <v>723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924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908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961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Columbia Basin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910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962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914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3"/>
      <c r="F362" s="207"/>
      <c r="G362" s="207"/>
      <c r="H362" s="207"/>
      <c r="I362" s="87">
        <f>data!CE60</f>
        <v>142.24999999999997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4"/>
      <c r="F363" s="215"/>
      <c r="G363" s="215"/>
      <c r="H363" s="215"/>
      <c r="I363" s="86">
        <f>data!CE61</f>
        <v>8522563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4"/>
      <c r="F364" s="215"/>
      <c r="G364" s="215"/>
      <c r="H364" s="215"/>
      <c r="I364" s="86">
        <f>data!CE62</f>
        <v>2220023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4"/>
      <c r="F365" s="215"/>
      <c r="G365" s="215"/>
      <c r="H365" s="215"/>
      <c r="I365" s="86">
        <f>data!CE63</f>
        <v>3755340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4"/>
      <c r="F366" s="215"/>
      <c r="G366" s="215"/>
      <c r="H366" s="215"/>
      <c r="I366" s="86">
        <f>data!CE64</f>
        <v>1224490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4"/>
      <c r="F367" s="215"/>
      <c r="G367" s="215"/>
      <c r="H367" s="215"/>
      <c r="I367" s="86">
        <f>data!CE65</f>
        <v>185721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4"/>
      <c r="F368" s="215"/>
      <c r="G368" s="215"/>
      <c r="H368" s="215"/>
      <c r="I368" s="86">
        <f>data!CE66</f>
        <v>1341214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4"/>
      <c r="F369" s="215"/>
      <c r="G369" s="215"/>
      <c r="H369" s="215"/>
      <c r="I369" s="86">
        <f>data!CE67</f>
        <v>1806653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4"/>
      <c r="F370" s="215"/>
      <c r="G370" s="215"/>
      <c r="H370" s="215"/>
      <c r="I370" s="86">
        <f>data!CE68</f>
        <v>50076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1035227</v>
      </c>
      <c r="F371" s="215"/>
      <c r="G371" s="215"/>
      <c r="H371" s="215"/>
      <c r="I371" s="86">
        <f>data!CE69</f>
        <v>1239397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5">
        <f>data!CD70</f>
        <v>472944</v>
      </c>
      <c r="F372" s="216"/>
      <c r="G372" s="216"/>
      <c r="H372" s="216"/>
      <c r="I372" s="14">
        <f>-data!CE70</f>
        <v>-1445165</v>
      </c>
    </row>
    <row r="373" spans="1:9" ht="20.100000000000001" customHeight="1" x14ac:dyDescent="0.25">
      <c r="A373" s="23">
        <v>16</v>
      </c>
      <c r="B373" s="48" t="s">
        <v>915</v>
      </c>
      <c r="C373" s="86">
        <f>data!CB71</f>
        <v>0</v>
      </c>
      <c r="D373" s="86">
        <f>data!CC71</f>
        <v>0</v>
      </c>
      <c r="E373" s="86">
        <f>data!CD71</f>
        <v>562283</v>
      </c>
      <c r="F373" s="215"/>
      <c r="G373" s="215"/>
      <c r="H373" s="215"/>
      <c r="I373" s="14">
        <f>data!CE71</f>
        <v>18900312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-522113</v>
      </c>
    </row>
    <row r="375" spans="1:9" ht="20.100000000000001" customHeight="1" x14ac:dyDescent="0.25">
      <c r="A375" s="23">
        <v>18</v>
      </c>
      <c r="B375" s="14" t="s">
        <v>916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917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5969807</v>
      </c>
    </row>
    <row r="377" spans="1:9" ht="20.100000000000001" customHeight="1" x14ac:dyDescent="0.25">
      <c r="A377" s="23">
        <v>20</v>
      </c>
      <c r="B377" s="48" t="s">
        <v>918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18433217</v>
      </c>
    </row>
    <row r="378" spans="1:9" ht="20.100000000000001" customHeight="1" x14ac:dyDescent="0.25">
      <c r="A378" s="23">
        <v>21</v>
      </c>
      <c r="B378" s="48" t="s">
        <v>919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24403024</v>
      </c>
    </row>
    <row r="379" spans="1:9" ht="20.100000000000001" customHeight="1" x14ac:dyDescent="0.25">
      <c r="A379" s="23" t="s">
        <v>920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921</v>
      </c>
      <c r="C380" s="85">
        <f>data!CB76</f>
        <v>0</v>
      </c>
      <c r="D380" s="85">
        <f>data!CC76</f>
        <v>0</v>
      </c>
      <c r="E380" s="210"/>
      <c r="F380" s="207"/>
      <c r="G380" s="207"/>
      <c r="H380" s="207"/>
      <c r="I380" s="14">
        <f>data!CE76</f>
        <v>77714</v>
      </c>
    </row>
    <row r="381" spans="1:9" ht="20.100000000000001" customHeight="1" x14ac:dyDescent="0.25">
      <c r="A381" s="23">
        <v>23</v>
      </c>
      <c r="B381" s="14" t="s">
        <v>922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67174</v>
      </c>
    </row>
    <row r="382" spans="1:9" ht="20.100000000000001" customHeight="1" x14ac:dyDescent="0.25">
      <c r="A382" s="23">
        <v>24</v>
      </c>
      <c r="B382" s="14" t="s">
        <v>923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16032</v>
      </c>
    </row>
    <row r="383" spans="1:9" ht="20.100000000000001" customHeight="1" x14ac:dyDescent="0.25">
      <c r="A383" s="23">
        <v>25</v>
      </c>
      <c r="B383" s="14" t="s">
        <v>924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83934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66.290000000000006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2020-04-23T15:02:14Z</cp:lastPrinted>
  <dcterms:created xsi:type="dcterms:W3CDTF">1999-06-02T22:01:56Z</dcterms:created>
  <dcterms:modified xsi:type="dcterms:W3CDTF">2020-11-20T21:46:52Z</dcterms:modified>
</cp:coreProperties>
</file>