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data!$DR$822:$DR$867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O817" i="10" l="1"/>
  <c r="M817" i="10"/>
  <c r="K817" i="10"/>
  <c r="I817" i="10"/>
  <c r="H817" i="10"/>
  <c r="F817" i="10"/>
  <c r="E817" i="10"/>
  <c r="D817" i="10"/>
  <c r="X813" i="10"/>
  <c r="X815" i="10" s="1"/>
  <c r="W813" i="10"/>
  <c r="W815" i="10" s="1"/>
  <c r="V813" i="10"/>
  <c r="V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K797" i="10"/>
  <c r="I797" i="10"/>
  <c r="H797" i="10"/>
  <c r="G797" i="10"/>
  <c r="F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H779" i="10"/>
  <c r="A779" i="10"/>
  <c r="T778" i="10"/>
  <c r="S778" i="10"/>
  <c r="R778" i="10"/>
  <c r="Q778" i="10"/>
  <c r="P778" i="10"/>
  <c r="O778" i="10"/>
  <c r="M778" i="10"/>
  <c r="K778" i="10"/>
  <c r="F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S767" i="10"/>
  <c r="R767" i="10"/>
  <c r="Q767" i="10"/>
  <c r="P767" i="10"/>
  <c r="O767" i="10"/>
  <c r="M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M756" i="10"/>
  <c r="K756" i="10"/>
  <c r="H756" i="10"/>
  <c r="D756" i="10"/>
  <c r="C756" i="10"/>
  <c r="A756" i="10"/>
  <c r="T755" i="10"/>
  <c r="S755" i="10"/>
  <c r="R755" i="10"/>
  <c r="Q755" i="10"/>
  <c r="P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M752" i="10"/>
  <c r="L752" i="10"/>
  <c r="K752" i="10"/>
  <c r="H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A743" i="10"/>
  <c r="S742" i="10"/>
  <c r="R742" i="10"/>
  <c r="Q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H815" i="10" s="1"/>
  <c r="G734" i="10"/>
  <c r="F734" i="10"/>
  <c r="D734" i="10"/>
  <c r="C734" i="10"/>
  <c r="B734" i="10"/>
  <c r="A734" i="10"/>
  <c r="CF730" i="10"/>
  <c r="CE730" i="10"/>
  <c r="CB730" i="10"/>
  <c r="BX730" i="10"/>
  <c r="BV730" i="10"/>
  <c r="BU730" i="10"/>
  <c r="BS730" i="10"/>
  <c r="BR730" i="10"/>
  <c r="BQ730" i="10"/>
  <c r="BP730" i="10"/>
  <c r="BO730" i="10"/>
  <c r="BM730" i="10"/>
  <c r="BJ730" i="10"/>
  <c r="BF730" i="10"/>
  <c r="BE730" i="10"/>
  <c r="BB730" i="10"/>
  <c r="BA730" i="10"/>
  <c r="AZ730" i="10"/>
  <c r="AY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H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K730" i="10"/>
  <c r="J730" i="10"/>
  <c r="I730" i="10"/>
  <c r="H730" i="10"/>
  <c r="G730" i="10"/>
  <c r="F730" i="10"/>
  <c r="E730" i="10"/>
  <c r="D730" i="10"/>
  <c r="C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Y726" i="10"/>
  <c r="AV726" i="10"/>
  <c r="AT726" i="10"/>
  <c r="AQ726" i="10"/>
  <c r="AP726" i="10"/>
  <c r="AO726" i="10"/>
  <c r="AJ726" i="10"/>
  <c r="AI726" i="10"/>
  <c r="AH726" i="10"/>
  <c r="AE726" i="10"/>
  <c r="AD726" i="10"/>
  <c r="AC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F726" i="10"/>
  <c r="E726" i="10"/>
  <c r="D726" i="10"/>
  <c r="B726" i="10"/>
  <c r="A726" i="10"/>
  <c r="CC722" i="10"/>
  <c r="BY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J722" i="10"/>
  <c r="I722" i="10"/>
  <c r="E722" i="10"/>
  <c r="D722" i="10"/>
  <c r="C722" i="10"/>
  <c r="B722" i="10"/>
  <c r="A722" i="10"/>
  <c r="C615" i="10"/>
  <c r="G612" i="10"/>
  <c r="C575" i="10"/>
  <c r="E550" i="10"/>
  <c r="F550" i="10"/>
  <c r="E546" i="10"/>
  <c r="F545" i="10"/>
  <c r="E545" i="10"/>
  <c r="E544" i="10"/>
  <c r="F544" i="10"/>
  <c r="H539" i="10"/>
  <c r="F539" i="10"/>
  <c r="E539" i="10"/>
  <c r="H538" i="10"/>
  <c r="F538" i="10"/>
  <c r="E538" i="10"/>
  <c r="E537" i="10"/>
  <c r="H536" i="10"/>
  <c r="F536" i="10"/>
  <c r="E536" i="10"/>
  <c r="H535" i="10"/>
  <c r="E535" i="10"/>
  <c r="F535" i="10"/>
  <c r="F534" i="10"/>
  <c r="E534" i="10"/>
  <c r="H534" i="10"/>
  <c r="F533" i="10"/>
  <c r="E533" i="10"/>
  <c r="H533" i="10"/>
  <c r="H532" i="10"/>
  <c r="F532" i="10"/>
  <c r="E532" i="10"/>
  <c r="H531" i="10"/>
  <c r="F531" i="10"/>
  <c r="E531" i="10"/>
  <c r="E530" i="10"/>
  <c r="F528" i="10"/>
  <c r="E528" i="10"/>
  <c r="E527" i="10"/>
  <c r="F527" i="10"/>
  <c r="E526" i="10"/>
  <c r="F526" i="10"/>
  <c r="F525" i="10"/>
  <c r="E525" i="10"/>
  <c r="H525" i="10"/>
  <c r="E524" i="10"/>
  <c r="H523" i="10"/>
  <c r="F523" i="10"/>
  <c r="E523" i="10"/>
  <c r="E522" i="10"/>
  <c r="F522" i="10"/>
  <c r="F521" i="10"/>
  <c r="E520" i="10"/>
  <c r="F520" i="10"/>
  <c r="F519" i="10"/>
  <c r="E519" i="10"/>
  <c r="H519" i="10"/>
  <c r="F518" i="10"/>
  <c r="E517" i="10"/>
  <c r="F517" i="10"/>
  <c r="E516" i="10"/>
  <c r="F516" i="10"/>
  <c r="E515" i="10"/>
  <c r="E514" i="10"/>
  <c r="F514" i="10"/>
  <c r="H513" i="10"/>
  <c r="F513" i="10"/>
  <c r="F512" i="10"/>
  <c r="E511" i="10"/>
  <c r="E510" i="10"/>
  <c r="F510" i="10"/>
  <c r="E509" i="10"/>
  <c r="F509" i="10"/>
  <c r="E508" i="10"/>
  <c r="F508" i="10"/>
  <c r="F507" i="10"/>
  <c r="E507" i="10"/>
  <c r="H507" i="10"/>
  <c r="H506" i="10"/>
  <c r="E506" i="10"/>
  <c r="F506" i="10"/>
  <c r="F505" i="10"/>
  <c r="F504" i="10"/>
  <c r="E504" i="10"/>
  <c r="E503" i="10"/>
  <c r="F502" i="10"/>
  <c r="E502" i="10"/>
  <c r="H502" i="10"/>
  <c r="H501" i="10"/>
  <c r="E501" i="10"/>
  <c r="F501" i="10"/>
  <c r="H500" i="10"/>
  <c r="F500" i="10"/>
  <c r="E500" i="10"/>
  <c r="F499" i="10"/>
  <c r="E499" i="10"/>
  <c r="H499" i="10"/>
  <c r="E498" i="10"/>
  <c r="F498" i="10"/>
  <c r="H497" i="10"/>
  <c r="F497" i="10"/>
  <c r="E497" i="10"/>
  <c r="H496" i="10"/>
  <c r="F496" i="10"/>
  <c r="E496" i="10"/>
  <c r="G493" i="10"/>
  <c r="E493" i="10"/>
  <c r="C493" i="10"/>
  <c r="A493" i="10"/>
  <c r="B478" i="10"/>
  <c r="B475" i="10"/>
  <c r="B474" i="10"/>
  <c r="B473" i="10"/>
  <c r="B472" i="10"/>
  <c r="C471" i="10"/>
  <c r="B471" i="10"/>
  <c r="B470" i="10"/>
  <c r="B469" i="10"/>
  <c r="B468" i="10"/>
  <c r="B463" i="10"/>
  <c r="C459" i="10"/>
  <c r="B459" i="10"/>
  <c r="B458" i="10"/>
  <c r="B455" i="10"/>
  <c r="B453" i="10"/>
  <c r="B447" i="10"/>
  <c r="C446" i="10"/>
  <c r="C444" i="10"/>
  <c r="B439" i="10"/>
  <c r="C438" i="10"/>
  <c r="B435" i="10"/>
  <c r="D434" i="10"/>
  <c r="B434" i="10"/>
  <c r="B432" i="10"/>
  <c r="B431" i="10"/>
  <c r="B429" i="10"/>
  <c r="B428" i="10"/>
  <c r="B427" i="10"/>
  <c r="D424" i="10"/>
  <c r="B424" i="10"/>
  <c r="B423" i="10"/>
  <c r="D421" i="10"/>
  <c r="C421" i="10"/>
  <c r="B421" i="10"/>
  <c r="B420" i="10"/>
  <c r="D415" i="10"/>
  <c r="B415" i="10"/>
  <c r="B414" i="10"/>
  <c r="A412" i="10"/>
  <c r="C392" i="10"/>
  <c r="CD730" i="10" s="1"/>
  <c r="C389" i="10"/>
  <c r="CC730" i="10" s="1"/>
  <c r="C388" i="10"/>
  <c r="C387" i="10"/>
  <c r="BZ730" i="10" s="1"/>
  <c r="C386" i="10"/>
  <c r="C384" i="10"/>
  <c r="C381" i="10"/>
  <c r="D372" i="10"/>
  <c r="C366" i="10"/>
  <c r="BN730" i="10" s="1"/>
  <c r="C364" i="10"/>
  <c r="C360" i="10"/>
  <c r="BK730" i="10" s="1"/>
  <c r="D329" i="10"/>
  <c r="C325" i="10"/>
  <c r="D319" i="10"/>
  <c r="D314" i="10"/>
  <c r="C306" i="10"/>
  <c r="AI730" i="10" s="1"/>
  <c r="C304" i="10"/>
  <c r="AG730" i="10" s="1"/>
  <c r="D290" i="10"/>
  <c r="D283" i="10"/>
  <c r="D277" i="10"/>
  <c r="D275" i="10"/>
  <c r="B476" i="10" s="1"/>
  <c r="D265" i="10"/>
  <c r="C262" i="10"/>
  <c r="L730" i="10" s="1"/>
  <c r="D260" i="10"/>
  <c r="C250" i="10"/>
  <c r="B730" i="10" s="1"/>
  <c r="D240" i="10"/>
  <c r="D236" i="10"/>
  <c r="B446" i="10" s="1"/>
  <c r="C234" i="10"/>
  <c r="CB722" i="10" s="1"/>
  <c r="C233" i="10"/>
  <c r="C231" i="10"/>
  <c r="BZ722" i="10" s="1"/>
  <c r="D229" i="10"/>
  <c r="B445" i="10" s="1"/>
  <c r="C227" i="10"/>
  <c r="BX722" i="10" s="1"/>
  <c r="D221" i="10"/>
  <c r="CD722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C210" i="10"/>
  <c r="AZ722" i="10" s="1"/>
  <c r="E209" i="10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E198" i="10"/>
  <c r="E197" i="10"/>
  <c r="C470" i="10" s="1"/>
  <c r="E196" i="10"/>
  <c r="C469" i="10" s="1"/>
  <c r="E195" i="10"/>
  <c r="C468" i="10" s="1"/>
  <c r="D190" i="10"/>
  <c r="D437" i="10" s="1"/>
  <c r="D186" i="10"/>
  <c r="D436" i="10" s="1"/>
  <c r="C179" i="10"/>
  <c r="D177" i="10"/>
  <c r="C171" i="10"/>
  <c r="H722" i="10" s="1"/>
  <c r="C170" i="10"/>
  <c r="G722" i="10" s="1"/>
  <c r="C169" i="10"/>
  <c r="F722" i="10" s="1"/>
  <c r="E154" i="10"/>
  <c r="E153" i="10"/>
  <c r="E152" i="10"/>
  <c r="E151" i="10"/>
  <c r="E150" i="10"/>
  <c r="C420" i="10" s="1"/>
  <c r="E148" i="10"/>
  <c r="D147" i="10"/>
  <c r="AZ726" i="10" s="1"/>
  <c r="C147" i="10"/>
  <c r="AU726" i="10" s="1"/>
  <c r="E146" i="10"/>
  <c r="D145" i="10"/>
  <c r="AX726" i="10" s="1"/>
  <c r="C145" i="10"/>
  <c r="AS726" i="10" s="1"/>
  <c r="B145" i="10"/>
  <c r="AN726" i="10" s="1"/>
  <c r="D144" i="10"/>
  <c r="AW726" i="10" s="1"/>
  <c r="C144" i="10"/>
  <c r="AR726" i="10" s="1"/>
  <c r="B144" i="10"/>
  <c r="AM726" i="10" s="1"/>
  <c r="D142" i="10"/>
  <c r="AL726" i="10" s="1"/>
  <c r="C142" i="10"/>
  <c r="AG726" i="10" s="1"/>
  <c r="B142" i="10"/>
  <c r="AB726" i="10" s="1"/>
  <c r="D141" i="10"/>
  <c r="AK726" i="10" s="1"/>
  <c r="C141" i="10"/>
  <c r="AF726" i="10" s="1"/>
  <c r="E140" i="10"/>
  <c r="E139" i="10"/>
  <c r="C415" i="10" s="1"/>
  <c r="E138" i="10"/>
  <c r="C414" i="10" s="1"/>
  <c r="E127" i="10"/>
  <c r="D112" i="10"/>
  <c r="G726" i="10" s="1"/>
  <c r="C112" i="10"/>
  <c r="C726" i="10" s="1"/>
  <c r="AJ80" i="10"/>
  <c r="T767" i="10" s="1"/>
  <c r="S80" i="10"/>
  <c r="T750" i="10" s="1"/>
  <c r="Q80" i="10"/>
  <c r="T748" i="10" s="1"/>
  <c r="P80" i="10"/>
  <c r="T747" i="10" s="1"/>
  <c r="L80" i="10"/>
  <c r="T743" i="10" s="1"/>
  <c r="K80" i="10"/>
  <c r="T742" i="10" s="1"/>
  <c r="E80" i="10"/>
  <c r="T736" i="10" s="1"/>
  <c r="CF79" i="10"/>
  <c r="CE79" i="10"/>
  <c r="CE78" i="10"/>
  <c r="R816" i="10" s="1"/>
  <c r="CF77" i="10"/>
  <c r="CE77" i="10"/>
  <c r="Q816" i="10" s="1"/>
  <c r="K76" i="10"/>
  <c r="AV75" i="10"/>
  <c r="N779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G75" i="10"/>
  <c r="N764" i="10" s="1"/>
  <c r="AF75" i="10"/>
  <c r="N763" i="10" s="1"/>
  <c r="AE75" i="10"/>
  <c r="N762" i="10" s="1"/>
  <c r="AD75" i="10"/>
  <c r="N761" i="10" s="1"/>
  <c r="AB75" i="10"/>
  <c r="N759" i="10" s="1"/>
  <c r="AA75" i="10"/>
  <c r="N758" i="10" s="1"/>
  <c r="Z75" i="10"/>
  <c r="N757" i="10" s="1"/>
  <c r="V75" i="10"/>
  <c r="N753" i="10" s="1"/>
  <c r="T75" i="10"/>
  <c r="N751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CE74" i="10"/>
  <c r="C464" i="10" s="1"/>
  <c r="AV74" i="10"/>
  <c r="AU74" i="10"/>
  <c r="AU75" i="10" s="1"/>
  <c r="N778" i="10" s="1"/>
  <c r="AJ74" i="10"/>
  <c r="AH74" i="10"/>
  <c r="AH75" i="10" s="1"/>
  <c r="N765" i="10" s="1"/>
  <c r="AE74" i="10"/>
  <c r="AC74" i="10"/>
  <c r="AC75" i="10" s="1"/>
  <c r="N760" i="10" s="1"/>
  <c r="AB74" i="10"/>
  <c r="Y74" i="10"/>
  <c r="Y75" i="10" s="1"/>
  <c r="N756" i="10" s="1"/>
  <c r="X74" i="10"/>
  <c r="W74" i="10"/>
  <c r="W75" i="10" s="1"/>
  <c r="N754" i="10" s="1"/>
  <c r="U74" i="10"/>
  <c r="S74" i="10"/>
  <c r="S75" i="10" s="1"/>
  <c r="N750" i="10" s="1"/>
  <c r="R74" i="10"/>
  <c r="Y73" i="10"/>
  <c r="O756" i="10" s="1"/>
  <c r="X73" i="10"/>
  <c r="O755" i="10" s="1"/>
  <c r="U73" i="10"/>
  <c r="CE73" i="10" s="1"/>
  <c r="CD71" i="10"/>
  <c r="CE70" i="10"/>
  <c r="M816" i="10" s="1"/>
  <c r="CE69" i="10"/>
  <c r="CD69" i="10"/>
  <c r="U813" i="10" s="1"/>
  <c r="U815" i="10" s="1"/>
  <c r="BN69" i="10"/>
  <c r="L797" i="10" s="1"/>
  <c r="AV69" i="10"/>
  <c r="L779" i="10" s="1"/>
  <c r="AU69" i="10"/>
  <c r="L778" i="10" s="1"/>
  <c r="AJ69" i="10"/>
  <c r="L767" i="10" s="1"/>
  <c r="Y69" i="10"/>
  <c r="AV68" i="10"/>
  <c r="AJ68" i="10"/>
  <c r="K767" i="10" s="1"/>
  <c r="AV66" i="10"/>
  <c r="I779" i="10" s="1"/>
  <c r="AU66" i="10"/>
  <c r="I778" i="10" s="1"/>
  <c r="AJ66" i="10"/>
  <c r="I767" i="10" s="1"/>
  <c r="Y66" i="10"/>
  <c r="I756" i="10" s="1"/>
  <c r="U66" i="10"/>
  <c r="I752" i="10" s="1"/>
  <c r="I815" i="10" s="1"/>
  <c r="CE65" i="10"/>
  <c r="H816" i="10" s="1"/>
  <c r="AU65" i="10"/>
  <c r="H778" i="10" s="1"/>
  <c r="AJ65" i="10"/>
  <c r="H767" i="10" s="1"/>
  <c r="AV64" i="10"/>
  <c r="G779" i="10" s="1"/>
  <c r="AU64" i="10"/>
  <c r="G778" i="10" s="1"/>
  <c r="AJ64" i="10"/>
  <c r="G767" i="10" s="1"/>
  <c r="Y64" i="10"/>
  <c r="G756" i="10" s="1"/>
  <c r="U64" i="10"/>
  <c r="AV63" i="10"/>
  <c r="F779" i="10" s="1"/>
  <c r="AJ63" i="10"/>
  <c r="F767" i="10" s="1"/>
  <c r="Y63" i="10"/>
  <c r="CE61" i="10"/>
  <c r="BQ48" i="10" s="1"/>
  <c r="BQ62" i="10" s="1"/>
  <c r="BN61" i="10"/>
  <c r="AV61" i="10"/>
  <c r="AU61" i="10"/>
  <c r="D778" i="10" s="1"/>
  <c r="AJ61" i="10"/>
  <c r="D767" i="10" s="1"/>
  <c r="BN60" i="10"/>
  <c r="C797" i="10" s="1"/>
  <c r="BA60" i="10"/>
  <c r="C784" i="10" s="1"/>
  <c r="AV60" i="10"/>
  <c r="C779" i="10" s="1"/>
  <c r="AU60" i="10"/>
  <c r="C778" i="10" s="1"/>
  <c r="AJ60" i="10"/>
  <c r="C767" i="10" s="1"/>
  <c r="AU59" i="10"/>
  <c r="AJ59" i="10"/>
  <c r="Y59" i="10"/>
  <c r="B756" i="10" s="1"/>
  <c r="L59" i="10"/>
  <c r="B53" i="10"/>
  <c r="CE51" i="10"/>
  <c r="AV51" i="10"/>
  <c r="AU51" i="10"/>
  <c r="AJ51" i="10"/>
  <c r="B51" i="10"/>
  <c r="B49" i="10"/>
  <c r="CB48" i="10"/>
  <c r="CB62" i="10" s="1"/>
  <c r="BL48" i="10"/>
  <c r="BL62" i="10" s="1"/>
  <c r="BD48" i="10"/>
  <c r="BD62" i="10" s="1"/>
  <c r="AV48" i="10"/>
  <c r="AV62" i="10" s="1"/>
  <c r="E779" i="10" s="1"/>
  <c r="AN48" i="10"/>
  <c r="AN62" i="10" s="1"/>
  <c r="AF48" i="10"/>
  <c r="AF62" i="10" s="1"/>
  <c r="X48" i="10"/>
  <c r="X62" i="10" s="1"/>
  <c r="P48" i="10"/>
  <c r="P62" i="10" s="1"/>
  <c r="H48" i="10"/>
  <c r="H62" i="10" s="1"/>
  <c r="B48" i="10"/>
  <c r="BZ48" i="10" s="1"/>
  <c r="BZ62" i="10" s="1"/>
  <c r="CE47" i="10"/>
  <c r="E747" i="10" l="1"/>
  <c r="E755" i="10"/>
  <c r="E763" i="10"/>
  <c r="E800" i="10"/>
  <c r="E771" i="10"/>
  <c r="E787" i="10"/>
  <c r="E809" i="10"/>
  <c r="E795" i="10"/>
  <c r="O816" i="10"/>
  <c r="C463" i="10"/>
  <c r="E739" i="10"/>
  <c r="E811" i="10"/>
  <c r="BT48" i="10"/>
  <c r="BT62" i="10" s="1"/>
  <c r="BW730" i="10"/>
  <c r="J817" i="10"/>
  <c r="B433" i="10"/>
  <c r="AW48" i="10"/>
  <c r="AW62" i="10" s="1"/>
  <c r="CC48" i="10"/>
  <c r="CC62" i="10" s="1"/>
  <c r="G752" i="10"/>
  <c r="CE64" i="10"/>
  <c r="CE80" i="10"/>
  <c r="BY730" i="10"/>
  <c r="L817" i="10"/>
  <c r="B438" i="10"/>
  <c r="B440" i="10" s="1"/>
  <c r="B464" i="10"/>
  <c r="F503" i="10"/>
  <c r="H537" i="10"/>
  <c r="F537" i="10"/>
  <c r="J48" i="10"/>
  <c r="J62" i="10" s="1"/>
  <c r="R48" i="10"/>
  <c r="R62" i="10" s="1"/>
  <c r="Z48" i="10"/>
  <c r="Z62" i="10" s="1"/>
  <c r="AH48" i="10"/>
  <c r="AH62" i="10" s="1"/>
  <c r="AP48" i="10"/>
  <c r="AP62" i="10" s="1"/>
  <c r="AX48" i="10"/>
  <c r="AX62" i="10" s="1"/>
  <c r="BF48" i="10"/>
  <c r="BF62" i="10" s="1"/>
  <c r="BN48" i="10"/>
  <c r="BN62" i="10" s="1"/>
  <c r="E797" i="10" s="1"/>
  <c r="BV48" i="10"/>
  <c r="BV62" i="10" s="1"/>
  <c r="B743" i="10"/>
  <c r="E505" i="10"/>
  <c r="D418" i="10"/>
  <c r="K779" i="10"/>
  <c r="CE68" i="10"/>
  <c r="E141" i="10"/>
  <c r="D463" i="10" s="1"/>
  <c r="D465" i="10" s="1"/>
  <c r="E144" i="10"/>
  <c r="C417" i="10" s="1"/>
  <c r="E147" i="10"/>
  <c r="D242" i="10"/>
  <c r="B448" i="10" s="1"/>
  <c r="D361" i="10"/>
  <c r="B444" i="10"/>
  <c r="F524" i="10"/>
  <c r="D815" i="10"/>
  <c r="S816" i="10"/>
  <c r="J612" i="10"/>
  <c r="Q48" i="10"/>
  <c r="Q62" i="10" s="1"/>
  <c r="BE48" i="10"/>
  <c r="BE62" i="10" s="1"/>
  <c r="S48" i="10"/>
  <c r="S62" i="10" s="1"/>
  <c r="AY48" i="10"/>
  <c r="AY62" i="10" s="1"/>
  <c r="BW48" i="10"/>
  <c r="BW62" i="10" s="1"/>
  <c r="D48" i="10"/>
  <c r="D62" i="10" s="1"/>
  <c r="L48" i="10"/>
  <c r="L62" i="10" s="1"/>
  <c r="T48" i="10"/>
  <c r="T62" i="10" s="1"/>
  <c r="AB48" i="10"/>
  <c r="AB62" i="10" s="1"/>
  <c r="AJ48" i="10"/>
  <c r="AJ62" i="10" s="1"/>
  <c r="AR48" i="10"/>
  <c r="AR62" i="10" s="1"/>
  <c r="AZ48" i="10"/>
  <c r="AZ62" i="10" s="1"/>
  <c r="BH48" i="10"/>
  <c r="BH62" i="10" s="1"/>
  <c r="BP48" i="10"/>
  <c r="BP62" i="10" s="1"/>
  <c r="BX48" i="10"/>
  <c r="BX62" i="10" s="1"/>
  <c r="B767" i="10"/>
  <c r="E529" i="10"/>
  <c r="D173" i="10"/>
  <c r="D428" i="10" s="1"/>
  <c r="D292" i="10"/>
  <c r="D341" i="10" s="1"/>
  <c r="C481" i="10" s="1"/>
  <c r="B417" i="10"/>
  <c r="AG48" i="10"/>
  <c r="AG62" i="10" s="1"/>
  <c r="BM48" i="10"/>
  <c r="BM62" i="10" s="1"/>
  <c r="L816" i="10"/>
  <c r="C440" i="10"/>
  <c r="K48" i="10"/>
  <c r="K62" i="10" s="1"/>
  <c r="AQ48" i="10"/>
  <c r="AQ62" i="10" s="1"/>
  <c r="BG48" i="10"/>
  <c r="BG62" i="10" s="1"/>
  <c r="P742" i="10"/>
  <c r="CE76" i="10"/>
  <c r="BL730" i="10"/>
  <c r="C445" i="10"/>
  <c r="F511" i="10"/>
  <c r="M48" i="10"/>
  <c r="M62" i="10" s="1"/>
  <c r="AC48" i="10"/>
  <c r="AC62" i="10" s="1"/>
  <c r="AS48" i="10"/>
  <c r="AS62" i="10" s="1"/>
  <c r="BI48" i="10"/>
  <c r="BI62" i="10" s="1"/>
  <c r="B778" i="10"/>
  <c r="E540" i="10"/>
  <c r="E204" i="10"/>
  <c r="C476" i="10" s="1"/>
  <c r="C431" i="10"/>
  <c r="D816" i="10"/>
  <c r="C427" i="10"/>
  <c r="Y48" i="10"/>
  <c r="Y62" i="10" s="1"/>
  <c r="AA48" i="10"/>
  <c r="AA62" i="10" s="1"/>
  <c r="X75" i="10"/>
  <c r="N755" i="10" s="1"/>
  <c r="E48" i="10"/>
  <c r="E62" i="10" s="1"/>
  <c r="U48" i="10"/>
  <c r="U62" i="10" s="1"/>
  <c r="AK48" i="10"/>
  <c r="AK62" i="10" s="1"/>
  <c r="BA48" i="10"/>
  <c r="BA62" i="10" s="1"/>
  <c r="BY48" i="10"/>
  <c r="BY62" i="10" s="1"/>
  <c r="D367" i="10"/>
  <c r="C448" i="10" s="1"/>
  <c r="F48" i="10"/>
  <c r="F62" i="10" s="1"/>
  <c r="N48" i="10"/>
  <c r="N62" i="10" s="1"/>
  <c r="V48" i="10"/>
  <c r="V62" i="10" s="1"/>
  <c r="AD48" i="10"/>
  <c r="AD62" i="10" s="1"/>
  <c r="AL48" i="10"/>
  <c r="AL62" i="10" s="1"/>
  <c r="AT48" i="10"/>
  <c r="AT62" i="10" s="1"/>
  <c r="BB48" i="10"/>
  <c r="BB62" i="10" s="1"/>
  <c r="BJ48" i="10"/>
  <c r="BJ62" i="10" s="1"/>
  <c r="BR48" i="10"/>
  <c r="BR62" i="10" s="1"/>
  <c r="D779" i="10"/>
  <c r="F756" i="10"/>
  <c r="F815" i="10" s="1"/>
  <c r="CE63" i="10"/>
  <c r="CE66" i="10"/>
  <c r="E142" i="10"/>
  <c r="D464" i="10" s="1"/>
  <c r="E145" i="10"/>
  <c r="C418" i="10" s="1"/>
  <c r="K722" i="10"/>
  <c r="D181" i="10"/>
  <c r="C473" i="10"/>
  <c r="E217" i="10"/>
  <c r="C478" i="10" s="1"/>
  <c r="CA722" i="10"/>
  <c r="B454" i="10"/>
  <c r="F529" i="10"/>
  <c r="H530" i="10"/>
  <c r="F530" i="10"/>
  <c r="I48" i="10"/>
  <c r="I62" i="10" s="1"/>
  <c r="AO48" i="10"/>
  <c r="AO62" i="10" s="1"/>
  <c r="BU48" i="10"/>
  <c r="BU62" i="10" s="1"/>
  <c r="C48" i="10"/>
  <c r="AI48" i="10"/>
  <c r="AI62" i="10" s="1"/>
  <c r="BO48" i="10"/>
  <c r="BO62" i="10" s="1"/>
  <c r="CE60" i="10"/>
  <c r="L756" i="10"/>
  <c r="C439" i="10"/>
  <c r="CA730" i="10"/>
  <c r="B437" i="10"/>
  <c r="G48" i="10"/>
  <c r="G62" i="10" s="1"/>
  <c r="O48" i="10"/>
  <c r="O62" i="10" s="1"/>
  <c r="W48" i="10"/>
  <c r="W62" i="10" s="1"/>
  <c r="AE48" i="10"/>
  <c r="AE62" i="10" s="1"/>
  <c r="AM48" i="10"/>
  <c r="AM62" i="10" s="1"/>
  <c r="AU48" i="10"/>
  <c r="AU62" i="10" s="1"/>
  <c r="BC48" i="10"/>
  <c r="BC62" i="10" s="1"/>
  <c r="BK48" i="10"/>
  <c r="BK62" i="10" s="1"/>
  <c r="BS48" i="10"/>
  <c r="BS62" i="10" s="1"/>
  <c r="CA48" i="10"/>
  <c r="CA62" i="10" s="1"/>
  <c r="D797" i="10"/>
  <c r="O752" i="10"/>
  <c r="U75" i="10"/>
  <c r="N752" i="10" s="1"/>
  <c r="N815" i="10" s="1"/>
  <c r="AX730" i="10"/>
  <c r="D328" i="10"/>
  <c r="D330" i="10" s="1"/>
  <c r="D339" i="10" s="1"/>
  <c r="C482" i="10" s="1"/>
  <c r="G817" i="10"/>
  <c r="BT730" i="10"/>
  <c r="D390" i="10"/>
  <c r="B441" i="10" s="1"/>
  <c r="B430" i="10"/>
  <c r="E518" i="10"/>
  <c r="F540" i="10"/>
  <c r="F546" i="10"/>
  <c r="B418" i="10"/>
  <c r="B436" i="10"/>
  <c r="I612" i="10"/>
  <c r="C458" i="10"/>
  <c r="F515" i="10"/>
  <c r="C447" i="10"/>
  <c r="P815" i="10"/>
  <c r="G815" i="10"/>
  <c r="Q815" i="10"/>
  <c r="T815" i="10"/>
  <c r="L815" i="10"/>
  <c r="R815" i="10"/>
  <c r="K815" i="10"/>
  <c r="S815" i="10"/>
  <c r="C815" i="10"/>
  <c r="M815" i="10"/>
  <c r="O815" i="10"/>
  <c r="E785" i="10" l="1"/>
  <c r="E807" i="10"/>
  <c r="I816" i="10"/>
  <c r="C432" i="10"/>
  <c r="E764" i="10"/>
  <c r="CE75" i="10"/>
  <c r="E789" i="10"/>
  <c r="G816" i="10"/>
  <c r="C430" i="10"/>
  <c r="F612" i="10"/>
  <c r="E786" i="10"/>
  <c r="E772" i="10"/>
  <c r="F816" i="10"/>
  <c r="C429" i="10"/>
  <c r="E769" i="10"/>
  <c r="E768" i="10"/>
  <c r="AK71" i="10"/>
  <c r="E776" i="10"/>
  <c r="E791" i="10"/>
  <c r="E806" i="10"/>
  <c r="BW71" i="10"/>
  <c r="K816" i="10"/>
  <c r="C434" i="10"/>
  <c r="E781" i="10"/>
  <c r="E802" i="10"/>
  <c r="E784" i="10"/>
  <c r="E782" i="10"/>
  <c r="AY71" i="10"/>
  <c r="E770" i="10"/>
  <c r="D438" i="10"/>
  <c r="D435" i="10"/>
  <c r="E753" i="10"/>
  <c r="V71" i="10"/>
  <c r="E736" i="10"/>
  <c r="E744" i="10"/>
  <c r="E774" i="10"/>
  <c r="E775" i="10"/>
  <c r="AR71" i="10"/>
  <c r="E750" i="10"/>
  <c r="S71" i="10"/>
  <c r="N817" i="10"/>
  <c r="B465" i="10"/>
  <c r="D368" i="10"/>
  <c r="D373" i="10" s="1"/>
  <c r="D391" i="10" s="1"/>
  <c r="D393" i="10" s="1"/>
  <c r="D396" i="10" s="1"/>
  <c r="E765" i="10"/>
  <c r="E780" i="10"/>
  <c r="AW71" i="10"/>
  <c r="E738" i="10"/>
  <c r="G71" i="10"/>
  <c r="E743" i="10"/>
  <c r="E803" i="10"/>
  <c r="E804" i="10"/>
  <c r="BU71" i="10"/>
  <c r="P816" i="10"/>
  <c r="D612" i="10"/>
  <c r="BU52" i="10"/>
  <c r="BU67" i="10" s="1"/>
  <c r="J804" i="10" s="1"/>
  <c r="BE52" i="10"/>
  <c r="BE67" i="10" s="1"/>
  <c r="J788" i="10" s="1"/>
  <c r="AW52" i="10"/>
  <c r="AW67" i="10" s="1"/>
  <c r="J780" i="10" s="1"/>
  <c r="AO52" i="10"/>
  <c r="AO67" i="10" s="1"/>
  <c r="J772" i="10" s="1"/>
  <c r="AG52" i="10"/>
  <c r="AG67" i="10" s="1"/>
  <c r="J764" i="10" s="1"/>
  <c r="Y52" i="10"/>
  <c r="Y67" i="10" s="1"/>
  <c r="J756" i="10" s="1"/>
  <c r="I52" i="10"/>
  <c r="I67" i="10" s="1"/>
  <c r="J740" i="10" s="1"/>
  <c r="AY52" i="10"/>
  <c r="AY67" i="10" s="1"/>
  <c r="J782" i="10" s="1"/>
  <c r="S52" i="10"/>
  <c r="S67" i="10" s="1"/>
  <c r="J750" i="10" s="1"/>
  <c r="J52" i="10"/>
  <c r="J67" i="10" s="1"/>
  <c r="J741" i="10" s="1"/>
  <c r="CB52" i="10"/>
  <c r="CB67" i="10" s="1"/>
  <c r="BT52" i="10"/>
  <c r="BT67" i="10" s="1"/>
  <c r="J803" i="10" s="1"/>
  <c r="BD52" i="10"/>
  <c r="BD67" i="10" s="1"/>
  <c r="AN52" i="10"/>
  <c r="AN67" i="10" s="1"/>
  <c r="AF52" i="10"/>
  <c r="AF67" i="10" s="1"/>
  <c r="X52" i="10"/>
  <c r="X67" i="10" s="1"/>
  <c r="P52" i="10"/>
  <c r="P67" i="10" s="1"/>
  <c r="H52" i="10"/>
  <c r="H67" i="10" s="1"/>
  <c r="AM52" i="10"/>
  <c r="AM67" i="10" s="1"/>
  <c r="J770" i="10" s="1"/>
  <c r="G52" i="10"/>
  <c r="G67" i="10" s="1"/>
  <c r="J738" i="10" s="1"/>
  <c r="BY52" i="10"/>
  <c r="BY67" i="10" s="1"/>
  <c r="J808" i="10" s="1"/>
  <c r="BI52" i="10"/>
  <c r="BI67" i="10" s="1"/>
  <c r="J792" i="10" s="1"/>
  <c r="AS52" i="10"/>
  <c r="AS67" i="10" s="1"/>
  <c r="J776" i="10" s="1"/>
  <c r="AC52" i="10"/>
  <c r="AC67" i="10" s="1"/>
  <c r="J760" i="10" s="1"/>
  <c r="BS52" i="10"/>
  <c r="BS67" i="10" s="1"/>
  <c r="J802" i="10" s="1"/>
  <c r="AU52" i="10"/>
  <c r="AU67" i="10" s="1"/>
  <c r="J778" i="10" s="1"/>
  <c r="AE52" i="10"/>
  <c r="AE67" i="10" s="1"/>
  <c r="J762" i="10" s="1"/>
  <c r="O52" i="10"/>
  <c r="O67" i="10" s="1"/>
  <c r="J746" i="10" s="1"/>
  <c r="E52" i="10"/>
  <c r="E67" i="10" s="1"/>
  <c r="J736" i="10" s="1"/>
  <c r="K52" i="10"/>
  <c r="K67" i="10" s="1"/>
  <c r="J742" i="10" s="1"/>
  <c r="AH52" i="10"/>
  <c r="AH67" i="10" s="1"/>
  <c r="J765" i="10" s="1"/>
  <c r="CF76" i="10"/>
  <c r="CC52" i="10" s="1"/>
  <c r="CC67" i="10" s="1"/>
  <c r="BZ52" i="10"/>
  <c r="BZ67" i="10" s="1"/>
  <c r="BR52" i="10"/>
  <c r="BR67" i="10" s="1"/>
  <c r="J801" i="10" s="1"/>
  <c r="BJ52" i="10"/>
  <c r="BJ67" i="10" s="1"/>
  <c r="J793" i="10" s="1"/>
  <c r="BB52" i="10"/>
  <c r="BB67" i="10" s="1"/>
  <c r="J785" i="10" s="1"/>
  <c r="AT52" i="10"/>
  <c r="AT67" i="10" s="1"/>
  <c r="J777" i="10" s="1"/>
  <c r="AD52" i="10"/>
  <c r="AD67" i="10" s="1"/>
  <c r="J761" i="10" s="1"/>
  <c r="V52" i="10"/>
  <c r="V67" i="10" s="1"/>
  <c r="J753" i="10" s="1"/>
  <c r="N52" i="10"/>
  <c r="N67" i="10" s="1"/>
  <c r="J745" i="10" s="1"/>
  <c r="F52" i="10"/>
  <c r="F67" i="10" s="1"/>
  <c r="J737" i="10" s="1"/>
  <c r="BQ52" i="10"/>
  <c r="BQ67" i="10" s="1"/>
  <c r="BA52" i="10"/>
  <c r="BA67" i="10" s="1"/>
  <c r="J784" i="10" s="1"/>
  <c r="AK52" i="10"/>
  <c r="AK67" i="10" s="1"/>
  <c r="J768" i="10" s="1"/>
  <c r="BO52" i="10"/>
  <c r="BO67" i="10" s="1"/>
  <c r="J798" i="10" s="1"/>
  <c r="AI52" i="10"/>
  <c r="AI67" i="10" s="1"/>
  <c r="J766" i="10" s="1"/>
  <c r="C52" i="10"/>
  <c r="BN52" i="10"/>
  <c r="BN67" i="10" s="1"/>
  <c r="J797" i="10" s="1"/>
  <c r="AP52" i="10"/>
  <c r="AP67" i="10" s="1"/>
  <c r="J773" i="10" s="1"/>
  <c r="Z52" i="10"/>
  <c r="Z67" i="10" s="1"/>
  <c r="J757" i="10" s="1"/>
  <c r="BX52" i="10"/>
  <c r="BX67" i="10" s="1"/>
  <c r="J807" i="10" s="1"/>
  <c r="BH52" i="10"/>
  <c r="BH67" i="10" s="1"/>
  <c r="J791" i="10" s="1"/>
  <c r="AZ52" i="10"/>
  <c r="AZ67" i="10" s="1"/>
  <c r="J783" i="10" s="1"/>
  <c r="AR52" i="10"/>
  <c r="AR67" i="10" s="1"/>
  <c r="J775" i="10" s="1"/>
  <c r="AJ52" i="10"/>
  <c r="AJ67" i="10" s="1"/>
  <c r="J767" i="10" s="1"/>
  <c r="AB52" i="10"/>
  <c r="AB67" i="10" s="1"/>
  <c r="J759" i="10" s="1"/>
  <c r="T52" i="10"/>
  <c r="T67" i="10" s="1"/>
  <c r="J751" i="10" s="1"/>
  <c r="L52" i="10"/>
  <c r="L67" i="10" s="1"/>
  <c r="J743" i="10" s="1"/>
  <c r="BW52" i="10"/>
  <c r="BW67" i="10" s="1"/>
  <c r="J806" i="10" s="1"/>
  <c r="BG52" i="10"/>
  <c r="BG67" i="10" s="1"/>
  <c r="J790" i="10" s="1"/>
  <c r="AQ52" i="10"/>
  <c r="AQ67" i="10" s="1"/>
  <c r="J774" i="10" s="1"/>
  <c r="AA52" i="10"/>
  <c r="AA67" i="10" s="1"/>
  <c r="J758" i="10" s="1"/>
  <c r="BV52" i="10"/>
  <c r="BV67" i="10" s="1"/>
  <c r="J805" i="10" s="1"/>
  <c r="AX52" i="10"/>
  <c r="AX67" i="10" s="1"/>
  <c r="J781" i="10" s="1"/>
  <c r="R52" i="10"/>
  <c r="R67" i="10" s="1"/>
  <c r="J749" i="10" s="1"/>
  <c r="E740" i="10"/>
  <c r="I71" i="10"/>
  <c r="E752" i="10"/>
  <c r="E790" i="10"/>
  <c r="BG71" i="10"/>
  <c r="BN71" i="10"/>
  <c r="E762" i="10"/>
  <c r="BI730" i="10"/>
  <c r="C816" i="10"/>
  <c r="H612" i="10"/>
  <c r="E745" i="10"/>
  <c r="N71" i="10"/>
  <c r="E742" i="10"/>
  <c r="K71" i="10"/>
  <c r="E767" i="10"/>
  <c r="E788" i="10"/>
  <c r="BE71" i="10"/>
  <c r="E757" i="10"/>
  <c r="CE48" i="10"/>
  <c r="C62" i="10"/>
  <c r="E796" i="10"/>
  <c r="T816" i="10"/>
  <c r="L612" i="10"/>
  <c r="E794" i="10"/>
  <c r="E777" i="10"/>
  <c r="AT71" i="10"/>
  <c r="E799" i="10"/>
  <c r="E761" i="10"/>
  <c r="AD71" i="10"/>
  <c r="E783" i="10"/>
  <c r="AZ71" i="10"/>
  <c r="E812" i="10"/>
  <c r="E754" i="10"/>
  <c r="E798" i="10"/>
  <c r="BO71" i="10"/>
  <c r="E801" i="10"/>
  <c r="BR71" i="10"/>
  <c r="E737" i="10"/>
  <c r="F71" i="10"/>
  <c r="E758" i="10"/>
  <c r="E759" i="10"/>
  <c r="E748" i="10"/>
  <c r="E749" i="10"/>
  <c r="E808" i="10"/>
  <c r="E792" i="10"/>
  <c r="E735" i="10"/>
  <c r="E778" i="10"/>
  <c r="E760" i="10"/>
  <c r="E773" i="10"/>
  <c r="E810" i="10"/>
  <c r="E746" i="10"/>
  <c r="E766" i="10"/>
  <c r="AI71" i="10"/>
  <c r="E793" i="10"/>
  <c r="E756" i="10"/>
  <c r="Y71" i="10"/>
  <c r="E751" i="10"/>
  <c r="E805" i="10"/>
  <c r="E741" i="10"/>
  <c r="J812" i="10" l="1"/>
  <c r="CC71" i="10"/>
  <c r="C628" i="10"/>
  <c r="C545" i="10"/>
  <c r="Z71" i="10"/>
  <c r="C618" i="10"/>
  <c r="C552" i="10"/>
  <c r="J755" i="10"/>
  <c r="X71" i="10"/>
  <c r="J71" i="10"/>
  <c r="AB71" i="10"/>
  <c r="J763" i="10"/>
  <c r="AF71" i="10"/>
  <c r="C560" i="10"/>
  <c r="C627" i="10"/>
  <c r="C695" i="10"/>
  <c r="C523" i="10"/>
  <c r="G523" i="10" s="1"/>
  <c r="C67" i="10"/>
  <c r="J809" i="10"/>
  <c r="BZ71" i="10"/>
  <c r="J771" i="10"/>
  <c r="AN71" i="10"/>
  <c r="BT71" i="10"/>
  <c r="AH71" i="10"/>
  <c r="C544" i="10"/>
  <c r="C625" i="10"/>
  <c r="J800" i="10"/>
  <c r="BQ71" i="10"/>
  <c r="C641" i="10"/>
  <c r="C566" i="10"/>
  <c r="BI71" i="10"/>
  <c r="C709" i="10"/>
  <c r="C537" i="10"/>
  <c r="G537" i="10" s="1"/>
  <c r="C550" i="10"/>
  <c r="C614" i="10"/>
  <c r="BV71" i="10"/>
  <c r="C700" i="10"/>
  <c r="C528" i="10"/>
  <c r="AC71" i="10"/>
  <c r="BY71" i="10"/>
  <c r="BC52" i="10"/>
  <c r="BC67" i="10" s="1"/>
  <c r="W52" i="10"/>
  <c r="W67" i="10" s="1"/>
  <c r="AV52" i="10"/>
  <c r="AV67" i="10" s="1"/>
  <c r="U52" i="10"/>
  <c r="U67" i="10" s="1"/>
  <c r="BM52" i="10"/>
  <c r="BM67" i="10" s="1"/>
  <c r="AQ71" i="10"/>
  <c r="BS71" i="10"/>
  <c r="BH71" i="10"/>
  <c r="BX71" i="10"/>
  <c r="C690" i="10"/>
  <c r="C518" i="10"/>
  <c r="E71" i="10"/>
  <c r="AP71" i="10"/>
  <c r="C687" i="10"/>
  <c r="C515" i="10"/>
  <c r="C643" i="10"/>
  <c r="C568" i="10"/>
  <c r="AA71" i="10"/>
  <c r="C619" i="10"/>
  <c r="C559" i="10"/>
  <c r="J811" i="10"/>
  <c r="CB71" i="10"/>
  <c r="AG71" i="10"/>
  <c r="C626" i="10"/>
  <c r="C563" i="10"/>
  <c r="C679" i="10"/>
  <c r="C507" i="10"/>
  <c r="G507" i="10" s="1"/>
  <c r="C542" i="10"/>
  <c r="C631" i="10"/>
  <c r="BJ71" i="10"/>
  <c r="BA71" i="10"/>
  <c r="AJ71" i="10"/>
  <c r="C502" i="10"/>
  <c r="G502" i="10" s="1"/>
  <c r="C674" i="10"/>
  <c r="J787" i="10"/>
  <c r="BD71" i="10"/>
  <c r="L71" i="10"/>
  <c r="T71" i="10"/>
  <c r="O71" i="10"/>
  <c r="AU71" i="10"/>
  <c r="R71" i="10"/>
  <c r="AE71" i="10"/>
  <c r="D52" i="10"/>
  <c r="D67" i="10" s="1"/>
  <c r="BP52" i="10"/>
  <c r="BP67" i="10" s="1"/>
  <c r="M52" i="10"/>
  <c r="M67" i="10" s="1"/>
  <c r="AL52" i="10"/>
  <c r="AL67" i="10" s="1"/>
  <c r="BF52" i="10"/>
  <c r="BF67" i="10" s="1"/>
  <c r="CA52" i="10"/>
  <c r="CA67" i="10" s="1"/>
  <c r="BK52" i="10"/>
  <c r="BK67" i="10" s="1"/>
  <c r="BL52" i="10"/>
  <c r="BL67" i="10" s="1"/>
  <c r="Q52" i="10"/>
  <c r="Q67" i="10" s="1"/>
  <c r="AM71" i="10"/>
  <c r="AX71" i="10"/>
  <c r="AS71" i="10"/>
  <c r="AO71" i="10"/>
  <c r="J747" i="10"/>
  <c r="P71" i="10"/>
  <c r="C684" i="10"/>
  <c r="C512" i="10"/>
  <c r="C702" i="10"/>
  <c r="C530" i="10"/>
  <c r="G530" i="10" s="1"/>
  <c r="C671" i="10"/>
  <c r="C499" i="10"/>
  <c r="G499" i="10" s="1"/>
  <c r="C711" i="10"/>
  <c r="C539" i="10"/>
  <c r="G539" i="10" s="1"/>
  <c r="E734" i="10"/>
  <c r="E815" i="10" s="1"/>
  <c r="CE62" i="10"/>
  <c r="C71" i="10"/>
  <c r="C676" i="10"/>
  <c r="C504" i="10"/>
  <c r="J739" i="10"/>
  <c r="H71" i="10"/>
  <c r="C500" i="10"/>
  <c r="G500" i="10" s="1"/>
  <c r="C672" i="10"/>
  <c r="N816" i="10"/>
  <c r="K612" i="10"/>
  <c r="C465" i="10"/>
  <c r="BB71" i="10"/>
  <c r="C712" i="10" l="1"/>
  <c r="C540" i="10"/>
  <c r="C636" i="10"/>
  <c r="C553" i="10"/>
  <c r="C706" i="10"/>
  <c r="C534" i="10"/>
  <c r="G534" i="10" s="1"/>
  <c r="C630" i="10"/>
  <c r="C546" i="10"/>
  <c r="G515" i="10"/>
  <c r="H515" i="10"/>
  <c r="C634" i="10"/>
  <c r="C554" i="10"/>
  <c r="C632" i="10"/>
  <c r="C547" i="10"/>
  <c r="C685" i="10"/>
  <c r="C513" i="10"/>
  <c r="G513" i="10" s="1"/>
  <c r="C622" i="10"/>
  <c r="C573" i="10"/>
  <c r="G528" i="10"/>
  <c r="H528" i="10" s="1"/>
  <c r="C616" i="10"/>
  <c r="C543" i="10"/>
  <c r="C677" i="10"/>
  <c r="C505" i="10"/>
  <c r="J796" i="10"/>
  <c r="BM71" i="10"/>
  <c r="C668" i="10"/>
  <c r="C496" i="10"/>
  <c r="G496" i="10" s="1"/>
  <c r="C704" i="10"/>
  <c r="C532" i="10"/>
  <c r="G532" i="10" s="1"/>
  <c r="J799" i="10"/>
  <c r="BP71" i="10"/>
  <c r="C549" i="10"/>
  <c r="C624" i="10"/>
  <c r="C670" i="10"/>
  <c r="C498" i="10"/>
  <c r="J752" i="10"/>
  <c r="U71" i="10"/>
  <c r="C642" i="10"/>
  <c r="C567" i="10"/>
  <c r="C562" i="10"/>
  <c r="C623" i="10"/>
  <c r="C646" i="10"/>
  <c r="C571" i="10"/>
  <c r="C697" i="10"/>
  <c r="C525" i="10"/>
  <c r="G525" i="10" s="1"/>
  <c r="C691" i="10"/>
  <c r="C519" i="10"/>
  <c r="G519" i="10" s="1"/>
  <c r="C673" i="10"/>
  <c r="C501" i="10"/>
  <c r="G501" i="10" s="1"/>
  <c r="C699" i="10"/>
  <c r="C527" i="10"/>
  <c r="C508" i="10"/>
  <c r="C680" i="10"/>
  <c r="C564" i="10"/>
  <c r="C639" i="10"/>
  <c r="G504" i="10"/>
  <c r="H504" i="10" s="1"/>
  <c r="C710" i="10"/>
  <c r="C538" i="10"/>
  <c r="G538" i="10" s="1"/>
  <c r="C617" i="10"/>
  <c r="C555" i="10"/>
  <c r="C708" i="10"/>
  <c r="C536" i="10"/>
  <c r="G536" i="10" s="1"/>
  <c r="C705" i="10"/>
  <c r="C533" i="10"/>
  <c r="G533" i="10" s="1"/>
  <c r="J744" i="10"/>
  <c r="M71" i="10"/>
  <c r="C707" i="10"/>
  <c r="C535" i="10"/>
  <c r="G535" i="10" s="1"/>
  <c r="E816" i="10"/>
  <c r="C428" i="10"/>
  <c r="G512" i="10"/>
  <c r="H512" i="10"/>
  <c r="J748" i="10"/>
  <c r="Q71" i="10"/>
  <c r="J735" i="10"/>
  <c r="D71" i="10"/>
  <c r="G518" i="10"/>
  <c r="H518" i="10"/>
  <c r="J779" i="10"/>
  <c r="AV71" i="10"/>
  <c r="D615" i="10"/>
  <c r="G545" i="10"/>
  <c r="H545" i="10"/>
  <c r="J810" i="10"/>
  <c r="CA71" i="10"/>
  <c r="C701" i="10"/>
  <c r="C529" i="10"/>
  <c r="C645" i="10"/>
  <c r="C570" i="10"/>
  <c r="C689" i="10"/>
  <c r="C517" i="10"/>
  <c r="J789" i="10"/>
  <c r="BF71" i="10"/>
  <c r="C698" i="10"/>
  <c r="C526" i="10"/>
  <c r="C694" i="10"/>
  <c r="C522" i="10"/>
  <c r="C640" i="10"/>
  <c r="C565" i="10"/>
  <c r="J769" i="10"/>
  <c r="AL71" i="10"/>
  <c r="J795" i="10"/>
  <c r="BL71" i="10"/>
  <c r="C696" i="10"/>
  <c r="C524" i="10"/>
  <c r="C692" i="10"/>
  <c r="C520" i="10"/>
  <c r="J754" i="10"/>
  <c r="W71" i="10"/>
  <c r="G550" i="10"/>
  <c r="H550" i="10"/>
  <c r="CE52" i="10"/>
  <c r="C693" i="10"/>
  <c r="C521" i="10"/>
  <c r="C681" i="10"/>
  <c r="C509" i="10"/>
  <c r="J794" i="10"/>
  <c r="BK71" i="10"/>
  <c r="C683" i="10"/>
  <c r="C511" i="10"/>
  <c r="C644" i="10"/>
  <c r="C569" i="10"/>
  <c r="J786" i="10"/>
  <c r="BC71" i="10"/>
  <c r="G544" i="10"/>
  <c r="H544" i="10"/>
  <c r="J734" i="10"/>
  <c r="CE67" i="10"/>
  <c r="C675" i="10"/>
  <c r="C503" i="10"/>
  <c r="C620" i="10"/>
  <c r="C574" i="10"/>
  <c r="G522" i="10" l="1"/>
  <c r="H522" i="10"/>
  <c r="J815" i="10"/>
  <c r="C686" i="10"/>
  <c r="C514" i="10"/>
  <c r="G529" i="10"/>
  <c r="H529" i="10" s="1"/>
  <c r="G527" i="10"/>
  <c r="H527" i="10" s="1"/>
  <c r="C713" i="10"/>
  <c r="C541" i="10"/>
  <c r="G498" i="10"/>
  <c r="H498" i="10"/>
  <c r="G511" i="10"/>
  <c r="H511" i="10" s="1"/>
  <c r="G505" i="10"/>
  <c r="H505" i="10" s="1"/>
  <c r="G508" i="10"/>
  <c r="H508" i="10" s="1"/>
  <c r="C637" i="10"/>
  <c r="C557" i="10"/>
  <c r="C678" i="10"/>
  <c r="C506" i="10"/>
  <c r="G506" i="10" s="1"/>
  <c r="C633" i="10"/>
  <c r="C548" i="10"/>
  <c r="H509" i="10"/>
  <c r="G509" i="10"/>
  <c r="C688" i="10"/>
  <c r="C516" i="10"/>
  <c r="C703" i="10"/>
  <c r="C531" i="10"/>
  <c r="G531" i="10" s="1"/>
  <c r="C629" i="10"/>
  <c r="C551" i="10"/>
  <c r="C647" i="10"/>
  <c r="C572" i="10"/>
  <c r="J816" i="10"/>
  <c r="C433" i="10"/>
  <c r="G524" i="10"/>
  <c r="H524" i="10"/>
  <c r="D712" i="10"/>
  <c r="D704" i="10"/>
  <c r="D696" i="10"/>
  <c r="D709" i="10"/>
  <c r="D701" i="10"/>
  <c r="D693" i="10"/>
  <c r="D706" i="10"/>
  <c r="D698" i="10"/>
  <c r="D690" i="10"/>
  <c r="D711" i="10"/>
  <c r="D703" i="10"/>
  <c r="D695" i="10"/>
  <c r="D713" i="10"/>
  <c r="D705" i="10"/>
  <c r="D697" i="10"/>
  <c r="D710" i="10"/>
  <c r="D708" i="10"/>
  <c r="D689" i="10"/>
  <c r="D681" i="10"/>
  <c r="D673" i="10"/>
  <c r="D702" i="10"/>
  <c r="D700" i="10"/>
  <c r="D691" i="10"/>
  <c r="D686" i="10"/>
  <c r="D678" i="10"/>
  <c r="D670" i="10"/>
  <c r="D647" i="10"/>
  <c r="D646" i="10"/>
  <c r="D645" i="10"/>
  <c r="D629" i="10"/>
  <c r="D626" i="10"/>
  <c r="D694" i="10"/>
  <c r="D683" i="10"/>
  <c r="D675" i="10"/>
  <c r="D644" i="10"/>
  <c r="D643" i="10"/>
  <c r="D642" i="10"/>
  <c r="D641" i="10"/>
  <c r="D640" i="10"/>
  <c r="D692" i="10"/>
  <c r="D677" i="10"/>
  <c r="D676" i="10"/>
  <c r="D707" i="10"/>
  <c r="D672" i="10"/>
  <c r="D671" i="10"/>
  <c r="D624" i="10"/>
  <c r="E612" i="10" s="1"/>
  <c r="D688" i="10"/>
  <c r="D687" i="10"/>
  <c r="D685" i="10"/>
  <c r="D621" i="10"/>
  <c r="D716" i="10"/>
  <c r="D634" i="10"/>
  <c r="D632" i="10"/>
  <c r="D630" i="10"/>
  <c r="D628" i="10"/>
  <c r="D625" i="10"/>
  <c r="D620" i="10"/>
  <c r="D679" i="10"/>
  <c r="D668" i="10"/>
  <c r="D638" i="10"/>
  <c r="D636" i="10"/>
  <c r="D619" i="10"/>
  <c r="E623" i="10" s="1"/>
  <c r="D627" i="10"/>
  <c r="D684" i="10"/>
  <c r="D682" i="10"/>
  <c r="D680" i="10"/>
  <c r="D669" i="10"/>
  <c r="D635" i="10"/>
  <c r="D633" i="10"/>
  <c r="D631" i="10"/>
  <c r="D623" i="10"/>
  <c r="D617" i="10"/>
  <c r="D622" i="10"/>
  <c r="D699" i="10"/>
  <c r="D618" i="10"/>
  <c r="D639" i="10"/>
  <c r="D616" i="10"/>
  <c r="D637" i="10"/>
  <c r="D674" i="10"/>
  <c r="G546" i="10"/>
  <c r="H546" i="10"/>
  <c r="C510" i="10"/>
  <c r="C682" i="10"/>
  <c r="C556" i="10"/>
  <c r="C635" i="10"/>
  <c r="G526" i="10"/>
  <c r="H526" i="10" s="1"/>
  <c r="CE71" i="10"/>
  <c r="C716" i="10" s="1"/>
  <c r="C638" i="10"/>
  <c r="C558" i="10"/>
  <c r="G503" i="10"/>
  <c r="H503" i="10" s="1"/>
  <c r="G521" i="10"/>
  <c r="H521" i="10"/>
  <c r="G520" i="10"/>
  <c r="H520" i="10"/>
  <c r="G517" i="10"/>
  <c r="H517" i="10" s="1"/>
  <c r="C441" i="10"/>
  <c r="G540" i="10"/>
  <c r="H540" i="10"/>
  <c r="C669" i="10"/>
  <c r="C497" i="10"/>
  <c r="G497" i="10" s="1"/>
  <c r="C621" i="10"/>
  <c r="C561" i="10"/>
  <c r="E709" i="10" l="1"/>
  <c r="E701" i="10"/>
  <c r="E693" i="10"/>
  <c r="E706" i="10"/>
  <c r="E698" i="10"/>
  <c r="E711" i="10"/>
  <c r="E703" i="10"/>
  <c r="E695" i="10"/>
  <c r="E708" i="10"/>
  <c r="E700" i="10"/>
  <c r="E692" i="10"/>
  <c r="E710" i="10"/>
  <c r="E702" i="10"/>
  <c r="E694" i="10"/>
  <c r="E712" i="10"/>
  <c r="E691" i="10"/>
  <c r="E686" i="10"/>
  <c r="E678" i="10"/>
  <c r="E670" i="10"/>
  <c r="E647" i="10"/>
  <c r="E646" i="10"/>
  <c r="E645" i="10"/>
  <c r="E704" i="10"/>
  <c r="E683" i="10"/>
  <c r="E675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96" i="10"/>
  <c r="E688" i="10"/>
  <c r="E680" i="10"/>
  <c r="E672" i="10"/>
  <c r="E685" i="10"/>
  <c r="E684" i="10"/>
  <c r="E628" i="10"/>
  <c r="E679" i="10"/>
  <c r="E716" i="10"/>
  <c r="E674" i="10"/>
  <c r="E673" i="10"/>
  <c r="E627" i="10"/>
  <c r="E625" i="10"/>
  <c r="E705" i="10"/>
  <c r="E681" i="10"/>
  <c r="E668" i="10"/>
  <c r="E677" i="10"/>
  <c r="E699" i="10"/>
  <c r="E624" i="10"/>
  <c r="E629" i="10"/>
  <c r="E697" i="10"/>
  <c r="E689" i="10"/>
  <c r="E682" i="10"/>
  <c r="E707" i="10"/>
  <c r="E687" i="10"/>
  <c r="E676" i="10"/>
  <c r="E671" i="10"/>
  <c r="E690" i="10"/>
  <c r="E626" i="10"/>
  <c r="E713" i="10"/>
  <c r="E669" i="10"/>
  <c r="G514" i="10"/>
  <c r="H514" i="10" s="1"/>
  <c r="F624" i="10"/>
  <c r="G510" i="10"/>
  <c r="H510" i="10"/>
  <c r="G516" i="10"/>
  <c r="H516" i="10" s="1"/>
  <c r="D715" i="10"/>
  <c r="C648" i="10"/>
  <c r="M716" i="10" s="1"/>
  <c r="Y816" i="10" s="1"/>
  <c r="C715" i="10"/>
  <c r="E715" i="10" l="1"/>
  <c r="F706" i="10"/>
  <c r="F698" i="10"/>
  <c r="F711" i="10"/>
  <c r="F703" i="10"/>
  <c r="F695" i="10"/>
  <c r="F708" i="10"/>
  <c r="F700" i="10"/>
  <c r="F692" i="10"/>
  <c r="F713" i="10"/>
  <c r="F705" i="10"/>
  <c r="F697" i="10"/>
  <c r="F689" i="10"/>
  <c r="F716" i="10"/>
  <c r="F707" i="10"/>
  <c r="F699" i="10"/>
  <c r="F691" i="10"/>
  <c r="F704" i="10"/>
  <c r="F702" i="10"/>
  <c r="F683" i="10"/>
  <c r="F67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96" i="10"/>
  <c r="F694" i="10"/>
  <c r="F688" i="10"/>
  <c r="F680" i="10"/>
  <c r="F672" i="10"/>
  <c r="F685" i="10"/>
  <c r="F677" i="10"/>
  <c r="F669" i="10"/>
  <c r="F690" i="10"/>
  <c r="F671" i="10"/>
  <c r="F670" i="10"/>
  <c r="F626" i="10"/>
  <c r="F710" i="10"/>
  <c r="F687" i="10"/>
  <c r="F686" i="10"/>
  <c r="F629" i="10"/>
  <c r="F709" i="10"/>
  <c r="F682" i="10"/>
  <c r="F681" i="10"/>
  <c r="F647" i="10"/>
  <c r="F630" i="10"/>
  <c r="F625" i="10"/>
  <c r="F701" i="10"/>
  <c r="F668" i="10"/>
  <c r="F646" i="10"/>
  <c r="F628" i="10"/>
  <c r="F679" i="10"/>
  <c r="F627" i="10"/>
  <c r="F673" i="10"/>
  <c r="F645" i="10"/>
  <c r="F693" i="10"/>
  <c r="F678" i="10"/>
  <c r="F676" i="10"/>
  <c r="F684" i="10"/>
  <c r="F674" i="10"/>
  <c r="F631" i="10"/>
  <c r="F712" i="10"/>
  <c r="F715" i="10" l="1"/>
  <c r="G625" i="10"/>
  <c r="G711" i="10" l="1"/>
  <c r="G703" i="10"/>
  <c r="G695" i="10"/>
  <c r="G708" i="10"/>
  <c r="G700" i="10"/>
  <c r="G713" i="10"/>
  <c r="G705" i="10"/>
  <c r="G697" i="10"/>
  <c r="G710" i="10"/>
  <c r="G702" i="10"/>
  <c r="G694" i="10"/>
  <c r="G712" i="10"/>
  <c r="G704" i="10"/>
  <c r="G696" i="10"/>
  <c r="G706" i="10"/>
  <c r="G688" i="10"/>
  <c r="G680" i="10"/>
  <c r="G672" i="10"/>
  <c r="G698" i="10"/>
  <c r="G685" i="10"/>
  <c r="G677" i="10"/>
  <c r="G669" i="10"/>
  <c r="G627" i="10"/>
  <c r="G716" i="10"/>
  <c r="G692" i="10"/>
  <c r="G682" i="10"/>
  <c r="G674" i="10"/>
  <c r="G707" i="10"/>
  <c r="G701" i="10"/>
  <c r="G679" i="10"/>
  <c r="G678" i="10"/>
  <c r="G646" i="10"/>
  <c r="G643" i="10"/>
  <c r="G637" i="10"/>
  <c r="G633" i="10"/>
  <c r="G673" i="10"/>
  <c r="G641" i="10"/>
  <c r="G638" i="10"/>
  <c r="G634" i="10"/>
  <c r="G691" i="10"/>
  <c r="G668" i="10"/>
  <c r="G639" i="10"/>
  <c r="G635" i="10"/>
  <c r="G631" i="10"/>
  <c r="G683" i="10"/>
  <c r="G681" i="10"/>
  <c r="G670" i="10"/>
  <c r="G632" i="10"/>
  <c r="G630" i="10"/>
  <c r="G636" i="10"/>
  <c r="G709" i="10"/>
  <c r="G699" i="10"/>
  <c r="G675" i="10"/>
  <c r="G645" i="10"/>
  <c r="G690" i="10"/>
  <c r="G686" i="10"/>
  <c r="G684" i="10"/>
  <c r="G671" i="10"/>
  <c r="G640" i="10"/>
  <c r="G676" i="10"/>
  <c r="G626" i="10"/>
  <c r="G642" i="10"/>
  <c r="G687" i="10"/>
  <c r="G647" i="10"/>
  <c r="G629" i="10"/>
  <c r="G693" i="10"/>
  <c r="G628" i="10"/>
  <c r="G644" i="10"/>
  <c r="G689" i="10"/>
  <c r="G715" i="10" l="1"/>
  <c r="H628" i="10"/>
  <c r="H708" i="10" l="1"/>
  <c r="H700" i="10"/>
  <c r="H692" i="10"/>
  <c r="H713" i="10"/>
  <c r="H705" i="10"/>
  <c r="H697" i="10"/>
  <c r="H710" i="10"/>
  <c r="H702" i="10"/>
  <c r="H694" i="10"/>
  <c r="H716" i="10"/>
  <c r="H707" i="10"/>
  <c r="H699" i="10"/>
  <c r="H691" i="10"/>
  <c r="H709" i="10"/>
  <c r="H701" i="10"/>
  <c r="H693" i="10"/>
  <c r="H698" i="10"/>
  <c r="H696" i="10"/>
  <c r="H685" i="10"/>
  <c r="H677" i="10"/>
  <c r="H669" i="10"/>
  <c r="H682" i="10"/>
  <c r="H674" i="10"/>
  <c r="H687" i="10"/>
  <c r="H679" i="10"/>
  <c r="H671" i="10"/>
  <c r="H695" i="10"/>
  <c r="H686" i="10"/>
  <c r="H629" i="10"/>
  <c r="H681" i="10"/>
  <c r="H680" i="10"/>
  <c r="H647" i="10"/>
  <c r="H644" i="10"/>
  <c r="H630" i="10"/>
  <c r="H712" i="10"/>
  <c r="H706" i="10"/>
  <c r="H689" i="10"/>
  <c r="H676" i="10"/>
  <c r="H675" i="10"/>
  <c r="H645" i="10"/>
  <c r="H642" i="10"/>
  <c r="H636" i="10"/>
  <c r="H634" i="10"/>
  <c r="H643" i="10"/>
  <c r="H638" i="10"/>
  <c r="H690" i="10"/>
  <c r="H688" i="10"/>
  <c r="H684" i="10"/>
  <c r="H673" i="10"/>
  <c r="H640" i="10"/>
  <c r="H704" i="10"/>
  <c r="H631" i="10"/>
  <c r="H678" i="10"/>
  <c r="H639" i="10"/>
  <c r="H637" i="10"/>
  <c r="H711" i="10"/>
  <c r="H683" i="10"/>
  <c r="H668" i="10"/>
  <c r="H635" i="10"/>
  <c r="H641" i="10"/>
  <c r="H672" i="10"/>
  <c r="H703" i="10"/>
  <c r="H646" i="10"/>
  <c r="H633" i="10"/>
  <c r="H670" i="10"/>
  <c r="H632" i="10"/>
  <c r="H715" i="10" l="1"/>
  <c r="I629" i="10"/>
  <c r="I713" i="10" l="1"/>
  <c r="I705" i="10"/>
  <c r="I697" i="10"/>
  <c r="I710" i="10"/>
  <c r="I702" i="10"/>
  <c r="I694" i="10"/>
  <c r="I716" i="10"/>
  <c r="I707" i="10"/>
  <c r="I699" i="10"/>
  <c r="I691" i="10"/>
  <c r="I712" i="10"/>
  <c r="I704" i="10"/>
  <c r="I696" i="10"/>
  <c r="I706" i="10"/>
  <c r="I698" i="10"/>
  <c r="I690" i="10"/>
  <c r="I700" i="10"/>
  <c r="I682" i="10"/>
  <c r="I674" i="10"/>
  <c r="I692" i="10"/>
  <c r="I687" i="10"/>
  <c r="I679" i="10"/>
  <c r="I671" i="10"/>
  <c r="I711" i="10"/>
  <c r="I709" i="10"/>
  <c r="I684" i="10"/>
  <c r="I676" i="10"/>
  <c r="I668" i="10"/>
  <c r="I673" i="10"/>
  <c r="I672" i="10"/>
  <c r="I641" i="10"/>
  <c r="I638" i="10"/>
  <c r="I634" i="10"/>
  <c r="I703" i="10"/>
  <c r="I688" i="10"/>
  <c r="I639" i="10"/>
  <c r="I635" i="10"/>
  <c r="I631" i="10"/>
  <c r="I693" i="10"/>
  <c r="I683" i="10"/>
  <c r="I636" i="10"/>
  <c r="I632" i="10"/>
  <c r="I643" i="10"/>
  <c r="I695" i="10"/>
  <c r="I677" i="10"/>
  <c r="I675" i="10"/>
  <c r="I645" i="10"/>
  <c r="I640" i="10"/>
  <c r="I686" i="10"/>
  <c r="I669" i="10"/>
  <c r="I647" i="10"/>
  <c r="I642" i="10"/>
  <c r="I633" i="10"/>
  <c r="I708" i="10"/>
  <c r="I689" i="10"/>
  <c r="I644" i="10"/>
  <c r="I630" i="10"/>
  <c r="I670" i="10"/>
  <c r="I646" i="10"/>
  <c r="I680" i="10"/>
  <c r="I681" i="10"/>
  <c r="I678" i="10"/>
  <c r="I685" i="10"/>
  <c r="I637" i="10"/>
  <c r="I701" i="10"/>
  <c r="I715" i="10" l="1"/>
  <c r="J630" i="10"/>
  <c r="J710" i="10" l="1"/>
  <c r="J702" i="10"/>
  <c r="J694" i="10"/>
  <c r="J716" i="10"/>
  <c r="J707" i="10"/>
  <c r="J699" i="10"/>
  <c r="J712" i="10"/>
  <c r="J704" i="10"/>
  <c r="J696" i="10"/>
  <c r="J709" i="10"/>
  <c r="J701" i="10"/>
  <c r="J693" i="10"/>
  <c r="J711" i="10"/>
  <c r="J703" i="10"/>
  <c r="J695" i="10"/>
  <c r="J692" i="10"/>
  <c r="J687" i="10"/>
  <c r="J679" i="10"/>
  <c r="J671" i="10"/>
  <c r="J684" i="10"/>
  <c r="J676" i="10"/>
  <c r="J668" i="10"/>
  <c r="J713" i="10"/>
  <c r="J681" i="10"/>
  <c r="J673" i="10"/>
  <c r="J698" i="10"/>
  <c r="J680" i="10"/>
  <c r="J647" i="10"/>
  <c r="J644" i="10"/>
  <c r="J697" i="10"/>
  <c r="J689" i="10"/>
  <c r="J675" i="10"/>
  <c r="J674" i="10"/>
  <c r="J645" i="10"/>
  <c r="J642" i="10"/>
  <c r="J670" i="10"/>
  <c r="J669" i="10"/>
  <c r="J640" i="10"/>
  <c r="J705" i="10"/>
  <c r="J691" i="10"/>
  <c r="J677" i="10"/>
  <c r="J638" i="10"/>
  <c r="J700" i="10"/>
  <c r="J690" i="10"/>
  <c r="J688" i="10"/>
  <c r="J686" i="10"/>
  <c r="J633" i="10"/>
  <c r="J631" i="10"/>
  <c r="J715" i="10" s="1"/>
  <c r="J682" i="10"/>
  <c r="J678" i="10"/>
  <c r="J637" i="10"/>
  <c r="J635" i="10"/>
  <c r="J646" i="10"/>
  <c r="J641" i="10"/>
  <c r="J708" i="10"/>
  <c r="J672" i="10"/>
  <c r="J632" i="10"/>
  <c r="J639" i="10"/>
  <c r="J634" i="10"/>
  <c r="J683" i="10"/>
  <c r="J636" i="10"/>
  <c r="J706" i="10"/>
  <c r="J685" i="10"/>
  <c r="J643" i="10"/>
  <c r="K644" i="10" l="1"/>
  <c r="L647" i="10"/>
  <c r="L712" i="10" l="1"/>
  <c r="L704" i="10"/>
  <c r="L696" i="10"/>
  <c r="L709" i="10"/>
  <c r="L701" i="10"/>
  <c r="L693" i="10"/>
  <c r="M693" i="10" s="1"/>
  <c r="Y759" i="10" s="1"/>
  <c r="L706" i="10"/>
  <c r="M706" i="10" s="1"/>
  <c r="Y772" i="10" s="1"/>
  <c r="L698" i="10"/>
  <c r="M698" i="10" s="1"/>
  <c r="Y764" i="10" s="1"/>
  <c r="L690" i="10"/>
  <c r="L711" i="10"/>
  <c r="L703" i="10"/>
  <c r="L695" i="10"/>
  <c r="M695" i="10" s="1"/>
  <c r="Y761" i="10" s="1"/>
  <c r="L713" i="10"/>
  <c r="M713" i="10" s="1"/>
  <c r="Y779" i="10" s="1"/>
  <c r="L705" i="10"/>
  <c r="L697" i="10"/>
  <c r="M697" i="10" s="1"/>
  <c r="Y763" i="10" s="1"/>
  <c r="L681" i="10"/>
  <c r="M681" i="10" s="1"/>
  <c r="Y747" i="10" s="1"/>
  <c r="L673" i="10"/>
  <c r="L716" i="10"/>
  <c r="L689" i="10"/>
  <c r="L686" i="10"/>
  <c r="M686" i="10" s="1"/>
  <c r="Y752" i="10" s="1"/>
  <c r="L678" i="10"/>
  <c r="M678" i="10" s="1"/>
  <c r="Y744" i="10" s="1"/>
  <c r="L670" i="10"/>
  <c r="L707" i="10"/>
  <c r="M707" i="10" s="1"/>
  <c r="Y773" i="10" s="1"/>
  <c r="L683" i="10"/>
  <c r="L675" i="10"/>
  <c r="L710" i="10"/>
  <c r="L674" i="10"/>
  <c r="L700" i="10"/>
  <c r="L694" i="10"/>
  <c r="L691" i="10"/>
  <c r="M691" i="10" s="1"/>
  <c r="Y757" i="10" s="1"/>
  <c r="L669" i="10"/>
  <c r="L668" i="10"/>
  <c r="L699" i="10"/>
  <c r="L685" i="10"/>
  <c r="L684" i="10"/>
  <c r="M684" i="10" s="1"/>
  <c r="Y750" i="10" s="1"/>
  <c r="L688" i="10"/>
  <c r="L671" i="10"/>
  <c r="L682" i="10"/>
  <c r="M682" i="10" s="1"/>
  <c r="Y748" i="10" s="1"/>
  <c r="L680" i="10"/>
  <c r="M680" i="10" s="1"/>
  <c r="Y746" i="10" s="1"/>
  <c r="L708" i="10"/>
  <c r="M708" i="10" s="1"/>
  <c r="Y774" i="10" s="1"/>
  <c r="L702" i="10"/>
  <c r="L687" i="10"/>
  <c r="L672" i="10"/>
  <c r="L677" i="10"/>
  <c r="M677" i="10" s="1"/>
  <c r="Y743" i="10" s="1"/>
  <c r="L676" i="10"/>
  <c r="M676" i="10" s="1"/>
  <c r="Y742" i="10" s="1"/>
  <c r="L692" i="10"/>
  <c r="L679" i="10"/>
  <c r="M679" i="10" s="1"/>
  <c r="Y745" i="10" s="1"/>
  <c r="K716" i="10"/>
  <c r="K707" i="10"/>
  <c r="K699" i="10"/>
  <c r="K691" i="10"/>
  <c r="K712" i="10"/>
  <c r="K704" i="10"/>
  <c r="K696" i="10"/>
  <c r="K709" i="10"/>
  <c r="K701" i="10"/>
  <c r="K693" i="10"/>
  <c r="K706" i="10"/>
  <c r="K698" i="10"/>
  <c r="K690" i="10"/>
  <c r="K708" i="10"/>
  <c r="K700" i="10"/>
  <c r="K692" i="10"/>
  <c r="K694" i="10"/>
  <c r="K684" i="10"/>
  <c r="K676" i="10"/>
  <c r="K668" i="10"/>
  <c r="K713" i="10"/>
  <c r="K711" i="10"/>
  <c r="K681" i="10"/>
  <c r="K673" i="10"/>
  <c r="K705" i="10"/>
  <c r="K703" i="10"/>
  <c r="K689" i="10"/>
  <c r="K686" i="10"/>
  <c r="K678" i="10"/>
  <c r="K670" i="10"/>
  <c r="K688" i="10"/>
  <c r="K687" i="10"/>
  <c r="K683" i="10"/>
  <c r="K682" i="10"/>
  <c r="K677" i="10"/>
  <c r="K695" i="10"/>
  <c r="K679" i="10"/>
  <c r="K675" i="10"/>
  <c r="K710" i="10"/>
  <c r="K671" i="10"/>
  <c r="K669" i="10"/>
  <c r="K680" i="10"/>
  <c r="K697" i="10"/>
  <c r="K685" i="10"/>
  <c r="K674" i="10"/>
  <c r="K672" i="10"/>
  <c r="K702" i="10"/>
  <c r="M692" i="10" l="1"/>
  <c r="Y758" i="10" s="1"/>
  <c r="M670" i="10"/>
  <c r="Y736" i="10" s="1"/>
  <c r="M705" i="10"/>
  <c r="Y771" i="10" s="1"/>
  <c r="M683" i="10"/>
  <c r="Y749" i="10" s="1"/>
  <c r="M700" i="10"/>
  <c r="Y766" i="10" s="1"/>
  <c r="K715" i="10"/>
  <c r="M672" i="10"/>
  <c r="Y738" i="10" s="1"/>
  <c r="M674" i="10"/>
  <c r="Y740" i="10" s="1"/>
  <c r="M689" i="10"/>
  <c r="Y755" i="10" s="1"/>
  <c r="M703" i="10"/>
  <c r="Y769" i="10" s="1"/>
  <c r="M696" i="10"/>
  <c r="Y762" i="10" s="1"/>
  <c r="L715" i="10"/>
  <c r="M668" i="10"/>
  <c r="M688" i="10"/>
  <c r="Y754" i="10" s="1"/>
  <c r="M687" i="10"/>
  <c r="Y753" i="10" s="1"/>
  <c r="M685" i="10"/>
  <c r="Y751" i="10" s="1"/>
  <c r="M710" i="10"/>
  <c r="Y776" i="10" s="1"/>
  <c r="M711" i="10"/>
  <c r="Y777" i="10" s="1"/>
  <c r="M704" i="10"/>
  <c r="Y770" i="10" s="1"/>
  <c r="M669" i="10"/>
  <c r="Y735" i="10" s="1"/>
  <c r="M671" i="10"/>
  <c r="Y737" i="10" s="1"/>
  <c r="M694" i="10"/>
  <c r="Y760" i="10" s="1"/>
  <c r="M701" i="10"/>
  <c r="Y767" i="10" s="1"/>
  <c r="M709" i="10"/>
  <c r="Y775" i="10" s="1"/>
  <c r="M702" i="10"/>
  <c r="Y768" i="10" s="1"/>
  <c r="M699" i="10"/>
  <c r="Y765" i="10" s="1"/>
  <c r="M675" i="10"/>
  <c r="Y741" i="10" s="1"/>
  <c r="M673" i="10"/>
  <c r="Y739" i="10" s="1"/>
  <c r="M690" i="10"/>
  <c r="Y756" i="10" s="1"/>
  <c r="M712" i="10"/>
  <c r="Y778" i="10" s="1"/>
  <c r="M715" i="10" l="1"/>
  <c r="Y734" i="10"/>
  <c r="Y815" i="10" s="1"/>
  <c r="C171" i="1" l="1"/>
  <c r="L80" i="1" l="1"/>
  <c r="K80" i="1"/>
  <c r="AJ80" i="1"/>
  <c r="AI80" i="1" l="1"/>
  <c r="AG80" i="1"/>
  <c r="Q80" i="1"/>
  <c r="P80" i="1"/>
  <c r="E80" i="1"/>
  <c r="C327" i="1"/>
  <c r="C325" i="1"/>
  <c r="C238" i="1"/>
  <c r="F493" i="1" l="1"/>
  <c r="D493" i="1"/>
  <c r="B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A493" i="1" l="1"/>
  <c r="C115" i="8"/>
  <c r="C444" i="1"/>
  <c r="D367" i="1"/>
  <c r="C448" i="1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F515" i="1" s="1"/>
  <c r="D514" i="1"/>
  <c r="D511" i="1"/>
  <c r="F511" i="1" s="1"/>
  <c r="D510" i="1"/>
  <c r="D509" i="1"/>
  <c r="D508" i="1"/>
  <c r="D507" i="1"/>
  <c r="D506" i="1"/>
  <c r="D505" i="1"/>
  <c r="F505" i="1" s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E63" i="1"/>
  <c r="I365" i="9" s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D186" i="9" s="1"/>
  <c r="AI75" i="1"/>
  <c r="G154" i="9" s="1"/>
  <c r="AH75" i="1"/>
  <c r="F154" i="9" s="1"/>
  <c r="AF75" i="1"/>
  <c r="D154" i="9" s="1"/>
  <c r="AD75" i="1"/>
  <c r="I122" i="9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N75" i="1"/>
  <c r="G58" i="9" s="1"/>
  <c r="M75" i="1"/>
  <c r="F58" i="9" s="1"/>
  <c r="L75" i="1"/>
  <c r="E58" i="9" s="1"/>
  <c r="I75" i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CE73" i="1"/>
  <c r="CE74" i="1"/>
  <c r="C75" i="1"/>
  <c r="C26" i="9" s="1"/>
  <c r="CE80" i="1"/>
  <c r="CE78" i="1"/>
  <c r="I612" i="1" s="1"/>
  <c r="CE69" i="1"/>
  <c r="I371" i="9" s="1"/>
  <c r="D361" i="1"/>
  <c r="D372" i="1"/>
  <c r="C125" i="8" s="1"/>
  <c r="D260" i="1"/>
  <c r="D265" i="1"/>
  <c r="D275" i="1"/>
  <c r="D277" i="1" s="1"/>
  <c r="C35" i="8" s="1"/>
  <c r="D290" i="1"/>
  <c r="D314" i="1"/>
  <c r="D319" i="1"/>
  <c r="C74" i="8" s="1"/>
  <c r="D328" i="1"/>
  <c r="D329" i="1"/>
  <c r="C85" i="8" s="1"/>
  <c r="D229" i="1"/>
  <c r="D236" i="1"/>
  <c r="D240" i="1"/>
  <c r="E209" i="1"/>
  <c r="F24" i="6" s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E196" i="1"/>
  <c r="E197" i="1"/>
  <c r="C470" i="1" s="1"/>
  <c r="E198" i="1"/>
  <c r="E199" i="1"/>
  <c r="C472" i="1" s="1"/>
  <c r="E200" i="1"/>
  <c r="E201" i="1"/>
  <c r="E202" i="1"/>
  <c r="C474" i="1" s="1"/>
  <c r="E203" i="1"/>
  <c r="D204" i="1"/>
  <c r="B204" i="1"/>
  <c r="D190" i="1"/>
  <c r="D437" i="1" s="1"/>
  <c r="D186" i="1"/>
  <c r="D436" i="1" s="1"/>
  <c r="D181" i="1"/>
  <c r="D177" i="1"/>
  <c r="C20" i="5" s="1"/>
  <c r="E154" i="1"/>
  <c r="E153" i="1"/>
  <c r="E152" i="1"/>
  <c r="E151" i="1"/>
  <c r="C28" i="4" s="1"/>
  <c r="E150" i="1"/>
  <c r="E148" i="1"/>
  <c r="G19" i="4" s="1"/>
  <c r="E147" i="1"/>
  <c r="E146" i="1"/>
  <c r="D19" i="4" s="1"/>
  <c r="E145" i="1"/>
  <c r="C19" i="4" s="1"/>
  <c r="E144" i="1"/>
  <c r="E141" i="1"/>
  <c r="E140" i="1"/>
  <c r="D10" i="4" s="1"/>
  <c r="E139" i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C475" i="1"/>
  <c r="B475" i="1"/>
  <c r="B474" i="1"/>
  <c r="B473" i="1"/>
  <c r="B472" i="1"/>
  <c r="B471" i="1"/>
  <c r="B470" i="1"/>
  <c r="B469" i="1"/>
  <c r="B468" i="1"/>
  <c r="D463" i="1"/>
  <c r="B465" i="1"/>
  <c r="B464" i="1"/>
  <c r="B463" i="1"/>
  <c r="C459" i="1"/>
  <c r="B459" i="1"/>
  <c r="B458" i="1"/>
  <c r="B455" i="1"/>
  <c r="B454" i="1"/>
  <c r="B453" i="1"/>
  <c r="C447" i="1"/>
  <c r="B447" i="1"/>
  <c r="C446" i="1"/>
  <c r="C445" i="1"/>
  <c r="B445" i="1"/>
  <c r="C440" i="1"/>
  <c r="C429" i="1"/>
  <c r="C431" i="1"/>
  <c r="C432" i="1"/>
  <c r="C434" i="1"/>
  <c r="B438" i="1"/>
  <c r="B439" i="1"/>
  <c r="B440" i="1" s="1"/>
  <c r="C439" i="1"/>
  <c r="C438" i="1"/>
  <c r="B437" i="1"/>
  <c r="B436" i="1"/>
  <c r="D435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F15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C16" i="8"/>
  <c r="C473" i="1"/>
  <c r="F12" i="6"/>
  <c r="C469" i="1"/>
  <c r="F8" i="6"/>
  <c r="I377" i="9"/>
  <c r="C464" i="1"/>
  <c r="I26" i="9"/>
  <c r="H58" i="9"/>
  <c r="F90" i="9"/>
  <c r="D366" i="9"/>
  <c r="CE64" i="1"/>
  <c r="F612" i="1" s="1"/>
  <c r="D368" i="9"/>
  <c r="C276" i="9"/>
  <c r="CE70" i="1"/>
  <c r="C458" i="1" s="1"/>
  <c r="CE76" i="1"/>
  <c r="CE77" i="1"/>
  <c r="CF77" i="1" s="1"/>
  <c r="I29" i="9"/>
  <c r="C95" i="9"/>
  <c r="CE79" i="1"/>
  <c r="J612" i="1" s="1"/>
  <c r="E142" i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CD71" i="1"/>
  <c r="C575" i="1" s="1"/>
  <c r="C615" i="1"/>
  <c r="E372" i="9"/>
  <c r="G10" i="4"/>
  <c r="F10" i="4"/>
  <c r="F499" i="1"/>
  <c r="F517" i="1"/>
  <c r="H501" i="1"/>
  <c r="F501" i="1"/>
  <c r="F497" i="1"/>
  <c r="H497" i="1"/>
  <c r="H499" i="1"/>
  <c r="I381" i="9" l="1"/>
  <c r="F11" i="6"/>
  <c r="G28" i="4"/>
  <c r="I382" i="9"/>
  <c r="G122" i="9"/>
  <c r="C421" i="1"/>
  <c r="I366" i="9"/>
  <c r="B10" i="4"/>
  <c r="F28" i="4"/>
  <c r="F9" i="6"/>
  <c r="AE48" i="1"/>
  <c r="AE62" i="1" s="1"/>
  <c r="I380" i="9"/>
  <c r="E373" i="9"/>
  <c r="I372" i="9"/>
  <c r="C141" i="8"/>
  <c r="C119" i="8"/>
  <c r="D368" i="1"/>
  <c r="C120" i="8" s="1"/>
  <c r="D330" i="1"/>
  <c r="C86" i="8" s="1"/>
  <c r="D5" i="7"/>
  <c r="C34" i="5"/>
  <c r="D428" i="1"/>
  <c r="G612" i="1"/>
  <c r="CF76" i="1"/>
  <c r="Q52" i="1" s="1"/>
  <c r="Q67" i="1" s="1"/>
  <c r="D612" i="1"/>
  <c r="E26" i="9"/>
  <c r="C218" i="9"/>
  <c r="I90" i="9"/>
  <c r="C430" i="1"/>
  <c r="BO48" i="1"/>
  <c r="BO62" i="1" s="1"/>
  <c r="D300" i="9" s="1"/>
  <c r="R48" i="1"/>
  <c r="R62" i="1" s="1"/>
  <c r="AT48" i="1"/>
  <c r="AT62" i="1" s="1"/>
  <c r="D204" i="9" s="1"/>
  <c r="BE48" i="1"/>
  <c r="BE62" i="1" s="1"/>
  <c r="H236" i="9" s="1"/>
  <c r="C48" i="1"/>
  <c r="C62" i="1" s="1"/>
  <c r="C12" i="9" s="1"/>
  <c r="D48" i="1"/>
  <c r="D62" i="1" s="1"/>
  <c r="AJ48" i="1"/>
  <c r="AJ62" i="1" s="1"/>
  <c r="BC48" i="1"/>
  <c r="BC62" i="1" s="1"/>
  <c r="F236" i="9" s="1"/>
  <c r="I363" i="9"/>
  <c r="AS48" i="1"/>
  <c r="AS62" i="1" s="1"/>
  <c r="BH48" i="1"/>
  <c r="BH62" i="1" s="1"/>
  <c r="U48" i="1"/>
  <c r="U62" i="1" s="1"/>
  <c r="G76" i="9" s="1"/>
  <c r="BT48" i="1"/>
  <c r="BT62" i="1" s="1"/>
  <c r="K48" i="1"/>
  <c r="K62" i="1" s="1"/>
  <c r="AV48" i="1"/>
  <c r="AV62" i="1" s="1"/>
  <c r="BZ48" i="1"/>
  <c r="BZ62" i="1" s="1"/>
  <c r="H332" i="9" s="1"/>
  <c r="N48" i="1"/>
  <c r="N62" i="1" s="1"/>
  <c r="CB48" i="1"/>
  <c r="CB62" i="1" s="1"/>
  <c r="C364" i="9" s="1"/>
  <c r="S48" i="1"/>
  <c r="S62" i="1" s="1"/>
  <c r="H140" i="9"/>
  <c r="V48" i="1"/>
  <c r="V62" i="1" s="1"/>
  <c r="AL48" i="1"/>
  <c r="AL62" i="1" s="1"/>
  <c r="C172" i="9" s="1"/>
  <c r="AX48" i="1"/>
  <c r="AX62" i="1" s="1"/>
  <c r="BJ48" i="1"/>
  <c r="BJ62" i="1" s="1"/>
  <c r="BV48" i="1"/>
  <c r="BV62" i="1" s="1"/>
  <c r="D332" i="9" s="1"/>
  <c r="AA48" i="1"/>
  <c r="AA62" i="1" s="1"/>
  <c r="F108" i="9" s="1"/>
  <c r="Q48" i="1"/>
  <c r="Q62" i="1" s="1"/>
  <c r="M48" i="1"/>
  <c r="M62" i="1" s="1"/>
  <c r="H48" i="1"/>
  <c r="H62" i="1" s="1"/>
  <c r="I362" i="9"/>
  <c r="BL48" i="1"/>
  <c r="BL62" i="1" s="1"/>
  <c r="H268" i="9" s="1"/>
  <c r="BW48" i="1"/>
  <c r="BW62" i="1" s="1"/>
  <c r="Y48" i="1"/>
  <c r="Y62" i="1" s="1"/>
  <c r="BM48" i="1"/>
  <c r="BM62" i="1" s="1"/>
  <c r="I268" i="9" s="1"/>
  <c r="AK48" i="1"/>
  <c r="AK62" i="1" s="1"/>
  <c r="BS48" i="1"/>
  <c r="BS62" i="1" s="1"/>
  <c r="L48" i="1"/>
  <c r="L62" i="1" s="1"/>
  <c r="W48" i="1"/>
  <c r="W62" i="1" s="1"/>
  <c r="Z48" i="1"/>
  <c r="Z62" i="1" s="1"/>
  <c r="E108" i="9" s="1"/>
  <c r="AN48" i="1"/>
  <c r="AN62" i="1" s="1"/>
  <c r="AZ48" i="1"/>
  <c r="AZ62" i="1" s="1"/>
  <c r="BN48" i="1"/>
  <c r="BN62" i="1" s="1"/>
  <c r="C300" i="9" s="1"/>
  <c r="BX48" i="1"/>
  <c r="BX62" i="1" s="1"/>
  <c r="AI48" i="1"/>
  <c r="AI62" i="1" s="1"/>
  <c r="AG48" i="1"/>
  <c r="AG62" i="1" s="1"/>
  <c r="C427" i="1"/>
  <c r="P48" i="1"/>
  <c r="P62" i="1" s="1"/>
  <c r="F48" i="1"/>
  <c r="F62" i="1" s="1"/>
  <c r="AD48" i="1"/>
  <c r="AD62" i="1" s="1"/>
  <c r="I108" i="9" s="1"/>
  <c r="AP48" i="1"/>
  <c r="AP62" i="1" s="1"/>
  <c r="G172" i="9" s="1"/>
  <c r="BB48" i="1"/>
  <c r="BB62" i="1" s="1"/>
  <c r="E236" i="9" s="1"/>
  <c r="BY48" i="1"/>
  <c r="BY62" i="1" s="1"/>
  <c r="AQ48" i="1"/>
  <c r="AQ62" i="1" s="1"/>
  <c r="CC48" i="1"/>
  <c r="CC62" i="1" s="1"/>
  <c r="BU48" i="1"/>
  <c r="BU62" i="1" s="1"/>
  <c r="BA48" i="1"/>
  <c r="BA62" i="1" s="1"/>
  <c r="D236" i="9" s="1"/>
  <c r="BI48" i="1"/>
  <c r="BI62" i="1" s="1"/>
  <c r="AU48" i="1"/>
  <c r="AU62" i="1" s="1"/>
  <c r="T48" i="1"/>
  <c r="T62" i="1" s="1"/>
  <c r="AF48" i="1"/>
  <c r="AF62" i="1" s="1"/>
  <c r="BD48" i="1"/>
  <c r="BD62" i="1" s="1"/>
  <c r="G236" i="9" s="1"/>
  <c r="BP48" i="1"/>
  <c r="BP62" i="1" s="1"/>
  <c r="CA48" i="1"/>
  <c r="CA62" i="1" s="1"/>
  <c r="AY48" i="1"/>
  <c r="AY62" i="1" s="1"/>
  <c r="AO48" i="1"/>
  <c r="AO62" i="1" s="1"/>
  <c r="BQ48" i="1"/>
  <c r="BQ62" i="1" s="1"/>
  <c r="AM48" i="1"/>
  <c r="AM62" i="1" s="1"/>
  <c r="AC48" i="1"/>
  <c r="AC62" i="1" s="1"/>
  <c r="H108" i="9" s="1"/>
  <c r="X48" i="1"/>
  <c r="X62" i="1" s="1"/>
  <c r="J48" i="1"/>
  <c r="J62" i="1" s="1"/>
  <c r="AH48" i="1"/>
  <c r="AH62" i="1" s="1"/>
  <c r="AR48" i="1"/>
  <c r="AR62" i="1" s="1"/>
  <c r="BF48" i="1"/>
  <c r="BF62" i="1" s="1"/>
  <c r="BR48" i="1"/>
  <c r="BR62" i="1" s="1"/>
  <c r="BG48" i="1"/>
  <c r="BG62" i="1" s="1"/>
  <c r="I48" i="1"/>
  <c r="I62" i="1" s="1"/>
  <c r="AW48" i="1"/>
  <c r="AW62" i="1" s="1"/>
  <c r="G204" i="9" s="1"/>
  <c r="E48" i="1"/>
  <c r="E62" i="1" s="1"/>
  <c r="O48" i="1"/>
  <c r="O62" i="1" s="1"/>
  <c r="H44" i="9" s="1"/>
  <c r="G48" i="1"/>
  <c r="G62" i="1" s="1"/>
  <c r="G12" i="9" s="1"/>
  <c r="AB48" i="1"/>
  <c r="AB62" i="1" s="1"/>
  <c r="D76" i="9"/>
  <c r="F204" i="9"/>
  <c r="C140" i="9"/>
  <c r="B446" i="1"/>
  <c r="D242" i="1"/>
  <c r="C418" i="1"/>
  <c r="D438" i="1"/>
  <c r="F14" i="6"/>
  <c r="C471" i="1"/>
  <c r="F10" i="6"/>
  <c r="D339" i="1"/>
  <c r="D26" i="9"/>
  <c r="CE75" i="1"/>
  <c r="F7" i="6"/>
  <c r="E204" i="1"/>
  <c r="C468" i="1"/>
  <c r="I383" i="9"/>
  <c r="D22" i="7"/>
  <c r="C40" i="5"/>
  <c r="C420" i="1"/>
  <c r="B28" i="4"/>
  <c r="F186" i="9"/>
  <c r="I376" i="9"/>
  <c r="C463" i="1"/>
  <c r="D58" i="9"/>
  <c r="G26" i="9"/>
  <c r="E217" i="1"/>
  <c r="I384" i="9"/>
  <c r="L612" i="1"/>
  <c r="F218" i="9"/>
  <c r="D90" i="9"/>
  <c r="D464" i="1"/>
  <c r="D465" i="1" s="1"/>
  <c r="H154" i="9"/>
  <c r="I367" i="9"/>
  <c r="D373" i="1"/>
  <c r="D434" i="1"/>
  <c r="D292" i="1"/>
  <c r="C58" i="9"/>
  <c r="BV52" i="1" l="1"/>
  <c r="BV67" i="1" s="1"/>
  <c r="D337" i="9" s="1"/>
  <c r="G44" i="9"/>
  <c r="E52" i="1"/>
  <c r="E67" i="1" s="1"/>
  <c r="AA52" i="1"/>
  <c r="AA67" i="1" s="1"/>
  <c r="CB52" i="1"/>
  <c r="CB67" i="1" s="1"/>
  <c r="AY52" i="1"/>
  <c r="AY67" i="1" s="1"/>
  <c r="BZ52" i="1"/>
  <c r="BZ67" i="1" s="1"/>
  <c r="H337" i="9" s="1"/>
  <c r="D364" i="9"/>
  <c r="BD52" i="1"/>
  <c r="BD67" i="1" s="1"/>
  <c r="BD71" i="1" s="1"/>
  <c r="C549" i="1" s="1"/>
  <c r="CA52" i="1"/>
  <c r="CA67" i="1" s="1"/>
  <c r="I337" i="9" s="1"/>
  <c r="R52" i="1"/>
  <c r="R67" i="1" s="1"/>
  <c r="R71" i="1" s="1"/>
  <c r="D85" i="9" s="1"/>
  <c r="AS52" i="1"/>
  <c r="AS67" i="1" s="1"/>
  <c r="AS71" i="1" s="1"/>
  <c r="AG52" i="1"/>
  <c r="AG67" i="1" s="1"/>
  <c r="E145" i="9" s="1"/>
  <c r="X52" i="1"/>
  <c r="X67" i="1" s="1"/>
  <c r="X71" i="1" s="1"/>
  <c r="D52" i="1"/>
  <c r="D67" i="1" s="1"/>
  <c r="BM52" i="1"/>
  <c r="BM67" i="1" s="1"/>
  <c r="I273" i="9" s="1"/>
  <c r="BL52" i="1"/>
  <c r="BL67" i="1" s="1"/>
  <c r="BL71" i="1" s="1"/>
  <c r="C637" i="1" s="1"/>
  <c r="AV52" i="1"/>
  <c r="AV67" i="1" s="1"/>
  <c r="AQ52" i="1"/>
  <c r="AQ67" i="1" s="1"/>
  <c r="BS52" i="1"/>
  <c r="BS67" i="1" s="1"/>
  <c r="BS71" i="1" s="1"/>
  <c r="AC52" i="1"/>
  <c r="AC67" i="1" s="1"/>
  <c r="C52" i="1"/>
  <c r="C67" i="1" s="1"/>
  <c r="C71" i="1" s="1"/>
  <c r="C21" i="9" s="1"/>
  <c r="BJ52" i="1"/>
  <c r="BJ67" i="1" s="1"/>
  <c r="BJ71" i="1" s="1"/>
  <c r="BT52" i="1"/>
  <c r="BT67" i="1" s="1"/>
  <c r="AO52" i="1"/>
  <c r="AO67" i="1" s="1"/>
  <c r="AO71" i="1" s="1"/>
  <c r="C534" i="1" s="1"/>
  <c r="G534" i="1" s="1"/>
  <c r="CC52" i="1"/>
  <c r="CC67" i="1" s="1"/>
  <c r="AE52" i="1"/>
  <c r="AE67" i="1" s="1"/>
  <c r="AF52" i="1"/>
  <c r="AF67" i="1" s="1"/>
  <c r="AF71" i="1" s="1"/>
  <c r="D149" i="9" s="1"/>
  <c r="U52" i="1"/>
  <c r="U67" i="1" s="1"/>
  <c r="BH52" i="1"/>
  <c r="BH67" i="1" s="1"/>
  <c r="BB52" i="1"/>
  <c r="BB67" i="1" s="1"/>
  <c r="BB71" i="1" s="1"/>
  <c r="AH52" i="1"/>
  <c r="AH67" i="1" s="1"/>
  <c r="AD52" i="1"/>
  <c r="AD67" i="1" s="1"/>
  <c r="AD71" i="1" s="1"/>
  <c r="J52" i="1"/>
  <c r="J67" i="1" s="1"/>
  <c r="H52" i="1"/>
  <c r="H67" i="1" s="1"/>
  <c r="BU52" i="1"/>
  <c r="BU67" i="1" s="1"/>
  <c r="BU71" i="1" s="1"/>
  <c r="AR52" i="1"/>
  <c r="AR67" i="1" s="1"/>
  <c r="K52" i="1"/>
  <c r="K67" i="1" s="1"/>
  <c r="K71" i="1" s="1"/>
  <c r="D53" i="9" s="1"/>
  <c r="Y52" i="1"/>
  <c r="Y67" i="1" s="1"/>
  <c r="Y71" i="1" s="1"/>
  <c r="P52" i="1"/>
  <c r="P67" i="1" s="1"/>
  <c r="AT52" i="1"/>
  <c r="AT67" i="1" s="1"/>
  <c r="AK52" i="1"/>
  <c r="AK67" i="1" s="1"/>
  <c r="Z52" i="1"/>
  <c r="Z67" i="1" s="1"/>
  <c r="AN52" i="1"/>
  <c r="AN67" i="1" s="1"/>
  <c r="AN71" i="1" s="1"/>
  <c r="N52" i="1"/>
  <c r="N67" i="1" s="1"/>
  <c r="V52" i="1"/>
  <c r="V67" i="1" s="1"/>
  <c r="M52" i="1"/>
  <c r="M67" i="1" s="1"/>
  <c r="M71" i="1" s="1"/>
  <c r="C506" i="1" s="1"/>
  <c r="G506" i="1" s="1"/>
  <c r="AI52" i="1"/>
  <c r="AI67" i="1" s="1"/>
  <c r="AI71" i="1" s="1"/>
  <c r="G149" i="9" s="1"/>
  <c r="G52" i="1"/>
  <c r="G67" i="1" s="1"/>
  <c r="G17" i="9" s="1"/>
  <c r="BN52" i="1"/>
  <c r="BN67" i="1" s="1"/>
  <c r="BN71" i="1" s="1"/>
  <c r="BQ52" i="1"/>
  <c r="BQ67" i="1" s="1"/>
  <c r="BQ71" i="1" s="1"/>
  <c r="AZ52" i="1"/>
  <c r="AZ67" i="1" s="1"/>
  <c r="C241" i="9" s="1"/>
  <c r="BP52" i="1"/>
  <c r="BP67" i="1" s="1"/>
  <c r="BP71" i="1" s="1"/>
  <c r="E309" i="9" s="1"/>
  <c r="W52" i="1"/>
  <c r="W67" i="1" s="1"/>
  <c r="BC52" i="1"/>
  <c r="BC67" i="1" s="1"/>
  <c r="AU52" i="1"/>
  <c r="AU67" i="1" s="1"/>
  <c r="AU71" i="1" s="1"/>
  <c r="C540" i="1" s="1"/>
  <c r="G540" i="1" s="1"/>
  <c r="BG52" i="1"/>
  <c r="BG67" i="1" s="1"/>
  <c r="BG71" i="1" s="1"/>
  <c r="BR52" i="1"/>
  <c r="BR67" i="1" s="1"/>
  <c r="AJ52" i="1"/>
  <c r="AJ67" i="1" s="1"/>
  <c r="L52" i="1"/>
  <c r="L67" i="1" s="1"/>
  <c r="L71" i="1" s="1"/>
  <c r="BI52" i="1"/>
  <c r="BI67" i="1" s="1"/>
  <c r="AB52" i="1"/>
  <c r="AB67" i="1" s="1"/>
  <c r="AL52" i="1"/>
  <c r="AL67" i="1" s="1"/>
  <c r="BY52" i="1"/>
  <c r="BY67" i="1" s="1"/>
  <c r="G337" i="9" s="1"/>
  <c r="S52" i="1"/>
  <c r="S67" i="1" s="1"/>
  <c r="S71" i="1" s="1"/>
  <c r="E85" i="9" s="1"/>
  <c r="F52" i="1"/>
  <c r="F67" i="1" s="1"/>
  <c r="I52" i="1"/>
  <c r="I67" i="1" s="1"/>
  <c r="BX52" i="1"/>
  <c r="BX67" i="1" s="1"/>
  <c r="F337" i="9" s="1"/>
  <c r="AX52" i="1"/>
  <c r="AX67" i="1" s="1"/>
  <c r="T52" i="1"/>
  <c r="T67" i="1" s="1"/>
  <c r="T71" i="1" s="1"/>
  <c r="C685" i="1" s="1"/>
  <c r="BF52" i="1"/>
  <c r="BF67" i="1" s="1"/>
  <c r="I241" i="9" s="1"/>
  <c r="BE52" i="1"/>
  <c r="BE67" i="1" s="1"/>
  <c r="AW52" i="1"/>
  <c r="AW67" i="1" s="1"/>
  <c r="AM52" i="1"/>
  <c r="AM67" i="1" s="1"/>
  <c r="AM71" i="1" s="1"/>
  <c r="C704" i="1" s="1"/>
  <c r="BW52" i="1"/>
  <c r="BW67" i="1" s="1"/>
  <c r="E337" i="9" s="1"/>
  <c r="BA52" i="1"/>
  <c r="BA67" i="1" s="1"/>
  <c r="BO52" i="1"/>
  <c r="BO67" i="1" s="1"/>
  <c r="D305" i="9" s="1"/>
  <c r="O52" i="1"/>
  <c r="O67" i="1" s="1"/>
  <c r="AP52" i="1"/>
  <c r="AP67" i="1" s="1"/>
  <c r="BK52" i="1"/>
  <c r="BK67" i="1" s="1"/>
  <c r="E17" i="9"/>
  <c r="CA71" i="1"/>
  <c r="C647" i="1" s="1"/>
  <c r="E71" i="1"/>
  <c r="C670" i="1" s="1"/>
  <c r="F241" i="9"/>
  <c r="AG71" i="1"/>
  <c r="C698" i="1" s="1"/>
  <c r="C81" i="9"/>
  <c r="AX71" i="1"/>
  <c r="H213" i="9" s="1"/>
  <c r="BO71" i="1"/>
  <c r="D309" i="9" s="1"/>
  <c r="G145" i="9"/>
  <c r="AL71" i="1"/>
  <c r="C703" i="1" s="1"/>
  <c r="CB71" i="1"/>
  <c r="C373" i="9" s="1"/>
  <c r="AQ71" i="1"/>
  <c r="C708" i="1" s="1"/>
  <c r="G300" i="9"/>
  <c r="H172" i="9"/>
  <c r="H71" i="1"/>
  <c r="H21" i="9" s="1"/>
  <c r="D44" i="9"/>
  <c r="H204" i="9"/>
  <c r="D140" i="9"/>
  <c r="AC71" i="1"/>
  <c r="H117" i="9" s="1"/>
  <c r="H12" i="9"/>
  <c r="D12" i="9"/>
  <c r="E76" i="9"/>
  <c r="F44" i="9"/>
  <c r="F71" i="1"/>
  <c r="F21" i="9" s="1"/>
  <c r="C108" i="9"/>
  <c r="BZ71" i="1"/>
  <c r="C571" i="1" s="1"/>
  <c r="E140" i="9"/>
  <c r="I76" i="9"/>
  <c r="D172" i="9"/>
  <c r="AV71" i="1"/>
  <c r="C713" i="1" s="1"/>
  <c r="E204" i="9"/>
  <c r="AY71" i="1"/>
  <c r="C544" i="1" s="1"/>
  <c r="G544" i="1" s="1"/>
  <c r="I204" i="9"/>
  <c r="G140" i="9"/>
  <c r="I236" i="9"/>
  <c r="BV71" i="1"/>
  <c r="C642" i="1" s="1"/>
  <c r="O71" i="1"/>
  <c r="H53" i="9" s="1"/>
  <c r="D108" i="9"/>
  <c r="F12" i="9"/>
  <c r="BA71" i="1"/>
  <c r="C630" i="1" s="1"/>
  <c r="D268" i="9"/>
  <c r="C204" i="9"/>
  <c r="H76" i="9"/>
  <c r="BC71" i="1"/>
  <c r="F245" i="9" s="1"/>
  <c r="I300" i="9"/>
  <c r="F140" i="9"/>
  <c r="E300" i="9"/>
  <c r="AB71" i="1"/>
  <c r="C693" i="1" s="1"/>
  <c r="Z71" i="1"/>
  <c r="C519" i="1" s="1"/>
  <c r="G519" i="1" s="1"/>
  <c r="G108" i="9"/>
  <c r="C44" i="9"/>
  <c r="J71" i="1"/>
  <c r="E172" i="9"/>
  <c r="E12" i="9"/>
  <c r="I332" i="9"/>
  <c r="AW71" i="1"/>
  <c r="I12" i="9"/>
  <c r="E268" i="9"/>
  <c r="BI71" i="1"/>
  <c r="E332" i="9"/>
  <c r="G332" i="9"/>
  <c r="I44" i="9"/>
  <c r="F76" i="9"/>
  <c r="C268" i="9"/>
  <c r="E44" i="9"/>
  <c r="F172" i="9"/>
  <c r="C332" i="9"/>
  <c r="H300" i="9"/>
  <c r="F268" i="9"/>
  <c r="CE62" i="1"/>
  <c r="F332" i="9"/>
  <c r="BX71" i="1"/>
  <c r="AK71" i="1"/>
  <c r="I140" i="9"/>
  <c r="I172" i="9"/>
  <c r="CE48" i="1"/>
  <c r="AA71" i="1"/>
  <c r="F117" i="9" s="1"/>
  <c r="F300" i="9"/>
  <c r="C236" i="9"/>
  <c r="C76" i="9"/>
  <c r="Q71" i="1"/>
  <c r="C511" i="1"/>
  <c r="C683" i="1"/>
  <c r="C526" i="1"/>
  <c r="G526" i="1" s="1"/>
  <c r="C572" i="1"/>
  <c r="D27" i="7"/>
  <c r="B448" i="1"/>
  <c r="F544" i="1"/>
  <c r="H536" i="1"/>
  <c r="F536" i="1"/>
  <c r="F528" i="1"/>
  <c r="F520" i="1"/>
  <c r="D341" i="1"/>
  <c r="C481" i="1" s="1"/>
  <c r="C50" i="8"/>
  <c r="H209" i="9"/>
  <c r="F81" i="9"/>
  <c r="I209" i="9"/>
  <c r="C522" i="1"/>
  <c r="G522" i="1" s="1"/>
  <c r="I378" i="9"/>
  <c r="K612" i="1"/>
  <c r="C465" i="1"/>
  <c r="C543" i="1"/>
  <c r="C619" i="1"/>
  <c r="C559" i="1"/>
  <c r="C309" i="9"/>
  <c r="C126" i="8"/>
  <c r="D391" i="1"/>
  <c r="F32" i="6"/>
  <c r="C478" i="1"/>
  <c r="C305" i="9"/>
  <c r="C102" i="8"/>
  <c r="C482" i="1"/>
  <c r="F498" i="1"/>
  <c r="C501" i="1"/>
  <c r="G501" i="1" s="1"/>
  <c r="C673" i="1"/>
  <c r="I145" i="9"/>
  <c r="G209" i="9"/>
  <c r="C476" i="1"/>
  <c r="F16" i="6"/>
  <c r="F516" i="1"/>
  <c r="D17" i="9"/>
  <c r="C531" i="1"/>
  <c r="G531" i="1" s="1"/>
  <c r="F540" i="1"/>
  <c r="F532" i="1"/>
  <c r="H532" i="1"/>
  <c r="F524" i="1"/>
  <c r="F550" i="1"/>
  <c r="G305" i="9"/>
  <c r="F113" i="9"/>
  <c r="C369" i="9"/>
  <c r="F17" i="9"/>
  <c r="C523" i="1" l="1"/>
  <c r="G523" i="1" s="1"/>
  <c r="C695" i="1"/>
  <c r="G71" i="1"/>
  <c r="G21" i="9" s="1"/>
  <c r="G241" i="9"/>
  <c r="C632" i="1"/>
  <c r="E245" i="9"/>
  <c r="C690" i="1"/>
  <c r="D117" i="9"/>
  <c r="C518" i="1"/>
  <c r="G518" i="1" s="1"/>
  <c r="C616" i="1"/>
  <c r="BW71" i="1"/>
  <c r="C643" i="1" s="1"/>
  <c r="C209" i="9"/>
  <c r="I71" i="1"/>
  <c r="I17" i="9"/>
  <c r="D81" i="9"/>
  <c r="I341" i="9"/>
  <c r="F305" i="9"/>
  <c r="F277" i="9"/>
  <c r="C555" i="1"/>
  <c r="C617" i="1"/>
  <c r="C117" i="9"/>
  <c r="C517" i="1"/>
  <c r="G517" i="1" s="1"/>
  <c r="C689" i="1"/>
  <c r="H181" i="9"/>
  <c r="C712" i="1"/>
  <c r="BF71" i="1"/>
  <c r="I245" i="9" s="1"/>
  <c r="CE52" i="1"/>
  <c r="H540" i="1"/>
  <c r="E177" i="9"/>
  <c r="BR71" i="1"/>
  <c r="G309" i="9" s="1"/>
  <c r="H145" i="9"/>
  <c r="I49" i="9"/>
  <c r="F145" i="9"/>
  <c r="I305" i="9"/>
  <c r="C536" i="1"/>
  <c r="G536" i="1" s="1"/>
  <c r="C694" i="1"/>
  <c r="E149" i="9"/>
  <c r="BY71" i="1"/>
  <c r="C570" i="1" s="1"/>
  <c r="D71" i="1"/>
  <c r="C669" i="1" s="1"/>
  <c r="E305" i="9"/>
  <c r="H81" i="9"/>
  <c r="D113" i="9"/>
  <c r="E241" i="9"/>
  <c r="F273" i="9"/>
  <c r="D273" i="9"/>
  <c r="AJ71" i="1"/>
  <c r="G81" i="9"/>
  <c r="H113" i="9"/>
  <c r="D341" i="9"/>
  <c r="W71" i="1"/>
  <c r="C688" i="1" s="1"/>
  <c r="AH71" i="1"/>
  <c r="C527" i="1" s="1"/>
  <c r="G527" i="1" s="1"/>
  <c r="BM71" i="1"/>
  <c r="C638" i="1" s="1"/>
  <c r="BE71" i="1"/>
  <c r="C550" i="1" s="1"/>
  <c r="G550" i="1" s="1"/>
  <c r="H49" i="9"/>
  <c r="C177" i="9"/>
  <c r="C273" i="9"/>
  <c r="C337" i="9"/>
  <c r="D145" i="9"/>
  <c r="H305" i="9"/>
  <c r="C113" i="9"/>
  <c r="G273" i="9"/>
  <c r="BK71" i="1"/>
  <c r="C17" i="9"/>
  <c r="C567" i="1"/>
  <c r="G177" i="9"/>
  <c r="I177" i="9"/>
  <c r="AZ71" i="1"/>
  <c r="C545" i="1" s="1"/>
  <c r="G545" i="1" s="1"/>
  <c r="G113" i="9"/>
  <c r="BH71" i="1"/>
  <c r="E113" i="9"/>
  <c r="H17" i="9"/>
  <c r="C145" i="9"/>
  <c r="AE71" i="1"/>
  <c r="H177" i="9"/>
  <c r="D49" i="9"/>
  <c r="D177" i="9"/>
  <c r="AR71" i="1"/>
  <c r="C709" i="1" s="1"/>
  <c r="P71" i="1"/>
  <c r="I53" i="9" s="1"/>
  <c r="E213" i="9"/>
  <c r="BT71" i="1"/>
  <c r="C640" i="1" s="1"/>
  <c r="U71" i="1"/>
  <c r="C514" i="1" s="1"/>
  <c r="G514" i="1" s="1"/>
  <c r="CE67" i="1"/>
  <c r="D241" i="9"/>
  <c r="E273" i="9"/>
  <c r="E209" i="9"/>
  <c r="C49" i="9"/>
  <c r="CC71" i="1"/>
  <c r="D369" i="9"/>
  <c r="F209" i="9"/>
  <c r="E81" i="9"/>
  <c r="N71" i="1"/>
  <c r="G49" i="9"/>
  <c r="H241" i="9"/>
  <c r="F49" i="9"/>
  <c r="C547" i="1"/>
  <c r="I117" i="9"/>
  <c r="C499" i="1"/>
  <c r="G499" i="1" s="1"/>
  <c r="AP71" i="1"/>
  <c r="C535" i="1" s="1"/>
  <c r="G535" i="1" s="1"/>
  <c r="I81" i="9"/>
  <c r="E49" i="9"/>
  <c r="V71" i="1"/>
  <c r="D209" i="9"/>
  <c r="AT71" i="1"/>
  <c r="I113" i="9"/>
  <c r="F177" i="9"/>
  <c r="H273" i="9"/>
  <c r="E21" i="9"/>
  <c r="C181" i="9"/>
  <c r="C498" i="1"/>
  <c r="G498" i="1" s="1"/>
  <c r="C627" i="1"/>
  <c r="E341" i="9"/>
  <c r="C573" i="1"/>
  <c r="C560" i="1"/>
  <c r="C700" i="1"/>
  <c r="C528" i="1"/>
  <c r="G528" i="1" s="1"/>
  <c r="C671" i="1"/>
  <c r="C622" i="1"/>
  <c r="C707" i="1"/>
  <c r="G117" i="9"/>
  <c r="C697" i="1"/>
  <c r="C541" i="1"/>
  <c r="C525" i="1"/>
  <c r="G525" i="1" s="1"/>
  <c r="C678" i="1"/>
  <c r="F213" i="9"/>
  <c r="G245" i="9"/>
  <c r="C624" i="1"/>
  <c r="C508" i="1"/>
  <c r="G508" i="1" s="1"/>
  <c r="C504" i="1"/>
  <c r="G504" i="1" s="1"/>
  <c r="C676" i="1"/>
  <c r="C551" i="1"/>
  <c r="C668" i="1"/>
  <c r="H277" i="9"/>
  <c r="C496" i="1"/>
  <c r="G496" i="1" s="1"/>
  <c r="E117" i="9"/>
  <c r="D245" i="9"/>
  <c r="C633" i="1"/>
  <c r="C625" i="1"/>
  <c r="C546" i="1"/>
  <c r="G546" i="1" s="1"/>
  <c r="I277" i="9"/>
  <c r="C646" i="1"/>
  <c r="C558" i="1"/>
  <c r="H341" i="9"/>
  <c r="C684" i="1"/>
  <c r="C512" i="1"/>
  <c r="G512" i="1" s="1"/>
  <c r="C548" i="1"/>
  <c r="I213" i="9"/>
  <c r="C521" i="1"/>
  <c r="G521" i="1" s="1"/>
  <c r="C561" i="1"/>
  <c r="F53" i="9"/>
  <c r="C621" i="1"/>
  <c r="C680" i="1"/>
  <c r="H550" i="1"/>
  <c r="C532" i="1"/>
  <c r="G532" i="1" s="1"/>
  <c r="C557" i="1"/>
  <c r="H517" i="1"/>
  <c r="D181" i="9"/>
  <c r="G341" i="9"/>
  <c r="C710" i="1"/>
  <c r="C538" i="1"/>
  <c r="G538" i="1" s="1"/>
  <c r="C213" i="9"/>
  <c r="I85" i="9"/>
  <c r="C692" i="1"/>
  <c r="C691" i="1"/>
  <c r="C520" i="1"/>
  <c r="G520" i="1" s="1"/>
  <c r="C516" i="1"/>
  <c r="G516" i="1" s="1"/>
  <c r="I364" i="9"/>
  <c r="C428" i="1"/>
  <c r="CE71" i="1"/>
  <c r="C639" i="1"/>
  <c r="H309" i="9"/>
  <c r="C564" i="1"/>
  <c r="C674" i="1"/>
  <c r="I21" i="9"/>
  <c r="C502" i="1"/>
  <c r="G502" i="1" s="1"/>
  <c r="C530" i="1"/>
  <c r="G530" i="1" s="1"/>
  <c r="C702" i="1"/>
  <c r="I149" i="9"/>
  <c r="C513" i="1"/>
  <c r="G513" i="1" s="1"/>
  <c r="C682" i="1"/>
  <c r="C510" i="1"/>
  <c r="G510" i="1" s="1"/>
  <c r="C85" i="9"/>
  <c r="C503" i="1"/>
  <c r="G503" i="1" s="1"/>
  <c r="C675" i="1"/>
  <c r="C53" i="9"/>
  <c r="C677" i="1"/>
  <c r="C505" i="1"/>
  <c r="E53" i="9"/>
  <c r="F181" i="9"/>
  <c r="C706" i="1"/>
  <c r="F85" i="9"/>
  <c r="F309" i="9"/>
  <c r="C562" i="1"/>
  <c r="C623" i="1"/>
  <c r="C569" i="1"/>
  <c r="C644" i="1"/>
  <c r="F341" i="9"/>
  <c r="C641" i="1"/>
  <c r="C566" i="1"/>
  <c r="C341" i="9"/>
  <c r="C618" i="1"/>
  <c r="C552" i="1"/>
  <c r="C277" i="9"/>
  <c r="E277" i="9"/>
  <c r="C554" i="1"/>
  <c r="C634" i="1"/>
  <c r="G213" i="9"/>
  <c r="C542" i="1"/>
  <c r="C631" i="1"/>
  <c r="C533" i="1"/>
  <c r="G533" i="1" s="1"/>
  <c r="C705" i="1"/>
  <c r="E181" i="9"/>
  <c r="G511" i="1"/>
  <c r="H511" i="1" s="1"/>
  <c r="H544" i="1"/>
  <c r="F522" i="1"/>
  <c r="H522" i="1" s="1"/>
  <c r="F510" i="1"/>
  <c r="F513" i="1"/>
  <c r="H513" i="1"/>
  <c r="C142" i="8"/>
  <c r="D393" i="1"/>
  <c r="F538" i="1"/>
  <c r="H538" i="1"/>
  <c r="F496" i="1"/>
  <c r="H496" i="1"/>
  <c r="F534" i="1"/>
  <c r="H534" i="1"/>
  <c r="H502" i="1"/>
  <c r="F502" i="1"/>
  <c r="F504" i="1"/>
  <c r="H530" i="1"/>
  <c r="F530" i="1"/>
  <c r="F512" i="1"/>
  <c r="F526" i="1"/>
  <c r="H526" i="1"/>
  <c r="F503" i="1"/>
  <c r="F508" i="1"/>
  <c r="F514" i="1"/>
  <c r="H514" i="1" s="1"/>
  <c r="H507" i="1"/>
  <c r="F507" i="1"/>
  <c r="F518" i="1"/>
  <c r="F546" i="1"/>
  <c r="F506" i="1"/>
  <c r="H506" i="1"/>
  <c r="H500" i="1"/>
  <c r="F500" i="1"/>
  <c r="F509" i="1"/>
  <c r="C686" i="1" l="1"/>
  <c r="C568" i="1"/>
  <c r="I309" i="9"/>
  <c r="G85" i="9"/>
  <c r="C672" i="1"/>
  <c r="C500" i="1"/>
  <c r="G500" i="1" s="1"/>
  <c r="C629" i="1"/>
  <c r="C699" i="1"/>
  <c r="F149" i="9"/>
  <c r="C563" i="1"/>
  <c r="C565" i="1"/>
  <c r="H518" i="1"/>
  <c r="C626" i="1"/>
  <c r="C681" i="1"/>
  <c r="I369" i="9"/>
  <c r="C509" i="1"/>
  <c r="G509" i="1" s="1"/>
  <c r="C620" i="1"/>
  <c r="D373" i="9"/>
  <c r="C574" i="1"/>
  <c r="C537" i="1"/>
  <c r="G537" i="1" s="1"/>
  <c r="G181" i="9"/>
  <c r="C433" i="1"/>
  <c r="C711" i="1"/>
  <c r="C539" i="1"/>
  <c r="G539" i="1" s="1"/>
  <c r="D213" i="9"/>
  <c r="I181" i="9"/>
  <c r="H498" i="1"/>
  <c r="C628" i="1"/>
  <c r="C645" i="1"/>
  <c r="H245" i="9"/>
  <c r="C553" i="1"/>
  <c r="C636" i="1"/>
  <c r="D277" i="9"/>
  <c r="C529" i="1"/>
  <c r="G529" i="1" s="1"/>
  <c r="C701" i="1"/>
  <c r="H149" i="9"/>
  <c r="G53" i="9"/>
  <c r="C507" i="1"/>
  <c r="G507" i="1" s="1"/>
  <c r="C679" i="1"/>
  <c r="C441" i="1"/>
  <c r="G277" i="9"/>
  <c r="C635" i="1"/>
  <c r="C556" i="1"/>
  <c r="H528" i="1"/>
  <c r="C245" i="9"/>
  <c r="C497" i="1"/>
  <c r="G497" i="1" s="1"/>
  <c r="D21" i="9"/>
  <c r="C614" i="1"/>
  <c r="D615" i="1" s="1"/>
  <c r="D716" i="1" s="1"/>
  <c r="C687" i="1"/>
  <c r="C515" i="1"/>
  <c r="H85" i="9"/>
  <c r="C524" i="1"/>
  <c r="C696" i="1"/>
  <c r="C149" i="9"/>
  <c r="H508" i="1"/>
  <c r="H512" i="1"/>
  <c r="H504" i="1"/>
  <c r="H510" i="1"/>
  <c r="H520" i="1"/>
  <c r="H546" i="1"/>
  <c r="H516" i="1"/>
  <c r="H503" i="1"/>
  <c r="C716" i="1"/>
  <c r="I373" i="9"/>
  <c r="G505" i="1"/>
  <c r="H505" i="1" s="1"/>
  <c r="H545" i="1"/>
  <c r="F545" i="1"/>
  <c r="H525" i="1"/>
  <c r="F525" i="1"/>
  <c r="F529" i="1"/>
  <c r="C146" i="8"/>
  <c r="D396" i="1"/>
  <c r="C151" i="8" s="1"/>
  <c r="F521" i="1"/>
  <c r="H521" i="1"/>
  <c r="H535" i="1"/>
  <c r="F535" i="1"/>
  <c r="H533" i="1"/>
  <c r="F533" i="1"/>
  <c r="F527" i="1"/>
  <c r="H527" i="1" s="1"/>
  <c r="F539" i="1"/>
  <c r="H539" i="1"/>
  <c r="F519" i="1"/>
  <c r="H519" i="1"/>
  <c r="F523" i="1"/>
  <c r="H523" i="1"/>
  <c r="F537" i="1"/>
  <c r="H537" i="1"/>
  <c r="F531" i="1"/>
  <c r="H531" i="1"/>
  <c r="H509" i="1" l="1"/>
  <c r="D645" i="1"/>
  <c r="D674" i="1"/>
  <c r="D626" i="1"/>
  <c r="D638" i="1"/>
  <c r="D618" i="1"/>
  <c r="D690" i="1"/>
  <c r="H529" i="1"/>
  <c r="D675" i="1"/>
  <c r="D624" i="1"/>
  <c r="D696" i="1"/>
  <c r="D620" i="1"/>
  <c r="D672" i="1"/>
  <c r="D632" i="1"/>
  <c r="D637" i="1"/>
  <c r="D698" i="1"/>
  <c r="D712" i="1"/>
  <c r="D685" i="1"/>
  <c r="D713" i="1"/>
  <c r="D623" i="1"/>
  <c r="D617" i="1"/>
  <c r="D702" i="1"/>
  <c r="G524" i="1"/>
  <c r="H524" i="1" s="1"/>
  <c r="D693" i="1"/>
  <c r="D683" i="1"/>
  <c r="D629" i="1"/>
  <c r="D616" i="1"/>
  <c r="D679" i="1"/>
  <c r="D631" i="1"/>
  <c r="D686" i="1"/>
  <c r="D688" i="1"/>
  <c r="D619" i="1"/>
  <c r="C715" i="1"/>
  <c r="D627" i="1"/>
  <c r="D644" i="1"/>
  <c r="D706" i="1"/>
  <c r="D673" i="1"/>
  <c r="D697" i="1"/>
  <c r="D636" i="1"/>
  <c r="D634" i="1"/>
  <c r="D701" i="1"/>
  <c r="D642" i="1"/>
  <c r="D678" i="1"/>
  <c r="D695" i="1"/>
  <c r="D689" i="1"/>
  <c r="D684" i="1"/>
  <c r="D628" i="1"/>
  <c r="D640" i="1"/>
  <c r="D630" i="1"/>
  <c r="D621" i="1"/>
  <c r="D643" i="1"/>
  <c r="D699" i="1"/>
  <c r="D633" i="1"/>
  <c r="D670" i="1"/>
  <c r="D635" i="1"/>
  <c r="D681" i="1"/>
  <c r="D668" i="1"/>
  <c r="D711" i="1"/>
  <c r="D691" i="1"/>
  <c r="D676" i="1"/>
  <c r="D709" i="1"/>
  <c r="C648" i="1"/>
  <c r="M716" i="1" s="1"/>
  <c r="G515" i="1"/>
  <c r="H515" i="1"/>
  <c r="D700" i="1"/>
  <c r="D671" i="1"/>
  <c r="D682" i="1"/>
  <c r="D647" i="1"/>
  <c r="D708" i="1"/>
  <c r="D704" i="1"/>
  <c r="D677" i="1"/>
  <c r="D707" i="1"/>
  <c r="D622" i="1"/>
  <c r="D646" i="1"/>
  <c r="D687" i="1"/>
  <c r="D680" i="1"/>
  <c r="D692" i="1"/>
  <c r="D641" i="1"/>
  <c r="D703" i="1"/>
  <c r="D694" i="1"/>
  <c r="D625" i="1"/>
  <c r="D710" i="1"/>
  <c r="D639" i="1"/>
  <c r="D669" i="1"/>
  <c r="D705" i="1"/>
  <c r="E623" i="1" l="1"/>
  <c r="E716" i="1" s="1"/>
  <c r="E612" i="1"/>
  <c r="D715" i="1"/>
  <c r="E684" i="1" l="1"/>
  <c r="E641" i="1"/>
  <c r="E670" i="1"/>
  <c r="E676" i="1"/>
  <c r="E710" i="1"/>
  <c r="E693" i="1"/>
  <c r="E705" i="1"/>
  <c r="E630" i="1"/>
  <c r="E640" i="1"/>
  <c r="E668" i="1"/>
  <c r="E706" i="1"/>
  <c r="E675" i="1"/>
  <c r="E671" i="1"/>
  <c r="E692" i="1"/>
  <c r="E700" i="1"/>
  <c r="E679" i="1"/>
  <c r="E697" i="1"/>
  <c r="E681" i="1"/>
  <c r="E674" i="1"/>
  <c r="E707" i="1"/>
  <c r="E632" i="1"/>
  <c r="E712" i="1"/>
  <c r="E637" i="1"/>
  <c r="E636" i="1"/>
  <c r="E644" i="1"/>
  <c r="E627" i="1"/>
  <c r="E645" i="1"/>
  <c r="E624" i="1"/>
  <c r="F624" i="1" s="1"/>
  <c r="F668" i="1" s="1"/>
  <c r="E698" i="1"/>
  <c r="E680" i="1"/>
  <c r="E702" i="1"/>
  <c r="E633" i="1"/>
  <c r="E638" i="1"/>
  <c r="E708" i="1"/>
  <c r="E639" i="1"/>
  <c r="E643" i="1"/>
  <c r="E688" i="1"/>
  <c r="E695" i="1"/>
  <c r="E704" i="1"/>
  <c r="E677" i="1"/>
  <c r="E682" i="1"/>
  <c r="E689" i="1"/>
  <c r="E669" i="1"/>
  <c r="E635" i="1"/>
  <c r="E642" i="1"/>
  <c r="E629" i="1"/>
  <c r="E699" i="1"/>
  <c r="E646" i="1"/>
  <c r="E690" i="1"/>
  <c r="E678" i="1"/>
  <c r="E709" i="1"/>
  <c r="E696" i="1"/>
  <c r="E711" i="1"/>
  <c r="E625" i="1"/>
  <c r="E672" i="1"/>
  <c r="E685" i="1"/>
  <c r="E687" i="1"/>
  <c r="E631" i="1"/>
  <c r="E713" i="1"/>
  <c r="E634" i="1"/>
  <c r="E691" i="1"/>
  <c r="E686" i="1"/>
  <c r="E647" i="1"/>
  <c r="E694" i="1"/>
  <c r="E628" i="1"/>
  <c r="E703" i="1"/>
  <c r="E626" i="1"/>
  <c r="E673" i="1"/>
  <c r="E701" i="1"/>
  <c r="E683" i="1"/>
  <c r="F709" i="1"/>
  <c r="F679" i="1"/>
  <c r="F641" i="1"/>
  <c r="F691" i="1"/>
  <c r="F682" i="1"/>
  <c r="F675" i="1"/>
  <c r="F689" i="1"/>
  <c r="F716" i="1"/>
  <c r="F678" i="1"/>
  <c r="F711" i="1"/>
  <c r="F646" i="1"/>
  <c r="F670" i="1"/>
  <c r="F671" i="1"/>
  <c r="F698" i="1"/>
  <c r="F710" i="1"/>
  <c r="F625" i="1"/>
  <c r="F688" i="1"/>
  <c r="F636" i="1"/>
  <c r="F676" i="1"/>
  <c r="F638" i="1" l="1"/>
  <c r="F629" i="1"/>
  <c r="F645" i="1"/>
  <c r="F630" i="1"/>
  <c r="F639" i="1"/>
  <c r="F643" i="1"/>
  <c r="G625" i="1"/>
  <c r="G631" i="1" s="1"/>
  <c r="F697" i="1"/>
  <c r="F626" i="1"/>
  <c r="F703" i="1"/>
  <c r="F640" i="1"/>
  <c r="F695" i="1"/>
  <c r="F642" i="1"/>
  <c r="F713" i="1"/>
  <c r="F669" i="1"/>
  <c r="F704" i="1"/>
  <c r="F631" i="1"/>
  <c r="F685" i="1"/>
  <c r="F693" i="1"/>
  <c r="F701" i="1"/>
  <c r="F707" i="1"/>
  <c r="F673" i="1"/>
  <c r="F632" i="1"/>
  <c r="F696" i="1"/>
  <c r="F699" i="1"/>
  <c r="F680" i="1"/>
  <c r="F705" i="1"/>
  <c r="F674" i="1"/>
  <c r="F647" i="1"/>
  <c r="F694" i="1"/>
  <c r="F628" i="1"/>
  <c r="F708" i="1"/>
  <c r="F634" i="1"/>
  <c r="F633" i="1"/>
  <c r="E715" i="1"/>
  <c r="F683" i="1"/>
  <c r="F681" i="1"/>
  <c r="F684" i="1"/>
  <c r="F690" i="1"/>
  <c r="F692" i="1"/>
  <c r="F677" i="1"/>
  <c r="F700" i="1"/>
  <c r="F687" i="1"/>
  <c r="F635" i="1"/>
  <c r="F706" i="1"/>
  <c r="F627" i="1"/>
  <c r="F702" i="1"/>
  <c r="F637" i="1"/>
  <c r="F686" i="1"/>
  <c r="F712" i="1"/>
  <c r="F672" i="1"/>
  <c r="F644" i="1"/>
  <c r="G685" i="1"/>
  <c r="G716" i="1"/>
  <c r="G702" i="1"/>
  <c r="G638" i="1"/>
  <c r="G675" i="1"/>
  <c r="G687" i="1"/>
  <c r="G683" i="1"/>
  <c r="G699" i="1"/>
  <c r="G697" i="1"/>
  <c r="G635" i="1"/>
  <c r="G704" i="1"/>
  <c r="G700" i="1"/>
  <c r="G642" i="1"/>
  <c r="G678" i="1"/>
  <c r="G711" i="1"/>
  <c r="G627" i="1"/>
  <c r="G701" i="1"/>
  <c r="G640" i="1"/>
  <c r="G674" i="1"/>
  <c r="G690" i="1"/>
  <c r="G707" i="1"/>
  <c r="G688" i="1"/>
  <c r="G646" i="1"/>
  <c r="G694" i="1"/>
  <c r="G639" i="1"/>
  <c r="G696" i="1"/>
  <c r="G669" i="1"/>
  <c r="G695" i="1"/>
  <c r="G686" i="1"/>
  <c r="G633" i="1"/>
  <c r="G629" i="1"/>
  <c r="G712" i="1"/>
  <c r="G691" i="1"/>
  <c r="G708" i="1"/>
  <c r="G673" i="1"/>
  <c r="G641" i="1"/>
  <c r="G684" i="1"/>
  <c r="G628" i="1"/>
  <c r="G692" i="1"/>
  <c r="G644" i="1"/>
  <c r="G668" i="1"/>
  <c r="G680" i="1"/>
  <c r="G710" i="1"/>
  <c r="G636" i="1"/>
  <c r="G713" i="1"/>
  <c r="G689" i="1"/>
  <c r="G670" i="1"/>
  <c r="G671" i="1"/>
  <c r="G634" i="1"/>
  <c r="G645" i="1"/>
  <c r="G706" i="1"/>
  <c r="G643" i="1"/>
  <c r="G705" i="1"/>
  <c r="G626" i="1" l="1"/>
  <c r="H628" i="1" s="1"/>
  <c r="G676" i="1"/>
  <c r="G647" i="1"/>
  <c r="G681" i="1"/>
  <c r="G677" i="1"/>
  <c r="G630" i="1"/>
  <c r="G632" i="1"/>
  <c r="G709" i="1"/>
  <c r="G693" i="1"/>
  <c r="G698" i="1"/>
  <c r="G679" i="1"/>
  <c r="G637" i="1"/>
  <c r="G672" i="1"/>
  <c r="G682" i="1"/>
  <c r="G703" i="1"/>
  <c r="F715" i="1"/>
  <c r="G715" i="1"/>
  <c r="H686" i="1" l="1"/>
  <c r="H636" i="1"/>
  <c r="H638" i="1"/>
  <c r="H672" i="1"/>
  <c r="H696" i="1"/>
  <c r="H633" i="1"/>
  <c r="H708" i="1"/>
  <c r="H639" i="1"/>
  <c r="H629" i="1"/>
  <c r="H632" i="1"/>
  <c r="H707" i="1"/>
  <c r="H699" i="1"/>
  <c r="H697" i="1"/>
  <c r="H705" i="1"/>
  <c r="H647" i="1"/>
  <c r="H692" i="1"/>
  <c r="H688" i="1"/>
  <c r="H676" i="1"/>
  <c r="H698" i="1"/>
  <c r="H643" i="1"/>
  <c r="H694" i="1"/>
  <c r="H637" i="1"/>
  <c r="H703" i="1"/>
  <c r="H682" i="1"/>
  <c r="H702" i="1"/>
  <c r="H668" i="1"/>
  <c r="H685" i="1"/>
  <c r="H634" i="1"/>
  <c r="H687" i="1"/>
  <c r="H644" i="1"/>
  <c r="H670" i="1"/>
  <c r="H635" i="1"/>
  <c r="H711" i="1"/>
  <c r="H630" i="1"/>
  <c r="H683" i="1"/>
  <c r="H700" i="1"/>
  <c r="H691" i="1"/>
  <c r="H693" i="1"/>
  <c r="H695" i="1"/>
  <c r="H701" i="1"/>
  <c r="H641" i="1"/>
  <c r="H679" i="1"/>
  <c r="H712" i="1"/>
  <c r="H675" i="1"/>
  <c r="H704" i="1"/>
  <c r="H642" i="1"/>
  <c r="H716" i="1"/>
  <c r="H709" i="1"/>
  <c r="H673" i="1"/>
  <c r="H671" i="1"/>
  <c r="H689" i="1"/>
  <c r="H684" i="1"/>
  <c r="H681" i="1"/>
  <c r="H631" i="1"/>
  <c r="H677" i="1"/>
  <c r="H690" i="1"/>
  <c r="H706" i="1"/>
  <c r="H640" i="1"/>
  <c r="H680" i="1"/>
  <c r="H674" i="1"/>
  <c r="H710" i="1"/>
  <c r="H713" i="1"/>
  <c r="H669" i="1"/>
  <c r="H645" i="1"/>
  <c r="H646" i="1"/>
  <c r="H678" i="1"/>
  <c r="H715" i="1" l="1"/>
  <c r="I629" i="1"/>
  <c r="I679" i="1" l="1"/>
  <c r="I678" i="1"/>
  <c r="I670" i="1"/>
  <c r="I712" i="1"/>
  <c r="I636" i="1"/>
  <c r="I639" i="1"/>
  <c r="I689" i="1"/>
  <c r="I630" i="1"/>
  <c r="I644" i="1"/>
  <c r="I673" i="1"/>
  <c r="I632" i="1"/>
  <c r="I687" i="1"/>
  <c r="I642" i="1"/>
  <c r="I675" i="1"/>
  <c r="I716" i="1"/>
  <c r="I682" i="1"/>
  <c r="I637" i="1"/>
  <c r="I705" i="1"/>
  <c r="I700" i="1"/>
  <c r="I635" i="1"/>
  <c r="I671" i="1"/>
  <c r="I681" i="1"/>
  <c r="I686" i="1"/>
  <c r="I683" i="1"/>
  <c r="I707" i="1"/>
  <c r="I692" i="1"/>
  <c r="I702" i="1"/>
  <c r="I668" i="1"/>
  <c r="I699" i="1"/>
  <c r="I696" i="1"/>
  <c r="I680" i="1"/>
  <c r="I684" i="1"/>
  <c r="I631" i="1"/>
  <c r="I697" i="1"/>
  <c r="I674" i="1"/>
  <c r="I647" i="1"/>
  <c r="I633" i="1"/>
  <c r="I698" i="1"/>
  <c r="I713" i="1"/>
  <c r="I641" i="1"/>
  <c r="I634" i="1"/>
  <c r="I669" i="1"/>
  <c r="I646" i="1"/>
  <c r="I638" i="1"/>
  <c r="I640" i="1"/>
  <c r="I711" i="1"/>
  <c r="I676" i="1"/>
  <c r="I701" i="1"/>
  <c r="I643" i="1"/>
  <c r="I645" i="1"/>
  <c r="I677" i="1"/>
  <c r="I694" i="1"/>
  <c r="I690" i="1"/>
  <c r="I703" i="1"/>
  <c r="I709" i="1"/>
  <c r="I691" i="1"/>
  <c r="I704" i="1"/>
  <c r="I706" i="1"/>
  <c r="I693" i="1"/>
  <c r="I710" i="1"/>
  <c r="I708" i="1"/>
  <c r="I672" i="1"/>
  <c r="I685" i="1"/>
  <c r="I688" i="1"/>
  <c r="I695" i="1"/>
  <c r="I715" i="1" l="1"/>
  <c r="J630" i="1"/>
  <c r="J646" i="1" l="1"/>
  <c r="J668" i="1"/>
  <c r="J687" i="1"/>
  <c r="J640" i="1"/>
  <c r="J711" i="1"/>
  <c r="J638" i="1"/>
  <c r="J679" i="1"/>
  <c r="J686" i="1"/>
  <c r="J678" i="1"/>
  <c r="J691" i="1"/>
  <c r="J643" i="1"/>
  <c r="J706" i="1"/>
  <c r="J631" i="1"/>
  <c r="J682" i="1"/>
  <c r="J647" i="1"/>
  <c r="J713" i="1"/>
  <c r="J696" i="1"/>
  <c r="J632" i="1"/>
  <c r="J634" i="1"/>
  <c r="J697" i="1"/>
  <c r="J705" i="1"/>
  <c r="J701" i="1"/>
  <c r="J698" i="1"/>
  <c r="J708" i="1"/>
  <c r="J690" i="1"/>
  <c r="J707" i="1"/>
  <c r="J699" i="1"/>
  <c r="J689" i="1"/>
  <c r="J677" i="1"/>
  <c r="J673" i="1"/>
  <c r="J674" i="1"/>
  <c r="J704" i="1"/>
  <c r="J642" i="1"/>
  <c r="J681" i="1"/>
  <c r="J703" i="1"/>
  <c r="J670" i="1"/>
  <c r="J635" i="1"/>
  <c r="J671" i="1"/>
  <c r="J712" i="1"/>
  <c r="J692" i="1"/>
  <c r="J636" i="1"/>
  <c r="J641" i="1"/>
  <c r="J637" i="1"/>
  <c r="J710" i="1"/>
  <c r="J675" i="1"/>
  <c r="J644" i="1"/>
  <c r="J669" i="1"/>
  <c r="J683" i="1"/>
  <c r="J684" i="1"/>
  <c r="J633" i="1"/>
  <c r="J702" i="1"/>
  <c r="J680" i="1"/>
  <c r="J695" i="1"/>
  <c r="J716" i="1"/>
  <c r="J645" i="1"/>
  <c r="J639" i="1"/>
  <c r="J685" i="1"/>
  <c r="J709" i="1"/>
  <c r="J700" i="1"/>
  <c r="J672" i="1"/>
  <c r="J693" i="1"/>
  <c r="J688" i="1"/>
  <c r="J676" i="1"/>
  <c r="J694" i="1"/>
  <c r="L647" i="1" l="1"/>
  <c r="L706" i="1" s="1"/>
  <c r="K644" i="1"/>
  <c r="K674" i="1" s="1"/>
  <c r="J715" i="1"/>
  <c r="K701" i="1"/>
  <c r="K696" i="1"/>
  <c r="K681" i="1"/>
  <c r="K682" i="1"/>
  <c r="K712" i="1"/>
  <c r="K713" i="1"/>
  <c r="K692" i="1"/>
  <c r="K680" i="1"/>
  <c r="K705" i="1"/>
  <c r="K710" i="1"/>
  <c r="K676" i="1"/>
  <c r="K678" i="1"/>
  <c r="K699" i="1"/>
  <c r="K675" i="1"/>
  <c r="K697" i="1"/>
  <c r="K698" i="1"/>
  <c r="K702" i="1"/>
  <c r="K670" i="1"/>
  <c r="K677" i="1"/>
  <c r="L709" i="1" l="1"/>
  <c r="L703" i="1"/>
  <c r="L710" i="1"/>
  <c r="L679" i="1"/>
  <c r="L699" i="1"/>
  <c r="M699" i="1" s="1"/>
  <c r="L672" i="1"/>
  <c r="L687" i="1"/>
  <c r="L705" i="1"/>
  <c r="M705" i="1" s="1"/>
  <c r="L704" i="1"/>
  <c r="L676" i="1"/>
  <c r="L682" i="1"/>
  <c r="L668" i="1"/>
  <c r="L693" i="1"/>
  <c r="L680" i="1"/>
  <c r="L677" i="1"/>
  <c r="M677" i="1" s="1"/>
  <c r="L697" i="1"/>
  <c r="M697" i="1" s="1"/>
  <c r="L694" i="1"/>
  <c r="L689" i="1"/>
  <c r="L684" i="1"/>
  <c r="L671" i="1"/>
  <c r="L683" i="1"/>
  <c r="L711" i="1"/>
  <c r="L674" i="1"/>
  <c r="L698" i="1"/>
  <c r="M698" i="1" s="1"/>
  <c r="L678" i="1"/>
  <c r="L713" i="1"/>
  <c r="L707" i="1"/>
  <c r="L708" i="1"/>
  <c r="L675" i="1"/>
  <c r="L700" i="1"/>
  <c r="L686" i="1"/>
  <c r="L702" i="1"/>
  <c r="M702" i="1" s="1"/>
  <c r="I151" i="9" s="1"/>
  <c r="L669" i="1"/>
  <c r="L691" i="1"/>
  <c r="L692" i="1"/>
  <c r="M692" i="1" s="1"/>
  <c r="L696" i="1"/>
  <c r="M696" i="1" s="1"/>
  <c r="L688" i="1"/>
  <c r="L670" i="1"/>
  <c r="L712" i="1"/>
  <c r="L701" i="1"/>
  <c r="M701" i="1" s="1"/>
  <c r="H151" i="9" s="1"/>
  <c r="L681" i="1"/>
  <c r="L716" i="1"/>
  <c r="L695" i="1"/>
  <c r="L690" i="1"/>
  <c r="L673" i="1"/>
  <c r="L685" i="1"/>
  <c r="K679" i="1"/>
  <c r="M679" i="1" s="1"/>
  <c r="G55" i="9" s="1"/>
  <c r="K694" i="1"/>
  <c r="M694" i="1" s="1"/>
  <c r="K716" i="1"/>
  <c r="K686" i="1"/>
  <c r="K708" i="1"/>
  <c r="M708" i="1" s="1"/>
  <c r="K689" i="1"/>
  <c r="M689" i="1" s="1"/>
  <c r="K707" i="1"/>
  <c r="M707" i="1" s="1"/>
  <c r="K700" i="1"/>
  <c r="K669" i="1"/>
  <c r="K690" i="1"/>
  <c r="K706" i="1"/>
  <c r="M706" i="1" s="1"/>
  <c r="F183" i="9" s="1"/>
  <c r="K704" i="1"/>
  <c r="M704" i="1" s="1"/>
  <c r="K693" i="1"/>
  <c r="M693" i="1" s="1"/>
  <c r="K709" i="1"/>
  <c r="M709" i="1" s="1"/>
  <c r="K673" i="1"/>
  <c r="K672" i="1"/>
  <c r="M672" i="1" s="1"/>
  <c r="K668" i="1"/>
  <c r="M678" i="1"/>
  <c r="M700" i="1"/>
  <c r="M712" i="1"/>
  <c r="E215" i="9" s="1"/>
  <c r="M681" i="1"/>
  <c r="K711" i="1"/>
  <c r="K685" i="1"/>
  <c r="K703" i="1"/>
  <c r="M703" i="1" s="1"/>
  <c r="K687" i="1"/>
  <c r="M687" i="1" s="1"/>
  <c r="K683" i="1"/>
  <c r="M683" i="1" s="1"/>
  <c r="M682" i="1"/>
  <c r="C87" i="9" s="1"/>
  <c r="M670" i="1"/>
  <c r="E23" i="9" s="1"/>
  <c r="M713" i="1"/>
  <c r="F215" i="9" s="1"/>
  <c r="M680" i="1"/>
  <c r="M675" i="1"/>
  <c r="C55" i="9" s="1"/>
  <c r="K671" i="1"/>
  <c r="M671" i="1" s="1"/>
  <c r="K695" i="1"/>
  <c r="K684" i="1"/>
  <c r="M684" i="1" s="1"/>
  <c r="K691" i="1"/>
  <c r="M691" i="1" s="1"/>
  <c r="K688" i="1"/>
  <c r="M688" i="1" s="1"/>
  <c r="M710" i="1"/>
  <c r="M674" i="1"/>
  <c r="M676" i="1"/>
  <c r="E55" i="9"/>
  <c r="M668" i="1"/>
  <c r="M685" i="1" l="1"/>
  <c r="M686" i="1"/>
  <c r="M711" i="1"/>
  <c r="D215" i="9" s="1"/>
  <c r="L715" i="1"/>
  <c r="G23" i="9"/>
  <c r="M690" i="1"/>
  <c r="D119" i="9" s="1"/>
  <c r="M695" i="1"/>
  <c r="I119" i="9" s="1"/>
  <c r="M673" i="1"/>
  <c r="H23" i="9" s="1"/>
  <c r="M669" i="1"/>
  <c r="H119" i="9"/>
  <c r="E151" i="9"/>
  <c r="I183" i="9"/>
  <c r="D183" i="9"/>
  <c r="H87" i="9"/>
  <c r="G151" i="9"/>
  <c r="H183" i="9"/>
  <c r="F119" i="9"/>
  <c r="D151" i="9"/>
  <c r="C151" i="9"/>
  <c r="G183" i="9"/>
  <c r="G119" i="9"/>
  <c r="I55" i="9"/>
  <c r="F151" i="9"/>
  <c r="E183" i="9"/>
  <c r="F87" i="9"/>
  <c r="C183" i="9"/>
  <c r="D87" i="9"/>
  <c r="I23" i="9"/>
  <c r="F55" i="9"/>
  <c r="G87" i="9"/>
  <c r="E119" i="9"/>
  <c r="F23" i="9"/>
  <c r="I87" i="9"/>
  <c r="E87" i="9"/>
  <c r="C119" i="9"/>
  <c r="H55" i="9"/>
  <c r="D55" i="9"/>
  <c r="K715" i="1"/>
  <c r="C215" i="9"/>
  <c r="C23" i="9"/>
  <c r="M715" i="1" l="1"/>
  <c r="D23" i="9"/>
</calcChain>
</file>

<file path=xl/sharedStrings.xml><?xml version="1.0" encoding="utf-8"?>
<sst xmlns="http://schemas.openxmlformats.org/spreadsheetml/2006/main" count="4685" uniqueCount="1290">
  <si>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</si>
  <si>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</si>
  <si>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</si>
  <si>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</si>
  <si>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</si>
  <si>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</si>
  <si>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</si>
  <si>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</si>
  <si>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</si>
  <si>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</si>
  <si>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</si>
  <si>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</si>
  <si>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</si>
  <si>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</si>
  <si>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</si>
  <si>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</si>
  <si>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</si>
  <si>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</si>
  <si>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</si>
  <si>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</si>
  <si>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</si>
  <si>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</si>
  <si>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</si>
  <si>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</si>
  <si>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</si>
  <si>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</si>
  <si>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</si>
  <si>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</si>
  <si>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</si>
  <si>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</si>
  <si>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</si>
  <si>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</si>
  <si>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</si>
  <si>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</si>
  <si>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</si>
  <si>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</si>
  <si>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</si>
  <si>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</si>
  <si>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</si>
  <si>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</si>
  <si>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</si>
  <si>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</si>
  <si>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</si>
  <si>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</si>
  <si>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</si>
  <si>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</si>
  <si>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</si>
  <si>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</si>
  <si>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</si>
  <si>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</si>
  <si>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</si>
  <si>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</si>
  <si>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</si>
  <si>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</si>
  <si>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</si>
  <si>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</si>
  <si>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</si>
  <si>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</si>
  <si>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</si>
  <si>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</si>
  <si>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</si>
  <si>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</si>
  <si>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</si>
  <si>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</si>
  <si>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</si>
  <si>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</si>
  <si>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</si>
  <si>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</si>
  <si>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</si>
  <si>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</si>
  <si>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</si>
  <si>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</si>
  <si>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</si>
  <si>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</si>
  <si>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</si>
  <si>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</si>
  <si>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</si>
  <si>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</si>
  <si>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</si>
  <si>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</si>
  <si>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</si>
  <si>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</si>
  <si>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</si>
  <si>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</si>
  <si>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</si>
  <si>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</si>
  <si>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</si>
  <si>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</si>
  <si>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</si>
  <si>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</si>
  <si>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</si>
  <si>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</si>
  <si>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</si>
  <si>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</si>
  <si>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</si>
  <si>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</si>
  <si>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</si>
  <si>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</si>
  <si>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</si>
  <si>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</si>
  <si>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</si>
  <si>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</si>
  <si>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</si>
  <si>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</si>
  <si>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</si>
  <si>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</si>
  <si>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</si>
  <si>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</si>
  <si>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</si>
  <si>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</si>
  <si>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</si>
  <si>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</si>
  <si>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</si>
  <si>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</si>
  <si>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</si>
  <si>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</si>
  <si>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</si>
  <si>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</si>
  <si>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</si>
  <si>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</si>
  <si>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</si>
  <si>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</si>
  <si>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</si>
  <si>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</si>
  <si>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</si>
  <si>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</si>
  <si>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</si>
  <si>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</si>
  <si>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</si>
  <si>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</si>
  <si>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</si>
  <si>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</si>
  <si>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</si>
  <si>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</si>
  <si>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</si>
  <si>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</si>
  <si>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</si>
  <si>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</si>
  <si>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</si>
  <si>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</si>
  <si>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</si>
  <si>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</si>
  <si>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</si>
  <si>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</si>
  <si>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</si>
  <si>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</si>
  <si>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</si>
  <si>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</si>
  <si>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</si>
  <si>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</si>
  <si>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</si>
  <si>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</si>
  <si>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</si>
  <si>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</si>
  <si>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</si>
  <si>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</si>
  <si>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</si>
  <si>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</si>
  <si>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</si>
  <si>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</si>
  <si>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</si>
  <si>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</si>
  <si>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</si>
  <si>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</si>
  <si>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</si>
  <si>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</si>
  <si>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</si>
  <si>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</si>
  <si>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</si>
  <si>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</si>
  <si>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</si>
  <si>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</si>
  <si>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</si>
  <si>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</si>
  <si>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</si>
  <si>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</si>
  <si>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</si>
  <si>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</si>
  <si>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</si>
  <si>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</si>
  <si>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</si>
  <si>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</si>
  <si>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</si>
  <si>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</si>
  <si>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</si>
  <si>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</si>
  <si>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</si>
  <si>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</si>
  <si>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</si>
  <si>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</si>
  <si>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</si>
  <si>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</si>
  <si>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</si>
  <si>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</si>
  <si>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</si>
  <si>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</si>
  <si>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</si>
  <si>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</si>
  <si>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</si>
  <si>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</si>
  <si>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</si>
  <si>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</si>
  <si>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</si>
  <si>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</si>
  <si>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</si>
  <si>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</si>
  <si>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</si>
  <si>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</si>
  <si>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</si>
  <si>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</si>
  <si>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</si>
  <si>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</si>
  <si>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</si>
  <si>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</si>
  <si>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</si>
  <si>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</si>
  <si>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</si>
  <si>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</si>
  <si>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</si>
  <si>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</si>
  <si>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</si>
  <si>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</si>
  <si>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</si>
  <si>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</si>
  <si>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</si>
  <si>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</si>
  <si>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</si>
  <si>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</si>
  <si>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</si>
  <si>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</si>
  <si>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</si>
  <si>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</si>
  <si>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</si>
  <si>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</si>
  <si>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</si>
  <si>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</si>
  <si>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</si>
  <si>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</si>
  <si>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</si>
  <si>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</si>
  <si>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</si>
  <si>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</si>
  <si>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</si>
  <si>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</si>
  <si>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</si>
  <si>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</si>
  <si>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</si>
  <si>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</si>
  <si>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</si>
  <si>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</si>
  <si>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</si>
  <si>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</si>
  <si>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</si>
  <si>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</si>
  <si>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</si>
  <si>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</si>
  <si>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</si>
  <si>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</si>
  <si>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</si>
  <si>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</si>
  <si>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</si>
  <si>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</si>
  <si>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</si>
  <si>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</si>
  <si>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</si>
  <si>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</si>
  <si>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</si>
  <si>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</si>
  <si>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</si>
  <si>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</si>
  <si>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</si>
  <si>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</si>
  <si>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</si>
  <si>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</si>
  <si>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</si>
  <si>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</si>
  <si>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</si>
  <si>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</si>
  <si>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</si>
  <si>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</si>
  <si>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</si>
  <si>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</si>
  <si>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</si>
  <si>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</si>
  <si>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</si>
  <si>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</si>
  <si>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</si>
  <si>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</si>
  <si>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</si>
  <si>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</si>
  <si>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</si>
  <si>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</si>
  <si>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</si>
  <si>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</si>
  <si>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</si>
  <si>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</si>
  <si>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</si>
  <si>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</si>
  <si>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</si>
  <si>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</si>
  <si>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</si>
  <si>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</si>
  <si>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</si>
  <si>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</si>
  <si>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</si>
  <si>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</si>
  <si>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</si>
  <si>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</si>
  <si>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</si>
  <si>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</si>
  <si>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</si>
  <si>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</si>
  <si>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</si>
  <si>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</si>
  <si>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</si>
  <si>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</si>
  <si>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</si>
  <si>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</si>
  <si>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</si>
  <si>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</si>
  <si>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</si>
  <si>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</si>
  <si>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</si>
  <si>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</si>
  <si>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</si>
  <si>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</si>
  <si>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</si>
  <si>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</si>
  <si>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</si>
  <si>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</si>
  <si>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</si>
  <si>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</si>
  <si>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</si>
  <si>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</si>
  <si>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</si>
  <si>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</si>
  <si>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</si>
  <si>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</si>
  <si>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</si>
  <si>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</si>
  <si>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</si>
  <si>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</si>
  <si>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</si>
  <si>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</si>
  <si>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</si>
  <si>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</si>
  <si>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</si>
  <si>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</si>
  <si>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</si>
  <si>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</si>
  <si>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</si>
  <si>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</si>
  <si>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</si>
  <si>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</si>
  <si>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</si>
  <si>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</si>
  <si>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</si>
  <si>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</si>
  <si>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</si>
  <si>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</si>
  <si>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</si>
  <si>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</si>
  <si>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</si>
  <si>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</si>
  <si>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</si>
  <si>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</si>
  <si>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</si>
  <si>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</si>
  <si>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</si>
  <si>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</si>
  <si>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</si>
  <si>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</si>
  <si>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</si>
  <si>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</si>
  <si>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</si>
  <si>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</si>
  <si>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</si>
  <si>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</si>
  <si>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</si>
  <si>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</si>
  <si>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</si>
  <si>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</si>
  <si>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</si>
  <si>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</si>
  <si>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</si>
  <si>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</si>
  <si>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</si>
  <si>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</si>
  <si>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</si>
  <si>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</si>
  <si>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</si>
  <si>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</si>
  <si>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</si>
  <si>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</si>
  <si>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</si>
  <si>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</si>
  <si>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</si>
  <si>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</si>
  <si>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</si>
  <si>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</si>
  <si>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</si>
  <si>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</si>
  <si>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</si>
  <si>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</si>
  <si>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</si>
  <si>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</si>
  <si>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</si>
  <si>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</si>
  <si>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</si>
  <si>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</si>
  <si>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</si>
  <si>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</si>
  <si>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</si>
  <si>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</si>
  <si>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</si>
  <si>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</si>
  <si>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</si>
  <si>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</si>
  <si>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</si>
  <si>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</si>
  <si>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</si>
  <si>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</si>
  <si>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</si>
  <si>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</si>
  <si>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</si>
  <si>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</si>
  <si>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</si>
  <si>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</si>
  <si>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</si>
  <si>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</si>
  <si>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</si>
  <si>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</si>
  <si>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</si>
  <si>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</si>
  <si>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</si>
  <si>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</si>
  <si>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</si>
  <si>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</si>
  <si>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</si>
  <si>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</si>
  <si>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</si>
  <si>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</si>
  <si>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</si>
  <si>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</si>
  <si>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</si>
  <si>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</si>
  <si>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</si>
  <si>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</si>
  <si>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</si>
  <si>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</si>
  <si>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</si>
  <si>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</si>
  <si>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</si>
  <si>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</si>
  <si>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</si>
  <si>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</si>
  <si>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</si>
  <si>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</si>
  <si>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</si>
  <si>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</si>
  <si>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</si>
  <si>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</si>
  <si>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</si>
  <si>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</si>
  <si>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</si>
  <si>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</si>
  <si>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</si>
  <si>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</si>
  <si>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</si>
  <si>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</si>
  <si>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</si>
  <si>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</si>
  <si>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</si>
  <si>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</si>
  <si>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</si>
  <si>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</si>
  <si>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</si>
  <si>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</si>
  <si>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</si>
  <si>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</si>
  <si>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</si>
  <si>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</si>
  <si>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</si>
  <si>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</si>
  <si>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</si>
  <si>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</si>
  <si>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</si>
  <si>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</si>
  <si>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</si>
  <si>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</si>
  <si>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</si>
  <si>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</si>
  <si>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</si>
  <si>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</si>
  <si>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</si>
  <si>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</si>
  <si>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</si>
  <si>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</si>
  <si>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</si>
  <si>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</si>
  <si>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</si>
  <si>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</si>
  <si>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</si>
  <si>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</si>
  <si>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</si>
  <si>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</si>
  <si>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</si>
  <si>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</si>
  <si>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</si>
  <si>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</si>
  <si>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</si>
  <si>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</si>
  <si>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</si>
  <si>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</si>
  <si>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</si>
  <si>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</si>
  <si>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</si>
  <si>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</si>
  <si>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</si>
  <si>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</si>
  <si>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</si>
  <si>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</si>
  <si>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</si>
  <si>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</si>
  <si>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</si>
  <si>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</si>
  <si>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</si>
  <si>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</si>
  <si>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</si>
  <si>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</si>
  <si>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</si>
  <si>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</si>
  <si>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</si>
  <si>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</si>
  <si>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</si>
  <si>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</si>
  <si>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</si>
  <si>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</si>
  <si>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</si>
  <si>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</si>
  <si>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</si>
  <si>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</si>
  <si>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</si>
  <si>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</si>
  <si>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</si>
  <si>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</si>
  <si>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</si>
  <si>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</si>
  <si>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</si>
  <si>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</si>
  <si>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</si>
  <si>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</si>
  <si>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</si>
  <si>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</si>
  <si>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</si>
  <si>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</si>
  <si>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</si>
  <si>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</si>
  <si>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</si>
  <si>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</si>
  <si>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</si>
  <si>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</si>
  <si>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</si>
  <si>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</si>
  <si>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</si>
  <si>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</si>
  <si>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</si>
  <si>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</si>
  <si>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</si>
  <si>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</si>
  <si>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</si>
  <si>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</si>
  <si>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</si>
  <si>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</si>
  <si>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</si>
  <si>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</si>
  <si>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</si>
  <si>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</si>
  <si>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</si>
  <si>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</si>
  <si>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</si>
  <si>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</si>
  <si>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</si>
  <si>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</si>
  <si>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</si>
  <si>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</si>
  <si>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</si>
  <si>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</si>
  <si>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</si>
  <si>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</si>
  <si>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</si>
  <si>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</si>
  <si>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</si>
  <si>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</si>
  <si>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</si>
  <si>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</si>
  <si>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</si>
  <si>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</si>
  <si>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</si>
  <si>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</si>
  <si>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</si>
  <si>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</si>
  <si>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</si>
  <si>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</si>
  <si>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</si>
  <si>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</si>
  <si>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</si>
  <si>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</si>
  <si>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</si>
  <si>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</si>
  <si>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</si>
  <si>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</si>
  <si>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</si>
  <si>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</si>
  <si>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</si>
  <si>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</si>
  <si>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</si>
  <si>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</si>
  <si>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</si>
  <si>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</si>
  <si>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</si>
  <si>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</si>
  <si>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</si>
  <si>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</si>
  <si>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</si>
  <si>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</si>
  <si>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</si>
  <si>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</si>
  <si>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</si>
  <si>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</si>
  <si>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</si>
  <si>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</si>
  <si>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</si>
  <si>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</si>
  <si>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</si>
  <si>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</si>
  <si>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</si>
  <si>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</si>
  <si>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</si>
  <si>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</si>
  <si>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</si>
  <si>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</si>
  <si>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</si>
  <si>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</si>
  <si>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</si>
  <si>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</si>
  <si>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</si>
  <si>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</si>
  <si>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</si>
  <si>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</si>
  <si>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</si>
  <si>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</si>
  <si>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</si>
  <si>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</si>
  <si>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</si>
  <si>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</si>
  <si>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</si>
  <si>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</si>
  <si>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</si>
  <si>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</si>
  <si>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</si>
  <si>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</si>
  <si>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</si>
  <si>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</si>
  <si>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</si>
  <si>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</si>
  <si>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</si>
  <si>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</si>
  <si>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</si>
  <si>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</si>
  <si>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</si>
  <si>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</si>
  <si>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</si>
  <si>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</si>
  <si>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</si>
  <si>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</si>
  <si>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</si>
  <si>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</si>
  <si>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</si>
  <si>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</si>
  <si>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</si>
  <si>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</si>
  <si>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</si>
  <si>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</si>
  <si>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</si>
  <si>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</si>
  <si>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</si>
  <si>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</si>
  <si>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</si>
  <si>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</si>
  <si>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</si>
  <si>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</si>
  <si>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</si>
  <si>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</si>
  <si>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</si>
  <si>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</si>
  <si>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</si>
  <si>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</si>
  <si>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</si>
  <si>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</si>
  <si>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</si>
  <si>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</si>
  <si>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</si>
  <si>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</si>
  <si>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</si>
  <si>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</si>
  <si>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</si>
  <si>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</si>
  <si>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</si>
  <si>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</si>
  <si>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</si>
  <si>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</si>
  <si>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</si>
  <si>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</si>
  <si>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</si>
  <si>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</si>
  <si>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</si>
  <si>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</si>
  <si>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</si>
  <si>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</si>
  <si>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</si>
  <si>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</si>
  <si>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</si>
  <si>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</si>
  <si>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</si>
  <si>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</si>
  <si>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</si>
  <si>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</si>
  <si>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</si>
  <si>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</si>
  <si>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</si>
  <si>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</si>
  <si>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</si>
  <si>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</si>
  <si>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</si>
  <si>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</si>
  <si>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</si>
  <si>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</si>
  <si>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</si>
  <si>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</si>
  <si>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</si>
  <si>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</si>
  <si>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</si>
  <si>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</si>
  <si>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</si>
  <si>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</si>
  <si>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</si>
  <si>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</si>
  <si>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</si>
  <si>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</si>
  <si>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</si>
  <si>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</si>
  <si>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</si>
  <si>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</si>
  <si>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</si>
  <si>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</si>
  <si>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</si>
  <si>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</si>
  <si>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</si>
  <si>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</si>
  <si>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</si>
  <si>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</si>
  <si>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</si>
  <si>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</si>
  <si>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</si>
  <si>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</si>
  <si>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</si>
  <si>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</si>
  <si>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</si>
  <si>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</si>
  <si>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</si>
  <si>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</si>
  <si>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</si>
  <si>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</si>
  <si>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</si>
  <si>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</si>
  <si>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</si>
  <si>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</si>
  <si>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</si>
  <si>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</si>
  <si>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</si>
  <si>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</si>
  <si>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</si>
  <si>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</si>
  <si>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</si>
  <si>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</si>
  <si>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</si>
  <si>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</si>
  <si>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</si>
  <si>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</si>
  <si>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</si>
  <si>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</si>
  <si>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</si>
  <si>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</si>
  <si>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</si>
  <si>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</si>
  <si>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</si>
  <si>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</si>
  <si>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</si>
  <si>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</si>
  <si>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</si>
  <si>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</si>
  <si>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</si>
  <si>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</si>
  <si>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</si>
  <si>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</si>
  <si>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</si>
  <si>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</si>
  <si>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</si>
  <si>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</si>
  <si>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</si>
  <si>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</si>
  <si>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</si>
  <si>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</si>
  <si>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</si>
  <si>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</si>
  <si>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</si>
  <si>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</si>
  <si>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</si>
  <si>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</si>
  <si>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</si>
  <si>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</si>
  <si>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</si>
  <si>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</si>
  <si>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</si>
  <si>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</si>
  <si>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</si>
  <si>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</si>
  <si>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</si>
  <si>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</si>
  <si>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</si>
  <si>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</si>
  <si>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</si>
  <si>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</si>
  <si>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</si>
  <si>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</si>
  <si>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</si>
  <si>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</si>
  <si>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</si>
  <si>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</si>
  <si>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</si>
  <si>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</si>
  <si>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</si>
  <si>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</si>
  <si>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</si>
  <si>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</si>
  <si>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</si>
  <si>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</si>
  <si>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</si>
  <si>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</si>
  <si>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</si>
  <si>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</si>
  <si>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</si>
  <si>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</si>
  <si>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</si>
  <si>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</si>
  <si>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</si>
  <si>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</si>
  <si>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</si>
  <si>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</si>
  <si>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</si>
  <si>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</si>
  <si>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</si>
  <si>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</si>
  <si>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</si>
  <si>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</si>
  <si>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</si>
  <si>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</si>
  <si>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</si>
  <si>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</si>
  <si>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</si>
  <si>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</si>
  <si>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</si>
  <si>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</si>
  <si>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</si>
  <si>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</si>
  <si>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</si>
  <si>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</si>
  <si>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</si>
  <si>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</si>
  <si>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</si>
  <si>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</si>
  <si>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</si>
  <si>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</si>
  <si>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</si>
  <si>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</si>
  <si>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</si>
  <si>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</si>
  <si>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</si>
  <si>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</si>
  <si>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</si>
  <si>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</si>
  <si>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</si>
  <si>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</si>
  <si>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</si>
  <si>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</si>
  <si>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</si>
  <si>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</si>
  <si>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</si>
  <si>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</si>
  <si>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</si>
  <si>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</si>
  <si>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</si>
  <si>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</si>
  <si>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</si>
  <si>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</si>
  <si>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</si>
  <si>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</si>
  <si>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</si>
  <si>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</si>
  <si>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</si>
  <si>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</si>
  <si>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</si>
  <si>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</si>
  <si>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</si>
  <si>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</si>
  <si>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</si>
  <si>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</si>
  <si>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</si>
  <si>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</si>
  <si>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</si>
  <si>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</si>
  <si>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</si>
  <si>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</si>
  <si>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</si>
  <si>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</si>
  <si>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</si>
  <si>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</si>
  <si>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</si>
  <si>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</si>
  <si>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</si>
  <si>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</si>
  <si>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</si>
  <si>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</si>
  <si>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</si>
  <si>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</si>
  <si>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</si>
  <si>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</si>
  <si>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</si>
  <si>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</si>
  <si>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</si>
  <si>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</si>
  <si>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</si>
  <si>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</si>
  <si>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</si>
  <si>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</si>
  <si>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</si>
  <si>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</si>
  <si>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</si>
  <si>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</si>
  <si>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</si>
  <si>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</si>
  <si>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</si>
  <si>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</si>
  <si>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</si>
  <si>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</si>
  <si>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</si>
  <si>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</si>
  <si>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</si>
  <si>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</si>
  <si>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</si>
  <si>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</si>
  <si>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</si>
  <si>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</si>
  <si>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</si>
  <si>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</si>
  <si>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</si>
  <si>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</si>
  <si>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</si>
  <si>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</si>
  <si>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</si>
  <si>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</si>
  <si>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</si>
  <si>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</si>
  <si>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</si>
  <si>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</si>
  <si>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</si>
  <si>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</si>
  <si>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</si>
  <si>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</si>
  <si>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</si>
  <si>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</si>
  <si>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</si>
  <si>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</si>
  <si>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</si>
  <si>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</si>
  <si>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</si>
  <si>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</si>
  <si>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</si>
  <si>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</si>
  <si>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</si>
  <si>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</si>
  <si>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</si>
  <si>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</si>
  <si>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</si>
  <si>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</si>
  <si>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</si>
  <si>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</si>
  <si>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</si>
  <si>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</si>
  <si>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</si>
  <si>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</si>
  <si>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</si>
  <si>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</si>
  <si>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</si>
  <si>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</si>
  <si>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</si>
  <si>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</si>
  <si>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</si>
  <si>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</si>
  <si>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</si>
  <si>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</si>
  <si>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</si>
  <si>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</si>
  <si>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</si>
  <si>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</si>
  <si>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</si>
  <si>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</si>
  <si>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</si>
  <si>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</si>
  <si>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</si>
  <si>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</si>
  <si>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</si>
  <si>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</si>
  <si>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</si>
  <si>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</si>
  <si>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</si>
  <si>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</si>
  <si>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</si>
  <si>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</si>
  <si>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</si>
  <si>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</si>
  <si>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</si>
  <si>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</si>
  <si>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</si>
  <si>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</si>
  <si>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</si>
  <si>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</si>
  <si>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</si>
  <si>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</si>
  <si>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</si>
  <si>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</si>
  <si>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</si>
  <si>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</si>
  <si>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</si>
  <si>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</si>
  <si>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</si>
  <si>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</si>
  <si>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</si>
  <si>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</si>
  <si>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</si>
  <si>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</si>
  <si>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</si>
  <si>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</si>
  <si>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</si>
  <si>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</si>
  <si>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</si>
  <si>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</si>
  <si>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</si>
  <si>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</si>
  <si>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</si>
  <si>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</si>
  <si>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</si>
  <si>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</si>
  <si>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</si>
  <si>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</si>
  <si>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</si>
  <si>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</si>
  <si>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</si>
  <si>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</si>
  <si>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</si>
  <si>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</si>
  <si>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</si>
  <si>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</si>
  <si>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</si>
  <si>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</si>
  <si>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</si>
  <si>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</si>
  <si>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</si>
  <si>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</si>
  <si>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</si>
  <si>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</si>
  <si>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</si>
  <si>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</si>
  <si>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</si>
  <si>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</si>
  <si>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</si>
  <si>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</si>
  <si>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</si>
  <si>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</si>
  <si>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</si>
  <si>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</si>
  <si>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</si>
  <si>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</si>
  <si>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</si>
  <si>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</si>
  <si>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</si>
  <si>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</si>
  <si>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</si>
  <si>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</si>
  <si>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</si>
  <si>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</si>
  <si>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</si>
  <si>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</si>
  <si>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</si>
  <si>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</si>
  <si>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</si>
  <si>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</si>
  <si>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</si>
  <si>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</si>
  <si>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</si>
  <si>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</si>
  <si>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</si>
  <si>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</si>
  <si>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</si>
  <si>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</si>
  <si>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</si>
  <si>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</si>
  <si>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</si>
  <si>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</si>
  <si>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</si>
  <si>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</si>
  <si>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</si>
  <si>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</si>
  <si>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</si>
  <si>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</si>
  <si>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</si>
  <si>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</si>
  <si>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</si>
  <si>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</si>
  <si>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</si>
  <si>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</si>
  <si>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</si>
  <si>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</si>
  <si>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</si>
  <si>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</si>
  <si>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</si>
  <si>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</si>
  <si>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</si>
  <si>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</si>
  <si>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</si>
  <si>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</si>
  <si>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</si>
  <si>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</si>
  <si>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</si>
  <si>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</si>
  <si>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</si>
  <si>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</si>
  <si>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</si>
  <si>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</si>
  <si>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</si>
  <si>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</si>
  <si>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</si>
  <si>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</si>
  <si>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</si>
  <si>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</si>
  <si>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</si>
  <si>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</si>
  <si>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</si>
  <si>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</si>
  <si>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</si>
  <si>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</si>
  <si>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</si>
  <si>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</si>
  <si>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</si>
  <si>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</si>
  <si>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</si>
  <si>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</si>
  <si>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</si>
  <si>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</si>
  <si>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</si>
  <si>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</si>
  <si>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</si>
  <si>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</si>
  <si>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</si>
  <si>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</si>
  <si>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</si>
  <si>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</si>
  <si>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</si>
  <si>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</si>
  <si>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</si>
  <si>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</si>
  <si>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</si>
  <si>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</si>
  <si>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</si>
  <si>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</si>
  <si>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</si>
  <si>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</si>
  <si>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</si>
  <si>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</si>
  <si>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</si>
  <si>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</si>
  <si>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</si>
  <si>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</si>
  <si>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</si>
  <si>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</si>
  <si>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</si>
  <si>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</si>
  <si>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</si>
  <si>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</si>
  <si>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</si>
  <si>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</si>
  <si>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</si>
  <si>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</si>
  <si>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</si>
  <si>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</si>
  <si>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</si>
  <si>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</si>
  <si>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</si>
  <si>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</si>
  <si>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</si>
  <si>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</si>
  <si>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</si>
  <si>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</si>
  <si>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</si>
  <si>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</si>
  <si>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</si>
  <si>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</si>
  <si>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</si>
  <si>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</si>
  <si>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</si>
  <si>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</si>
  <si>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</si>
  <si>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</si>
  <si>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</si>
  <si>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</si>
  <si>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</si>
  <si>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</si>
  <si>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</si>
  <si>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</si>
  <si>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</si>
  <si>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</si>
  <si>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</si>
  <si>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</si>
  <si>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</si>
  <si>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</si>
  <si>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</si>
  <si>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</si>
  <si>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</si>
  <si>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</si>
  <si>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</si>
  <si>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</si>
  <si>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</si>
  <si>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</si>
  <si>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</si>
  <si>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</si>
  <si>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</si>
  <si>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</si>
  <si>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</si>
  <si>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</si>
  <si>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</si>
  <si>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</si>
  <si>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</si>
  <si>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</si>
  <si>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</si>
  <si>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</si>
  <si>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</si>
  <si>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</si>
  <si>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</si>
  <si>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</si>
  <si>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</si>
  <si>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</si>
  <si>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</si>
  <si>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</si>
  <si>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</si>
  <si>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12/31/2017</t>
  </si>
  <si>
    <t>2016</t>
  </si>
  <si>
    <t>12/31/2018</t>
  </si>
  <si>
    <t>054</t>
  </si>
  <si>
    <t>Forks Community Hospital</t>
  </si>
  <si>
    <t>530 Bogachiel Way</t>
  </si>
  <si>
    <t>Forks, WA 98331</t>
  </si>
  <si>
    <t>Clallam</t>
  </si>
  <si>
    <t>Tim Cournyer</t>
  </si>
  <si>
    <t>Paul Babcock</t>
  </si>
  <si>
    <t>Don Lawley</t>
  </si>
  <si>
    <t xml:space="preserve">(360)374-6271 </t>
  </si>
  <si>
    <t>(360)374-5220</t>
  </si>
  <si>
    <t>In November of 2016, we reclassified 8 beds from our Long Term Care (Skilled Nursing) to become Swing Beds</t>
  </si>
  <si>
    <t>Decrease in Surgical/Recovery volume, but not in underlying costs</t>
  </si>
  <si>
    <t>Changed the stat from Lab RVUs to Lab Tests</t>
  </si>
  <si>
    <t>We had a licensed RT for the first half of the year, stats were up the first part of the year, then down at the end. Still looking for another RT.</t>
  </si>
  <si>
    <t>CENSUS DECREASE. INCREASE IN OP EXPENSE DUE TO RN WAGE INCREASES AND HIRING INDEPENDENTLY CONTRACTED PROVIDERS</t>
  </si>
  <si>
    <t>OB CLOSED ALL 2018. ONLY EMERGENT DELIVERIES</t>
  </si>
  <si>
    <t>DECREASE IN ORTHOPEDIC PROCEDURES AND NO CESAREAN DELIVERIES DUE TO CLOSED OB</t>
  </si>
  <si>
    <t>DESCREASE IN TESTS PERFORMED DUE TO LESS STAFFING COVERAGE</t>
  </si>
  <si>
    <t>CENSUS INCREASE</t>
  </si>
  <si>
    <t>METHODOLOGY CHANGE IN TRACKING VISITS WAS IMPLEMENTED IN 2017. 2017 ACTUAL VISIT COUNT WAS 10818</t>
  </si>
  <si>
    <t xml:space="preserve">VISITS NOT TRACKED UNTIL  FEB 2017, RVUS REPORTED IN 2017. </t>
  </si>
  <si>
    <t xml:space="preserve">CENSUS AND OTHER VOLUMES WERE DOWN, BUT CAFETERIA IS STAFFED AT A MINIMUM, PAYROLL AND SUPPLY COSTS WENT UP DESPITE LOWER VOLUME.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</si>
</sst>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7" fontId="6" fillId="0" borderId="0"/>
  </cellStyleXfs>
  <cellXfs count="28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10 2 3" xfId="4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5089252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367039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350017</v>
      </c>
      <c r="L48" s="195">
        <f>ROUND(((B48/CE61)*L61),0)</f>
        <v>348468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822</v>
      </c>
      <c r="P48" s="195">
        <f>ROUND(((B48/CE61)*P61),0)</f>
        <v>121647</v>
      </c>
      <c r="Q48" s="195">
        <f>ROUND(((B48/CE61)*Q61),0)</f>
        <v>3100</v>
      </c>
      <c r="R48" s="195">
        <f>ROUND(((B48/CE61)*R61),0)</f>
        <v>129237</v>
      </c>
      <c r="S48" s="195">
        <f>ROUND(((B48/CE61)*S61),0)</f>
        <v>22808</v>
      </c>
      <c r="T48" s="195">
        <f>ROUND(((B48/CE61)*T61),0)</f>
        <v>0</v>
      </c>
      <c r="U48" s="195">
        <f>ROUND(((B48/CE61)*U61),0)</f>
        <v>197614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345389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81563</v>
      </c>
      <c r="AC48" s="195">
        <f>ROUND(((B48/CE61)*AC61),0)</f>
        <v>16855</v>
      </c>
      <c r="AD48" s="195">
        <f>ROUND(((B48/CE61)*AD61),0)</f>
        <v>0</v>
      </c>
      <c r="AE48" s="195">
        <f>ROUND(((B48/CE61)*AE61),0)</f>
        <v>136500</v>
      </c>
      <c r="AF48" s="195">
        <f>ROUND(((B48/CE61)*AF61),0)</f>
        <v>0</v>
      </c>
      <c r="AG48" s="195">
        <f>ROUND(((B48/CE61)*AG61),0)</f>
        <v>315318</v>
      </c>
      <c r="AH48" s="195">
        <f>ROUND(((B48/CE61)*AH61),0)</f>
        <v>79239</v>
      </c>
      <c r="AI48" s="195">
        <f>ROUND(((B48/CE61)*AI61),0)</f>
        <v>15026</v>
      </c>
      <c r="AJ48" s="195">
        <f>ROUND(((B48/CE61)*AJ61),0)</f>
        <v>789458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344884</v>
      </c>
      <c r="AV48" s="195">
        <f>ROUND(((B48/CE61)*AV61),0)</f>
        <v>48152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153536</v>
      </c>
      <c r="AZ48" s="195">
        <f>ROUND(((B48/CE61)*AZ61),0)</f>
        <v>0</v>
      </c>
      <c r="BA48" s="195">
        <f>ROUND(((B48/CE61)*BA61),0)</f>
        <v>6385</v>
      </c>
      <c r="BB48" s="195">
        <f>ROUND(((B48/CE61)*BB61),0)</f>
        <v>53065</v>
      </c>
      <c r="BC48" s="195">
        <f>ROUND(((B48/CE61)*BC61),0)</f>
        <v>0</v>
      </c>
      <c r="BD48" s="195">
        <f>ROUND(((B48/CE61)*BD61),0)</f>
        <v>37624</v>
      </c>
      <c r="BE48" s="195">
        <f>ROUND(((B48/CE61)*BE61),0)</f>
        <v>107949</v>
      </c>
      <c r="BF48" s="195">
        <f>ROUND(((B48/CE61)*BF61),0)</f>
        <v>141163</v>
      </c>
      <c r="BG48" s="195">
        <f>ROUND(((B48/CE61)*BG61),0)</f>
        <v>0</v>
      </c>
      <c r="BH48" s="195">
        <f>ROUND(((B48/CE61)*BH61),0)</f>
        <v>86930</v>
      </c>
      <c r="BI48" s="195">
        <f>ROUND(((B48/CE61)*BI61),0)</f>
        <v>0</v>
      </c>
      <c r="BJ48" s="195">
        <f>ROUND(((B48/CE61)*BJ61),0)</f>
        <v>58768</v>
      </c>
      <c r="BK48" s="195">
        <f>ROUND(((B48/CE61)*BK61),0)</f>
        <v>190682</v>
      </c>
      <c r="BL48" s="195">
        <f>ROUND(((B48/CE61)*BL61),0)</f>
        <v>76968</v>
      </c>
      <c r="BM48" s="195">
        <f>ROUND(((B48/CE61)*BM61),0)</f>
        <v>0</v>
      </c>
      <c r="BN48" s="195">
        <f>ROUND(((B48/CE61)*BN61),0)</f>
        <v>180835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55434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53164</v>
      </c>
      <c r="BW48" s="195">
        <f>ROUND(((B48/CE61)*BW61),0)</f>
        <v>0</v>
      </c>
      <c r="BX48" s="195">
        <f>ROUND(((B48/CE61)*BX61),0)</f>
        <v>81586</v>
      </c>
      <c r="BY48" s="195">
        <f>ROUND(((B48/CE61)*BY61),0)</f>
        <v>65535</v>
      </c>
      <c r="BZ48" s="195">
        <f>ROUND(((B48/CE61)*BZ61),0)</f>
        <v>0</v>
      </c>
      <c r="CA48" s="195">
        <f>ROUND(((B48/CE61)*CA61),0)</f>
        <v>26491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5089251</v>
      </c>
    </row>
    <row r="49" spans="1:84" ht="12.6" customHeight="1" x14ac:dyDescent="0.25">
      <c r="A49" s="175" t="s">
        <v>206</v>
      </c>
      <c r="B49" s="195">
        <f>B47+B48</f>
        <v>5089252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615814</v>
      </c>
      <c r="C51" s="184"/>
      <c r="D51" s="184"/>
      <c r="E51" s="184">
        <v>17359</v>
      </c>
      <c r="F51" s="184"/>
      <c r="G51" s="184"/>
      <c r="H51" s="184"/>
      <c r="I51" s="184"/>
      <c r="J51" s="184">
        <v>196</v>
      </c>
      <c r="K51" s="184">
        <v>6747</v>
      </c>
      <c r="L51" s="184">
        <v>2494</v>
      </c>
      <c r="M51" s="184"/>
      <c r="N51" s="184"/>
      <c r="O51" s="184">
        <v>4784</v>
      </c>
      <c r="P51" s="184">
        <v>58808</v>
      </c>
      <c r="Q51" s="184"/>
      <c r="R51" s="184">
        <v>2931</v>
      </c>
      <c r="S51" s="184"/>
      <c r="T51" s="184"/>
      <c r="U51" s="184">
        <v>12734</v>
      </c>
      <c r="V51" s="184"/>
      <c r="W51" s="184"/>
      <c r="X51" s="184"/>
      <c r="Y51" s="184">
        <v>107607</v>
      </c>
      <c r="Z51" s="184"/>
      <c r="AA51" s="184"/>
      <c r="AB51" s="184">
        <v>12453</v>
      </c>
      <c r="AC51" s="184">
        <v>6669</v>
      </c>
      <c r="AD51" s="184"/>
      <c r="AE51" s="184"/>
      <c r="AF51" s="184"/>
      <c r="AG51" s="184">
        <v>29307</v>
      </c>
      <c r="AH51" s="184">
        <v>71119</v>
      </c>
      <c r="AI51" s="184"/>
      <c r="AJ51" s="184">
        <v>45613</v>
      </c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>
        <v>4564</v>
      </c>
      <c r="AV51" s="184">
        <v>26770</v>
      </c>
      <c r="AW51" s="184"/>
      <c r="AX51" s="184"/>
      <c r="AY51" s="184">
        <v>1022</v>
      </c>
      <c r="AZ51" s="184"/>
      <c r="BA51" s="184"/>
      <c r="BB51" s="184"/>
      <c r="BC51" s="184"/>
      <c r="BD51" s="184"/>
      <c r="BE51" s="184">
        <v>5738</v>
      </c>
      <c r="BF51" s="184">
        <v>1584</v>
      </c>
      <c r="BG51" s="184"/>
      <c r="BH51" s="184">
        <v>187046</v>
      </c>
      <c r="BI51" s="184"/>
      <c r="BJ51" s="184"/>
      <c r="BK51" s="184">
        <v>41</v>
      </c>
      <c r="BL51" s="184">
        <v>5</v>
      </c>
      <c r="BM51" s="184"/>
      <c r="BN51" s="184">
        <v>6240</v>
      </c>
      <c r="BO51" s="184"/>
      <c r="BP51" s="184"/>
      <c r="BQ51" s="184"/>
      <c r="BR51" s="184">
        <v>3135</v>
      </c>
      <c r="BS51" s="184"/>
      <c r="BT51" s="184"/>
      <c r="BU51" s="184"/>
      <c r="BV51" s="184">
        <v>24</v>
      </c>
      <c r="BW51" s="184"/>
      <c r="BX51" s="184"/>
      <c r="BY51" s="184"/>
      <c r="BZ51" s="184"/>
      <c r="CA51" s="184">
        <v>824</v>
      </c>
      <c r="CB51" s="184"/>
      <c r="CC51" s="184"/>
      <c r="CD51" s="195"/>
      <c r="CE51" s="195">
        <f>SUM(C51:CD51)</f>
        <v>615814</v>
      </c>
    </row>
    <row r="52" spans="1:84" ht="12.6" customHeight="1" x14ac:dyDescent="0.25">
      <c r="A52" s="171" t="s">
        <v>208</v>
      </c>
      <c r="B52" s="184">
        <v>476739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22488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1418</v>
      </c>
      <c r="K52" s="195">
        <f>ROUND((B52/(CE76+CF76)*K76),0)</f>
        <v>20519</v>
      </c>
      <c r="L52" s="195">
        <f>ROUND((B52/(CE76+CF76)*L76),0)</f>
        <v>14738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4465</v>
      </c>
      <c r="P52" s="195">
        <f>ROUND((B52/(CE76+CF76)*P76),0)</f>
        <v>51115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12819</v>
      </c>
      <c r="T52" s="195">
        <f>ROUND((B52/(CE76+CF76)*T76),0)</f>
        <v>0</v>
      </c>
      <c r="U52" s="195">
        <f>ROUND((B52/(CE76+CF76)*U76),0)</f>
        <v>10697</v>
      </c>
      <c r="V52" s="195">
        <f>ROUND((B52/(CE76+CF76)*V76),0)</f>
        <v>2003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21147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3345</v>
      </c>
      <c r="AC52" s="195">
        <f>ROUND((B52/(CE76+CF76)*AC76),0)</f>
        <v>6384</v>
      </c>
      <c r="AD52" s="195">
        <f>ROUND((B52/(CE76+CF76)*AD76),0)</f>
        <v>0</v>
      </c>
      <c r="AE52" s="195">
        <f>ROUND((B52/(CE76+CF76)*AE76),0)</f>
        <v>25434</v>
      </c>
      <c r="AF52" s="195">
        <f>ROUND((B52/(CE76+CF76)*AF76),0)</f>
        <v>0</v>
      </c>
      <c r="AG52" s="195">
        <f>ROUND((B52/(CE76+CF76)*AG76),0)</f>
        <v>13388</v>
      </c>
      <c r="AH52" s="195">
        <f>ROUND((B52/(CE76+CF76)*AH76),0)</f>
        <v>14008</v>
      </c>
      <c r="AI52" s="195">
        <f>ROUND((B52/(CE76+CF76)*AI76),0)</f>
        <v>0</v>
      </c>
      <c r="AJ52" s="195">
        <f>ROUND((B52/(CE76+CF76)*AJ76),0)</f>
        <v>102603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16215</v>
      </c>
      <c r="AV52" s="195">
        <f>ROUND((B52/(CE76+CF76)*AV76),0)</f>
        <v>7657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8948</v>
      </c>
      <c r="AZ52" s="195">
        <f>ROUND((B52/(CE76+CF76)*AZ76),0)</f>
        <v>6248</v>
      </c>
      <c r="BA52" s="195">
        <f>ROUND((B52/(CE76+CF76)*BA76),0)</f>
        <v>6342</v>
      </c>
      <c r="BB52" s="195">
        <f>ROUND((B52/(CE76+CF76)*BB76),0)</f>
        <v>849</v>
      </c>
      <c r="BC52" s="195">
        <f>ROUND((B52/(CE76+CF76)*BC76),0)</f>
        <v>0</v>
      </c>
      <c r="BD52" s="195">
        <f>ROUND((B52/(CE76+CF76)*BD76),0)</f>
        <v>849</v>
      </c>
      <c r="BE52" s="195">
        <f>ROUND((B52/(CE76+CF76)*BE76),0)</f>
        <v>14975</v>
      </c>
      <c r="BF52" s="195">
        <f>ROUND((B52/(CE76+CF76)*BF76),0)</f>
        <v>976</v>
      </c>
      <c r="BG52" s="195">
        <f>ROUND((B52/(CE76+CF76)*BG76),0)</f>
        <v>0</v>
      </c>
      <c r="BH52" s="195">
        <f>ROUND((B52/(CE76+CF76)*BH76),0)</f>
        <v>3022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15654</v>
      </c>
      <c r="BL52" s="195">
        <f>ROUND((B52/(CE76+CF76)*BL76),0)</f>
        <v>1256</v>
      </c>
      <c r="BM52" s="195">
        <f>ROUND((B52/(CE76+CF76)*BM76),0)</f>
        <v>0</v>
      </c>
      <c r="BN52" s="195">
        <f>ROUND((B52/(CE76+CF76)*BN76),0)</f>
        <v>56752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3447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5196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1783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476740</v>
      </c>
    </row>
    <row r="53" spans="1:84" ht="12.6" customHeight="1" x14ac:dyDescent="0.25">
      <c r="A53" s="175" t="s">
        <v>206</v>
      </c>
      <c r="B53" s="195">
        <f>B51+B52</f>
        <v>1092553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662</v>
      </c>
      <c r="F59" s="184"/>
      <c r="G59" s="184"/>
      <c r="H59" s="184"/>
      <c r="I59" s="184"/>
      <c r="J59" s="184">
        <v>12</v>
      </c>
      <c r="K59" s="184">
        <v>4303</v>
      </c>
      <c r="L59" s="184">
        <v>3735</v>
      </c>
      <c r="M59" s="184"/>
      <c r="N59" s="184"/>
      <c r="O59" s="184">
        <v>5</v>
      </c>
      <c r="P59" s="185">
        <v>10692</v>
      </c>
      <c r="Q59" s="185">
        <v>11831</v>
      </c>
      <c r="R59" s="185">
        <v>19080</v>
      </c>
      <c r="S59" s="248"/>
      <c r="T59" s="248"/>
      <c r="U59" s="224">
        <v>52574</v>
      </c>
      <c r="V59" s="185"/>
      <c r="W59" s="185">
        <v>6536</v>
      </c>
      <c r="X59" s="185">
        <v>10370</v>
      </c>
      <c r="Y59" s="185">
        <v>6862</v>
      </c>
      <c r="Z59" s="185"/>
      <c r="AA59" s="185">
        <v>527</v>
      </c>
      <c r="AB59" s="248"/>
      <c r="AC59" s="185">
        <v>472</v>
      </c>
      <c r="AD59" s="185"/>
      <c r="AE59" s="185">
        <v>6329</v>
      </c>
      <c r="AF59" s="185"/>
      <c r="AG59" s="185">
        <v>5585</v>
      </c>
      <c r="AH59" s="185">
        <v>791</v>
      </c>
      <c r="AI59" s="185">
        <v>360</v>
      </c>
      <c r="AJ59" s="185">
        <v>17082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>
        <v>11353</v>
      </c>
      <c r="AV59" s="248"/>
      <c r="AW59" s="248"/>
      <c r="AX59" s="248"/>
      <c r="AY59" s="185">
        <v>117889</v>
      </c>
      <c r="AZ59" s="185"/>
      <c r="BA59" s="248"/>
      <c r="BB59" s="248"/>
      <c r="BC59" s="248"/>
      <c r="BD59" s="248"/>
      <c r="BE59" s="185">
        <v>56157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/>
      <c r="D60" s="187"/>
      <c r="E60" s="187">
        <v>11.73</v>
      </c>
      <c r="F60" s="223"/>
      <c r="G60" s="187"/>
      <c r="H60" s="187"/>
      <c r="I60" s="187"/>
      <c r="J60" s="223">
        <v>0</v>
      </c>
      <c r="K60" s="187">
        <v>16.64</v>
      </c>
      <c r="L60" s="187">
        <v>16.440000000000001</v>
      </c>
      <c r="M60" s="187"/>
      <c r="N60" s="187"/>
      <c r="O60" s="187">
        <v>0.03</v>
      </c>
      <c r="P60" s="221">
        <v>3.18</v>
      </c>
      <c r="Q60" s="221">
        <v>0.09</v>
      </c>
      <c r="R60" s="221">
        <v>0.82</v>
      </c>
      <c r="S60" s="221">
        <v>2.0699999999999998</v>
      </c>
      <c r="T60" s="221"/>
      <c r="U60" s="221">
        <v>7.38</v>
      </c>
      <c r="V60" s="221"/>
      <c r="W60" s="221">
        <v>0</v>
      </c>
      <c r="X60" s="221">
        <v>0</v>
      </c>
      <c r="Y60" s="221">
        <v>9.0500000000000007</v>
      </c>
      <c r="Z60" s="221"/>
      <c r="AA60" s="221">
        <v>0</v>
      </c>
      <c r="AB60" s="221">
        <v>2.12</v>
      </c>
      <c r="AC60" s="221">
        <v>0.49</v>
      </c>
      <c r="AD60" s="221"/>
      <c r="AE60" s="221">
        <v>6.1</v>
      </c>
      <c r="AF60" s="221"/>
      <c r="AG60" s="221">
        <v>6.1400000000000006</v>
      </c>
      <c r="AH60" s="221">
        <v>4.8600000000000003</v>
      </c>
      <c r="AI60" s="221">
        <v>0.56999999999999995</v>
      </c>
      <c r="AJ60" s="221">
        <v>30.709999999999997</v>
      </c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>
        <v>17.920000000000002</v>
      </c>
      <c r="AV60" s="221">
        <v>2.2599999999999998</v>
      </c>
      <c r="AW60" s="221"/>
      <c r="AX60" s="221"/>
      <c r="AY60" s="221">
        <v>11.94</v>
      </c>
      <c r="AZ60" s="221"/>
      <c r="BA60" s="221">
        <v>0.66</v>
      </c>
      <c r="BB60" s="221">
        <v>1.88</v>
      </c>
      <c r="BC60" s="221"/>
      <c r="BD60" s="221">
        <v>2.02</v>
      </c>
      <c r="BE60" s="221">
        <v>5.31</v>
      </c>
      <c r="BF60" s="221">
        <v>12.52</v>
      </c>
      <c r="BG60" s="221"/>
      <c r="BH60" s="221">
        <v>3.25</v>
      </c>
      <c r="BI60" s="221"/>
      <c r="BJ60" s="221">
        <v>3.42</v>
      </c>
      <c r="BK60" s="221">
        <v>12.47</v>
      </c>
      <c r="BL60" s="221">
        <v>5.43</v>
      </c>
      <c r="BM60" s="221"/>
      <c r="BN60" s="221">
        <v>4.6399999999999997</v>
      </c>
      <c r="BO60" s="221"/>
      <c r="BP60" s="221"/>
      <c r="BQ60" s="221"/>
      <c r="BR60" s="221">
        <v>2.08</v>
      </c>
      <c r="BS60" s="221"/>
      <c r="BT60" s="221"/>
      <c r="BU60" s="221"/>
      <c r="BV60" s="221">
        <v>3.33</v>
      </c>
      <c r="BW60" s="221"/>
      <c r="BX60" s="221">
        <v>2.85</v>
      </c>
      <c r="BY60" s="221">
        <v>1.93</v>
      </c>
      <c r="BZ60" s="221"/>
      <c r="CA60" s="221">
        <v>1.04</v>
      </c>
      <c r="CB60" s="221"/>
      <c r="CC60" s="221"/>
      <c r="CD60" s="249" t="s">
        <v>221</v>
      </c>
      <c r="CE60" s="251">
        <f t="shared" ref="CE60:CE70" si="0">SUM(C60:CD60)</f>
        <v>213.36999999999998</v>
      </c>
    </row>
    <row r="61" spans="1:84" ht="12.6" customHeight="1" x14ac:dyDescent="0.25">
      <c r="A61" s="171" t="s">
        <v>235</v>
      </c>
      <c r="B61" s="175"/>
      <c r="C61" s="184"/>
      <c r="D61" s="184"/>
      <c r="E61" s="184">
        <v>1012228</v>
      </c>
      <c r="F61" s="185"/>
      <c r="G61" s="184"/>
      <c r="H61" s="184"/>
      <c r="I61" s="185"/>
      <c r="J61" s="185">
        <v>0</v>
      </c>
      <c r="K61" s="185">
        <v>965284</v>
      </c>
      <c r="L61" s="185">
        <v>961012</v>
      </c>
      <c r="M61" s="184"/>
      <c r="N61" s="184"/>
      <c r="O61" s="184">
        <v>2268</v>
      </c>
      <c r="P61" s="185">
        <v>335479</v>
      </c>
      <c r="Q61" s="185">
        <v>8548</v>
      </c>
      <c r="R61" s="185">
        <v>356412</v>
      </c>
      <c r="S61" s="185">
        <v>62901</v>
      </c>
      <c r="T61" s="185"/>
      <c r="U61" s="185">
        <v>544984</v>
      </c>
      <c r="V61" s="185"/>
      <c r="W61" s="185">
        <v>0</v>
      </c>
      <c r="X61" s="185">
        <v>0</v>
      </c>
      <c r="Y61" s="185">
        <v>952519</v>
      </c>
      <c r="Z61" s="185"/>
      <c r="AA61" s="185">
        <v>0</v>
      </c>
      <c r="AB61" s="185">
        <v>224937</v>
      </c>
      <c r="AC61" s="185">
        <v>46483</v>
      </c>
      <c r="AD61" s="185"/>
      <c r="AE61" s="185">
        <v>376442</v>
      </c>
      <c r="AF61" s="185"/>
      <c r="AG61" s="185">
        <v>869590</v>
      </c>
      <c r="AH61" s="185">
        <v>218528</v>
      </c>
      <c r="AI61" s="185">
        <v>41439</v>
      </c>
      <c r="AJ61" s="185">
        <v>2177182</v>
      </c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>
        <v>951128</v>
      </c>
      <c r="AV61" s="185">
        <v>132794</v>
      </c>
      <c r="AW61" s="185"/>
      <c r="AX61" s="185"/>
      <c r="AY61" s="185">
        <v>423424</v>
      </c>
      <c r="AZ61" s="185"/>
      <c r="BA61" s="185">
        <v>17610</v>
      </c>
      <c r="BB61" s="185">
        <v>146344</v>
      </c>
      <c r="BC61" s="185"/>
      <c r="BD61" s="185">
        <v>103760</v>
      </c>
      <c r="BE61" s="185">
        <v>297704</v>
      </c>
      <c r="BF61" s="185">
        <v>389301</v>
      </c>
      <c r="BG61" s="185"/>
      <c r="BH61" s="185">
        <v>239736</v>
      </c>
      <c r="BI61" s="185"/>
      <c r="BJ61" s="185">
        <v>162071</v>
      </c>
      <c r="BK61" s="185">
        <v>525866</v>
      </c>
      <c r="BL61" s="185">
        <v>212265</v>
      </c>
      <c r="BM61" s="185"/>
      <c r="BN61" s="185">
        <v>498711</v>
      </c>
      <c r="BO61" s="185"/>
      <c r="BP61" s="185"/>
      <c r="BQ61" s="185"/>
      <c r="BR61" s="185">
        <v>152876</v>
      </c>
      <c r="BS61" s="185"/>
      <c r="BT61" s="185"/>
      <c r="BU61" s="185"/>
      <c r="BV61" s="185">
        <v>146617</v>
      </c>
      <c r="BW61" s="185"/>
      <c r="BX61" s="185">
        <v>224998</v>
      </c>
      <c r="BY61" s="185">
        <v>180733</v>
      </c>
      <c r="BZ61" s="185"/>
      <c r="CA61" s="185">
        <v>73058</v>
      </c>
      <c r="CB61" s="185"/>
      <c r="CC61" s="185"/>
      <c r="CD61" s="249" t="s">
        <v>221</v>
      </c>
      <c r="CE61" s="195">
        <f t="shared" si="0"/>
        <v>14035232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367039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350017</v>
      </c>
      <c r="L62" s="195">
        <f t="shared" si="1"/>
        <v>348468</v>
      </c>
      <c r="M62" s="195">
        <f t="shared" si="1"/>
        <v>0</v>
      </c>
      <c r="N62" s="195">
        <f t="shared" si="1"/>
        <v>0</v>
      </c>
      <c r="O62" s="195">
        <f t="shared" si="1"/>
        <v>822</v>
      </c>
      <c r="P62" s="195">
        <f t="shared" si="1"/>
        <v>121647</v>
      </c>
      <c r="Q62" s="195">
        <f t="shared" si="1"/>
        <v>3100</v>
      </c>
      <c r="R62" s="195">
        <f t="shared" si="1"/>
        <v>129237</v>
      </c>
      <c r="S62" s="195">
        <f t="shared" si="1"/>
        <v>22808</v>
      </c>
      <c r="T62" s="195">
        <f t="shared" si="1"/>
        <v>0</v>
      </c>
      <c r="U62" s="195">
        <f t="shared" si="1"/>
        <v>197614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345389</v>
      </c>
      <c r="Z62" s="195">
        <f t="shared" si="1"/>
        <v>0</v>
      </c>
      <c r="AA62" s="195">
        <f t="shared" si="1"/>
        <v>0</v>
      </c>
      <c r="AB62" s="195">
        <f t="shared" si="1"/>
        <v>81563</v>
      </c>
      <c r="AC62" s="195">
        <f t="shared" si="1"/>
        <v>16855</v>
      </c>
      <c r="AD62" s="195">
        <f t="shared" si="1"/>
        <v>0</v>
      </c>
      <c r="AE62" s="195">
        <f t="shared" si="1"/>
        <v>136500</v>
      </c>
      <c r="AF62" s="195">
        <f t="shared" si="1"/>
        <v>0</v>
      </c>
      <c r="AG62" s="195">
        <f t="shared" si="1"/>
        <v>315318</v>
      </c>
      <c r="AH62" s="195">
        <f t="shared" si="1"/>
        <v>79239</v>
      </c>
      <c r="AI62" s="195">
        <f t="shared" si="1"/>
        <v>15026</v>
      </c>
      <c r="AJ62" s="195">
        <f t="shared" si="1"/>
        <v>789458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344884</v>
      </c>
      <c r="AV62" s="195">
        <f t="shared" si="1"/>
        <v>48152</v>
      </c>
      <c r="AW62" s="195">
        <f t="shared" si="1"/>
        <v>0</v>
      </c>
      <c r="AX62" s="195">
        <f t="shared" si="1"/>
        <v>0</v>
      </c>
      <c r="AY62" s="195">
        <f>ROUND(AY47+AY48,0)</f>
        <v>153536</v>
      </c>
      <c r="AZ62" s="195">
        <f>ROUND(AZ47+AZ48,0)</f>
        <v>0</v>
      </c>
      <c r="BA62" s="195">
        <f>ROUND(BA47+BA48,0)</f>
        <v>6385</v>
      </c>
      <c r="BB62" s="195">
        <f t="shared" si="1"/>
        <v>53065</v>
      </c>
      <c r="BC62" s="195">
        <f t="shared" si="1"/>
        <v>0</v>
      </c>
      <c r="BD62" s="195">
        <f t="shared" si="1"/>
        <v>37624</v>
      </c>
      <c r="BE62" s="195">
        <f t="shared" si="1"/>
        <v>107949</v>
      </c>
      <c r="BF62" s="195">
        <f t="shared" si="1"/>
        <v>141163</v>
      </c>
      <c r="BG62" s="195">
        <f t="shared" si="1"/>
        <v>0</v>
      </c>
      <c r="BH62" s="195">
        <f t="shared" si="1"/>
        <v>86930</v>
      </c>
      <c r="BI62" s="195">
        <f t="shared" si="1"/>
        <v>0</v>
      </c>
      <c r="BJ62" s="195">
        <f t="shared" si="1"/>
        <v>58768</v>
      </c>
      <c r="BK62" s="195">
        <f t="shared" si="1"/>
        <v>190682</v>
      </c>
      <c r="BL62" s="195">
        <f t="shared" si="1"/>
        <v>76968</v>
      </c>
      <c r="BM62" s="195">
        <f t="shared" si="1"/>
        <v>0</v>
      </c>
      <c r="BN62" s="195">
        <f t="shared" si="1"/>
        <v>180835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55434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53164</v>
      </c>
      <c r="BW62" s="195">
        <f t="shared" si="2"/>
        <v>0</v>
      </c>
      <c r="BX62" s="195">
        <f t="shared" si="2"/>
        <v>81586</v>
      </c>
      <c r="BY62" s="195">
        <f t="shared" si="2"/>
        <v>65535</v>
      </c>
      <c r="BZ62" s="195">
        <f t="shared" si="2"/>
        <v>0</v>
      </c>
      <c r="CA62" s="195">
        <f t="shared" si="2"/>
        <v>26491</v>
      </c>
      <c r="CB62" s="195">
        <f t="shared" si="2"/>
        <v>0</v>
      </c>
      <c r="CC62" s="195">
        <f t="shared" si="2"/>
        <v>0</v>
      </c>
      <c r="CD62" s="249" t="s">
        <v>221</v>
      </c>
      <c r="CE62" s="195">
        <f t="shared" si="0"/>
        <v>5089251</v>
      </c>
      <c r="CF62" s="252"/>
    </row>
    <row r="63" spans="1:84" ht="12.6" customHeight="1" x14ac:dyDescent="0.25">
      <c r="A63" s="171" t="s">
        <v>236</v>
      </c>
      <c r="B63" s="175"/>
      <c r="C63" s="184"/>
      <c r="D63" s="184"/>
      <c r="E63" s="184">
        <v>140052</v>
      </c>
      <c r="F63" s="185"/>
      <c r="G63" s="184"/>
      <c r="H63" s="184"/>
      <c r="I63" s="185"/>
      <c r="J63" s="185"/>
      <c r="K63" s="185">
        <v>37997</v>
      </c>
      <c r="L63" s="185">
        <v>17212</v>
      </c>
      <c r="M63" s="184"/>
      <c r="N63" s="184"/>
      <c r="O63" s="184">
        <v>0</v>
      </c>
      <c r="P63" s="185">
        <v>259104</v>
      </c>
      <c r="Q63" s="185"/>
      <c r="R63" s="185">
        <v>114000</v>
      </c>
      <c r="S63" s="185">
        <v>0</v>
      </c>
      <c r="T63" s="185"/>
      <c r="U63" s="185">
        <v>114187</v>
      </c>
      <c r="V63" s="185"/>
      <c r="W63" s="185">
        <v>236020</v>
      </c>
      <c r="X63" s="185"/>
      <c r="Y63" s="185">
        <v>13125</v>
      </c>
      <c r="Z63" s="185"/>
      <c r="AA63" s="185">
        <v>61960</v>
      </c>
      <c r="AB63" s="185">
        <v>17282</v>
      </c>
      <c r="AC63" s="185">
        <v>0</v>
      </c>
      <c r="AD63" s="185"/>
      <c r="AE63" s="185">
        <v>271803</v>
      </c>
      <c r="AF63" s="185"/>
      <c r="AG63" s="185">
        <v>544101</v>
      </c>
      <c r="AH63" s="185">
        <v>0</v>
      </c>
      <c r="AI63" s="185"/>
      <c r="AJ63" s="185">
        <v>1246781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>
        <v>0</v>
      </c>
      <c r="AV63" s="185">
        <v>90982</v>
      </c>
      <c r="AW63" s="185"/>
      <c r="AX63" s="185"/>
      <c r="AY63" s="185">
        <v>15267</v>
      </c>
      <c r="AZ63" s="185"/>
      <c r="BA63" s="185"/>
      <c r="BB63" s="185">
        <v>0</v>
      </c>
      <c r="BC63" s="185"/>
      <c r="BD63" s="185">
        <v>0</v>
      </c>
      <c r="BE63" s="185"/>
      <c r="BF63" s="185"/>
      <c r="BG63" s="185"/>
      <c r="BH63" s="185">
        <v>0</v>
      </c>
      <c r="BI63" s="185"/>
      <c r="BJ63" s="185">
        <v>95117</v>
      </c>
      <c r="BK63" s="185">
        <v>0</v>
      </c>
      <c r="BL63" s="185">
        <v>0</v>
      </c>
      <c r="BM63" s="185"/>
      <c r="BN63" s="185">
        <v>39490</v>
      </c>
      <c r="BO63" s="185"/>
      <c r="BP63" s="185"/>
      <c r="BQ63" s="185"/>
      <c r="BR63" s="185">
        <v>7247</v>
      </c>
      <c r="BS63" s="185"/>
      <c r="BT63" s="185"/>
      <c r="BU63" s="185"/>
      <c r="BV63" s="185">
        <v>45573</v>
      </c>
      <c r="BW63" s="185"/>
      <c r="BX63" s="185">
        <v>0</v>
      </c>
      <c r="BY63" s="185">
        <v>0</v>
      </c>
      <c r="BZ63" s="185"/>
      <c r="CA63" s="185">
        <v>0</v>
      </c>
      <c r="CB63" s="185"/>
      <c r="CC63" s="185"/>
      <c r="CD63" s="249" t="s">
        <v>221</v>
      </c>
      <c r="CE63" s="195">
        <f t="shared" si="0"/>
        <v>3367300</v>
      </c>
      <c r="CF63" s="252"/>
    </row>
    <row r="64" spans="1:84" ht="12.6" customHeight="1" x14ac:dyDescent="0.25">
      <c r="A64" s="171" t="s">
        <v>237</v>
      </c>
      <c r="B64" s="175"/>
      <c r="C64" s="184"/>
      <c r="D64" s="184"/>
      <c r="E64" s="185">
        <v>76452</v>
      </c>
      <c r="F64" s="185"/>
      <c r="G64" s="184"/>
      <c r="H64" s="184"/>
      <c r="I64" s="185"/>
      <c r="J64" s="185">
        <v>4777</v>
      </c>
      <c r="K64" s="185">
        <v>77455</v>
      </c>
      <c r="L64" s="185">
        <v>31467</v>
      </c>
      <c r="M64" s="184"/>
      <c r="N64" s="184"/>
      <c r="O64" s="184">
        <v>3388</v>
      </c>
      <c r="P64" s="185">
        <v>101868</v>
      </c>
      <c r="Q64" s="185"/>
      <c r="R64" s="185">
        <v>20056</v>
      </c>
      <c r="S64" s="185">
        <v>108007</v>
      </c>
      <c r="T64" s="185"/>
      <c r="U64" s="185">
        <v>493322</v>
      </c>
      <c r="V64" s="185"/>
      <c r="W64" s="185">
        <v>2379</v>
      </c>
      <c r="X64" s="185">
        <v>12219</v>
      </c>
      <c r="Y64" s="185">
        <v>12822</v>
      </c>
      <c r="Z64" s="185"/>
      <c r="AA64" s="185">
        <v>8784</v>
      </c>
      <c r="AB64" s="185">
        <v>1132095</v>
      </c>
      <c r="AC64" s="185">
        <v>3046</v>
      </c>
      <c r="AD64" s="185"/>
      <c r="AE64" s="185">
        <v>9381</v>
      </c>
      <c r="AF64" s="185"/>
      <c r="AG64" s="185">
        <v>50012</v>
      </c>
      <c r="AH64" s="185">
        <v>43682</v>
      </c>
      <c r="AI64" s="185"/>
      <c r="AJ64" s="185">
        <v>164018</v>
      </c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>
        <v>18240</v>
      </c>
      <c r="AV64" s="185">
        <v>9681</v>
      </c>
      <c r="AW64" s="185"/>
      <c r="AX64" s="185"/>
      <c r="AY64" s="185">
        <v>311328</v>
      </c>
      <c r="AZ64" s="185"/>
      <c r="BA64" s="185">
        <v>12468</v>
      </c>
      <c r="BB64" s="185">
        <v>837</v>
      </c>
      <c r="BC64" s="185"/>
      <c r="BD64" s="185">
        <v>1993</v>
      </c>
      <c r="BE64" s="185">
        <v>60119</v>
      </c>
      <c r="BF64" s="185">
        <v>86952</v>
      </c>
      <c r="BG64" s="185"/>
      <c r="BH64" s="185">
        <v>14258</v>
      </c>
      <c r="BI64" s="185"/>
      <c r="BJ64" s="185">
        <v>11272</v>
      </c>
      <c r="BK64" s="185">
        <v>20760</v>
      </c>
      <c r="BL64" s="185">
        <v>7604</v>
      </c>
      <c r="BM64" s="185"/>
      <c r="BN64" s="185">
        <v>25191</v>
      </c>
      <c r="BO64" s="185"/>
      <c r="BP64" s="185"/>
      <c r="BQ64" s="185"/>
      <c r="BR64" s="185">
        <v>4713</v>
      </c>
      <c r="BS64" s="185"/>
      <c r="BT64" s="185"/>
      <c r="BU64" s="185"/>
      <c r="BV64" s="185">
        <v>7102</v>
      </c>
      <c r="BW64" s="185"/>
      <c r="BX64" s="185">
        <v>4983</v>
      </c>
      <c r="BY64" s="185">
        <v>5589</v>
      </c>
      <c r="BZ64" s="185"/>
      <c r="CA64" s="185">
        <v>192</v>
      </c>
      <c r="CB64" s="185"/>
      <c r="CC64" s="185">
        <v>7589</v>
      </c>
      <c r="CD64" s="249" t="s">
        <v>221</v>
      </c>
      <c r="CE64" s="195">
        <f t="shared" si="0"/>
        <v>2966101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>
        <v>0</v>
      </c>
      <c r="F65" s="184"/>
      <c r="G65" s="184"/>
      <c r="H65" s="184"/>
      <c r="I65" s="185"/>
      <c r="J65" s="184"/>
      <c r="K65" s="185">
        <v>56</v>
      </c>
      <c r="L65" s="185">
        <v>37</v>
      </c>
      <c r="M65" s="184"/>
      <c r="N65" s="184"/>
      <c r="O65" s="184"/>
      <c r="P65" s="185">
        <v>620</v>
      </c>
      <c r="Q65" s="185"/>
      <c r="R65" s="185"/>
      <c r="S65" s="185"/>
      <c r="T65" s="185"/>
      <c r="U65" s="185"/>
      <c r="V65" s="185"/>
      <c r="W65" s="185"/>
      <c r="X65" s="185">
        <v>1143</v>
      </c>
      <c r="Y65" s="185">
        <v>714</v>
      </c>
      <c r="Z65" s="185"/>
      <c r="AA65" s="185"/>
      <c r="AB65" s="185"/>
      <c r="AC65" s="185"/>
      <c r="AD65" s="185"/>
      <c r="AE65" s="185"/>
      <c r="AF65" s="185"/>
      <c r="AG65" s="185">
        <v>54</v>
      </c>
      <c r="AH65" s="185">
        <v>19519</v>
      </c>
      <c r="AI65" s="185"/>
      <c r="AJ65" s="185">
        <v>54055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>
        <v>19763</v>
      </c>
      <c r="AV65" s="185">
        <v>0</v>
      </c>
      <c r="AW65" s="185"/>
      <c r="AX65" s="185"/>
      <c r="AY65" s="185"/>
      <c r="AZ65" s="185"/>
      <c r="BA65" s="185">
        <v>0</v>
      </c>
      <c r="BB65" s="185">
        <v>0</v>
      </c>
      <c r="BC65" s="185"/>
      <c r="BD65" s="185">
        <v>0</v>
      </c>
      <c r="BE65" s="185">
        <v>344018</v>
      </c>
      <c r="BF65" s="185">
        <v>0</v>
      </c>
      <c r="BG65" s="185"/>
      <c r="BH65" s="185">
        <v>0</v>
      </c>
      <c r="BI65" s="185"/>
      <c r="BJ65" s="185">
        <v>0</v>
      </c>
      <c r="BK65" s="185">
        <v>0</v>
      </c>
      <c r="BL65" s="185">
        <v>0</v>
      </c>
      <c r="BM65" s="185"/>
      <c r="BN65" s="185">
        <v>35980</v>
      </c>
      <c r="BO65" s="185"/>
      <c r="BP65" s="185"/>
      <c r="BQ65" s="185"/>
      <c r="BR65" s="185"/>
      <c r="BS65" s="185"/>
      <c r="BT65" s="185"/>
      <c r="BU65" s="185"/>
      <c r="BV65" s="185">
        <v>0</v>
      </c>
      <c r="BW65" s="185"/>
      <c r="BX65" s="185">
        <v>0</v>
      </c>
      <c r="BY65" s="185">
        <v>0</v>
      </c>
      <c r="BZ65" s="185"/>
      <c r="CA65" s="185">
        <v>0</v>
      </c>
      <c r="CB65" s="185"/>
      <c r="CC65" s="185"/>
      <c r="CD65" s="249" t="s">
        <v>221</v>
      </c>
      <c r="CE65" s="195">
        <f t="shared" si="0"/>
        <v>475959</v>
      </c>
      <c r="CF65" s="252"/>
    </row>
    <row r="66" spans="1:84" ht="12.6" customHeight="1" x14ac:dyDescent="0.25">
      <c r="A66" s="171" t="s">
        <v>239</v>
      </c>
      <c r="B66" s="175"/>
      <c r="C66" s="184"/>
      <c r="D66" s="184"/>
      <c r="E66" s="184">
        <v>33096</v>
      </c>
      <c r="F66" s="184"/>
      <c r="G66" s="184"/>
      <c r="H66" s="184"/>
      <c r="I66" s="184"/>
      <c r="J66" s="184">
        <v>1847</v>
      </c>
      <c r="K66" s="185">
        <v>8458</v>
      </c>
      <c r="L66" s="185">
        <v>4362</v>
      </c>
      <c r="M66" s="184"/>
      <c r="N66" s="184"/>
      <c r="O66" s="185">
        <v>3456</v>
      </c>
      <c r="P66" s="185">
        <v>20504</v>
      </c>
      <c r="Q66" s="185"/>
      <c r="R66" s="185">
        <v>7645</v>
      </c>
      <c r="S66" s="184"/>
      <c r="T66" s="184"/>
      <c r="U66" s="185">
        <v>79510</v>
      </c>
      <c r="V66" s="185"/>
      <c r="W66" s="185"/>
      <c r="X66" s="185">
        <v>72811</v>
      </c>
      <c r="Y66" s="185">
        <v>154666</v>
      </c>
      <c r="Z66" s="185"/>
      <c r="AA66" s="185"/>
      <c r="AB66" s="185">
        <v>86446</v>
      </c>
      <c r="AC66" s="185">
        <v>542</v>
      </c>
      <c r="AD66" s="185"/>
      <c r="AE66" s="185">
        <v>7891</v>
      </c>
      <c r="AF66" s="185"/>
      <c r="AG66" s="185">
        <v>18513</v>
      </c>
      <c r="AH66" s="185">
        <v>26482</v>
      </c>
      <c r="AI66" s="185"/>
      <c r="AJ66" s="185">
        <v>58785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>
        <v>53917</v>
      </c>
      <c r="AV66" s="185">
        <v>14196</v>
      </c>
      <c r="AW66" s="185"/>
      <c r="AX66" s="185"/>
      <c r="AY66" s="185">
        <v>284</v>
      </c>
      <c r="AZ66" s="185"/>
      <c r="BA66" s="185">
        <v>191824</v>
      </c>
      <c r="BB66" s="185"/>
      <c r="BC66" s="185"/>
      <c r="BD66" s="185">
        <v>-26556</v>
      </c>
      <c r="BE66" s="185">
        <v>205439</v>
      </c>
      <c r="BF66" s="185">
        <v>151</v>
      </c>
      <c r="BG66" s="185"/>
      <c r="BH66" s="185">
        <v>310464</v>
      </c>
      <c r="BI66" s="185"/>
      <c r="BJ66" s="185">
        <v>28111</v>
      </c>
      <c r="BK66" s="185">
        <v>35906</v>
      </c>
      <c r="BL66" s="185">
        <v>4412</v>
      </c>
      <c r="BM66" s="185"/>
      <c r="BN66" s="185">
        <v>104214</v>
      </c>
      <c r="BO66" s="185"/>
      <c r="BP66" s="185"/>
      <c r="BQ66" s="185"/>
      <c r="BR66" s="185">
        <v>92888</v>
      </c>
      <c r="BS66" s="185"/>
      <c r="BT66" s="185"/>
      <c r="BU66" s="185"/>
      <c r="BV66" s="185">
        <v>16817</v>
      </c>
      <c r="BW66" s="185"/>
      <c r="BX66" s="185">
        <v>49618</v>
      </c>
      <c r="BY66" s="185">
        <v>212</v>
      </c>
      <c r="BZ66" s="185"/>
      <c r="CA66" s="185">
        <v>0</v>
      </c>
      <c r="CB66" s="185"/>
      <c r="CC66" s="185">
        <v>49194</v>
      </c>
      <c r="CD66" s="249" t="s">
        <v>221</v>
      </c>
      <c r="CE66" s="195">
        <f t="shared" si="0"/>
        <v>1716105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39847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1614</v>
      </c>
      <c r="K67" s="195">
        <f t="shared" si="3"/>
        <v>27266</v>
      </c>
      <c r="L67" s="195">
        <f t="shared" si="3"/>
        <v>17232</v>
      </c>
      <c r="M67" s="195">
        <f t="shared" si="3"/>
        <v>0</v>
      </c>
      <c r="N67" s="195">
        <f t="shared" si="3"/>
        <v>0</v>
      </c>
      <c r="O67" s="195">
        <f t="shared" si="3"/>
        <v>9249</v>
      </c>
      <c r="P67" s="195">
        <f t="shared" si="3"/>
        <v>109923</v>
      </c>
      <c r="Q67" s="195">
        <f t="shared" si="3"/>
        <v>0</v>
      </c>
      <c r="R67" s="195">
        <f t="shared" si="3"/>
        <v>2931</v>
      </c>
      <c r="S67" s="195">
        <f t="shared" si="3"/>
        <v>12819</v>
      </c>
      <c r="T67" s="195">
        <f t="shared" si="3"/>
        <v>0</v>
      </c>
      <c r="U67" s="195">
        <f t="shared" si="3"/>
        <v>23431</v>
      </c>
      <c r="V67" s="195">
        <f t="shared" si="3"/>
        <v>2003</v>
      </c>
      <c r="W67" s="195">
        <f t="shared" si="3"/>
        <v>0</v>
      </c>
      <c r="X67" s="195">
        <f t="shared" si="3"/>
        <v>0</v>
      </c>
      <c r="Y67" s="195">
        <f t="shared" si="3"/>
        <v>128754</v>
      </c>
      <c r="Z67" s="195">
        <f t="shared" si="3"/>
        <v>0</v>
      </c>
      <c r="AA67" s="195">
        <f t="shared" si="3"/>
        <v>0</v>
      </c>
      <c r="AB67" s="195">
        <f t="shared" si="3"/>
        <v>15798</v>
      </c>
      <c r="AC67" s="195">
        <f t="shared" si="3"/>
        <v>13053</v>
      </c>
      <c r="AD67" s="195">
        <f t="shared" si="3"/>
        <v>0</v>
      </c>
      <c r="AE67" s="195">
        <f t="shared" si="3"/>
        <v>25434</v>
      </c>
      <c r="AF67" s="195">
        <f t="shared" si="3"/>
        <v>0</v>
      </c>
      <c r="AG67" s="195">
        <f t="shared" si="3"/>
        <v>42695</v>
      </c>
      <c r="AH67" s="195">
        <f t="shared" si="3"/>
        <v>85127</v>
      </c>
      <c r="AI67" s="195">
        <f t="shared" si="3"/>
        <v>0</v>
      </c>
      <c r="AJ67" s="195">
        <f t="shared" si="3"/>
        <v>148216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20779</v>
      </c>
      <c r="AV67" s="195">
        <f t="shared" si="3"/>
        <v>34427</v>
      </c>
      <c r="AW67" s="195">
        <f t="shared" si="3"/>
        <v>0</v>
      </c>
      <c r="AX67" s="195">
        <f t="shared" si="3"/>
        <v>0</v>
      </c>
      <c r="AY67" s="195">
        <f t="shared" si="3"/>
        <v>9970</v>
      </c>
      <c r="AZ67" s="195">
        <f>ROUND(AZ51+AZ52,0)</f>
        <v>6248</v>
      </c>
      <c r="BA67" s="195">
        <f>ROUND(BA51+BA52,0)</f>
        <v>6342</v>
      </c>
      <c r="BB67" s="195">
        <f t="shared" si="3"/>
        <v>849</v>
      </c>
      <c r="BC67" s="195">
        <f t="shared" si="3"/>
        <v>0</v>
      </c>
      <c r="BD67" s="195">
        <f t="shared" si="3"/>
        <v>849</v>
      </c>
      <c r="BE67" s="195">
        <f t="shared" si="3"/>
        <v>20713</v>
      </c>
      <c r="BF67" s="195">
        <f t="shared" si="3"/>
        <v>2560</v>
      </c>
      <c r="BG67" s="195">
        <f t="shared" si="3"/>
        <v>0</v>
      </c>
      <c r="BH67" s="195">
        <f t="shared" si="3"/>
        <v>190068</v>
      </c>
      <c r="BI67" s="195">
        <f t="shared" si="3"/>
        <v>0</v>
      </c>
      <c r="BJ67" s="195">
        <f t="shared" si="3"/>
        <v>0</v>
      </c>
      <c r="BK67" s="195">
        <f t="shared" si="3"/>
        <v>15695</v>
      </c>
      <c r="BL67" s="195">
        <f t="shared" si="3"/>
        <v>1261</v>
      </c>
      <c r="BM67" s="195">
        <f t="shared" si="3"/>
        <v>0</v>
      </c>
      <c r="BN67" s="195">
        <f t="shared" si="3"/>
        <v>62992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6582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5220</v>
      </c>
      <c r="BW67" s="195">
        <f t="shared" si="4"/>
        <v>0</v>
      </c>
      <c r="BX67" s="195">
        <f t="shared" si="4"/>
        <v>0</v>
      </c>
      <c r="BY67" s="195">
        <f t="shared" si="4"/>
        <v>1783</v>
      </c>
      <c r="BZ67" s="195">
        <f t="shared" si="4"/>
        <v>0</v>
      </c>
      <c r="CA67" s="195">
        <f t="shared" si="4"/>
        <v>824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1092554</v>
      </c>
      <c r="CF67" s="252"/>
    </row>
    <row r="68" spans="1:84" ht="12.6" customHeight="1" x14ac:dyDescent="0.25">
      <c r="A68" s="171" t="s">
        <v>240</v>
      </c>
      <c r="B68" s="175"/>
      <c r="C68" s="184"/>
      <c r="D68" s="184"/>
      <c r="E68" s="184">
        <v>5487</v>
      </c>
      <c r="F68" s="184"/>
      <c r="G68" s="184"/>
      <c r="H68" s="184"/>
      <c r="I68" s="184"/>
      <c r="J68" s="184"/>
      <c r="K68" s="185">
        <v>2736</v>
      </c>
      <c r="L68" s="185">
        <v>1584</v>
      </c>
      <c r="M68" s="184"/>
      <c r="N68" s="184"/>
      <c r="O68" s="184"/>
      <c r="P68" s="185">
        <v>250</v>
      </c>
      <c r="Q68" s="185"/>
      <c r="R68" s="185"/>
      <c r="S68" s="185"/>
      <c r="T68" s="185"/>
      <c r="U68" s="185">
        <v>14011</v>
      </c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>
        <v>0</v>
      </c>
      <c r="AH68" s="185">
        <v>3690</v>
      </c>
      <c r="AI68" s="185"/>
      <c r="AJ68" s="185">
        <v>3845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>
        <v>247</v>
      </c>
      <c r="AW68" s="185"/>
      <c r="AX68" s="185"/>
      <c r="AY68" s="185"/>
      <c r="AZ68" s="185"/>
      <c r="BA68" s="185"/>
      <c r="BB68" s="185"/>
      <c r="BC68" s="185"/>
      <c r="BD68" s="185"/>
      <c r="BE68" s="185">
        <v>24726</v>
      </c>
      <c r="BF68" s="185">
        <v>0</v>
      </c>
      <c r="BG68" s="185"/>
      <c r="BH68" s="185">
        <v>0</v>
      </c>
      <c r="BI68" s="185"/>
      <c r="BJ68" s="185">
        <v>0</v>
      </c>
      <c r="BK68" s="185">
        <v>0</v>
      </c>
      <c r="BL68" s="185">
        <v>3228</v>
      </c>
      <c r="BM68" s="185"/>
      <c r="BN68" s="185">
        <v>12309</v>
      </c>
      <c r="BO68" s="185"/>
      <c r="BP68" s="185"/>
      <c r="BQ68" s="185"/>
      <c r="BR68" s="185">
        <v>0</v>
      </c>
      <c r="BS68" s="185"/>
      <c r="BT68" s="185"/>
      <c r="BU68" s="185"/>
      <c r="BV68" s="185">
        <v>0</v>
      </c>
      <c r="BW68" s="185"/>
      <c r="BX68" s="185">
        <v>0</v>
      </c>
      <c r="BY68" s="185">
        <v>0</v>
      </c>
      <c r="BZ68" s="185"/>
      <c r="CA68" s="185">
        <v>0</v>
      </c>
      <c r="CB68" s="185"/>
      <c r="CC68" s="185"/>
      <c r="CD68" s="249" t="s">
        <v>221</v>
      </c>
      <c r="CE68" s="195">
        <f t="shared" si="0"/>
        <v>72113</v>
      </c>
      <c r="CF68" s="252"/>
    </row>
    <row r="69" spans="1:84" ht="12.6" customHeight="1" x14ac:dyDescent="0.25">
      <c r="A69" s="171" t="s">
        <v>241</v>
      </c>
      <c r="B69" s="175"/>
      <c r="C69" s="184"/>
      <c r="D69" s="184"/>
      <c r="E69" s="185">
        <v>1577</v>
      </c>
      <c r="F69" s="185"/>
      <c r="G69" s="184"/>
      <c r="H69" s="184"/>
      <c r="I69" s="185"/>
      <c r="J69" s="185">
        <v>384</v>
      </c>
      <c r="K69" s="185">
        <v>2292</v>
      </c>
      <c r="L69" s="185">
        <v>1551</v>
      </c>
      <c r="M69" s="184"/>
      <c r="N69" s="184"/>
      <c r="O69" s="184"/>
      <c r="P69" s="185">
        <v>5144</v>
      </c>
      <c r="Q69" s="185"/>
      <c r="R69" s="224">
        <v>10126</v>
      </c>
      <c r="S69" s="185">
        <v>107</v>
      </c>
      <c r="T69" s="184"/>
      <c r="U69" s="185">
        <v>4951</v>
      </c>
      <c r="V69" s="185"/>
      <c r="W69" s="184">
        <v>17</v>
      </c>
      <c r="X69" s="185">
        <v>51</v>
      </c>
      <c r="Y69" s="185">
        <v>9315</v>
      </c>
      <c r="Z69" s="185"/>
      <c r="AA69" s="185"/>
      <c r="AB69" s="185">
        <v>9891</v>
      </c>
      <c r="AC69" s="185"/>
      <c r="AD69" s="185"/>
      <c r="AE69" s="185">
        <v>3054</v>
      </c>
      <c r="AF69" s="185"/>
      <c r="AG69" s="185">
        <v>7967</v>
      </c>
      <c r="AH69" s="185">
        <v>8721</v>
      </c>
      <c r="AI69" s="185"/>
      <c r="AJ69" s="185">
        <v>23427</v>
      </c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>
        <v>24403.46</v>
      </c>
      <c r="AV69" s="185">
        <v>4509</v>
      </c>
      <c r="AW69" s="185"/>
      <c r="AX69" s="185"/>
      <c r="AY69" s="185">
        <v>1163</v>
      </c>
      <c r="AZ69" s="185"/>
      <c r="BA69" s="185"/>
      <c r="BB69" s="185"/>
      <c r="BC69" s="185"/>
      <c r="BD69" s="185">
        <v>786</v>
      </c>
      <c r="BE69" s="185">
        <v>5160</v>
      </c>
      <c r="BF69" s="185">
        <v>48</v>
      </c>
      <c r="BG69" s="185"/>
      <c r="BH69" s="224">
        <v>12517</v>
      </c>
      <c r="BI69" s="185"/>
      <c r="BJ69" s="185">
        <v>18799</v>
      </c>
      <c r="BK69" s="185">
        <v>4363</v>
      </c>
      <c r="BL69" s="185">
        <v>35906</v>
      </c>
      <c r="BM69" s="185"/>
      <c r="BN69" s="185">
        <v>199532</v>
      </c>
      <c r="BO69" s="185"/>
      <c r="BP69" s="185"/>
      <c r="BQ69" s="185"/>
      <c r="BR69" s="185">
        <v>13434</v>
      </c>
      <c r="BS69" s="185"/>
      <c r="BT69" s="185"/>
      <c r="BU69" s="185"/>
      <c r="BV69" s="185">
        <v>14074</v>
      </c>
      <c r="BW69" s="185"/>
      <c r="BX69" s="185">
        <v>6026</v>
      </c>
      <c r="BY69" s="185">
        <v>6570</v>
      </c>
      <c r="BZ69" s="185"/>
      <c r="CA69" s="185">
        <v>7271</v>
      </c>
      <c r="CB69" s="185"/>
      <c r="CC69" s="185">
        <v>9978</v>
      </c>
      <c r="CD69" s="188">
        <v>849000</v>
      </c>
      <c r="CE69" s="195">
        <f t="shared" si="0"/>
        <v>1302114.46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2457767.44</v>
      </c>
      <c r="CE70" s="195">
        <f t="shared" si="0"/>
        <v>2457767.44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1675778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8622</v>
      </c>
      <c r="K71" s="195">
        <f t="shared" si="5"/>
        <v>1471561</v>
      </c>
      <c r="L71" s="195">
        <f t="shared" si="5"/>
        <v>1382925</v>
      </c>
      <c r="M71" s="195">
        <f t="shared" si="5"/>
        <v>0</v>
      </c>
      <c r="N71" s="195">
        <f t="shared" si="5"/>
        <v>0</v>
      </c>
      <c r="O71" s="195">
        <f t="shared" si="5"/>
        <v>19183</v>
      </c>
      <c r="P71" s="195">
        <f t="shared" si="5"/>
        <v>954539</v>
      </c>
      <c r="Q71" s="195">
        <f t="shared" si="5"/>
        <v>11648</v>
      </c>
      <c r="R71" s="195">
        <f t="shared" si="5"/>
        <v>640407</v>
      </c>
      <c r="S71" s="195">
        <f t="shared" si="5"/>
        <v>206642</v>
      </c>
      <c r="T71" s="195">
        <f t="shared" si="5"/>
        <v>0</v>
      </c>
      <c r="U71" s="195">
        <f t="shared" si="5"/>
        <v>1472010</v>
      </c>
      <c r="V71" s="195">
        <f t="shared" si="5"/>
        <v>2003</v>
      </c>
      <c r="W71" s="195">
        <f t="shared" si="5"/>
        <v>238416</v>
      </c>
      <c r="X71" s="195">
        <f t="shared" si="5"/>
        <v>86224</v>
      </c>
      <c r="Y71" s="195">
        <f t="shared" si="5"/>
        <v>1617304</v>
      </c>
      <c r="Z71" s="195">
        <f t="shared" si="5"/>
        <v>0</v>
      </c>
      <c r="AA71" s="195">
        <f t="shared" si="5"/>
        <v>70744</v>
      </c>
      <c r="AB71" s="195">
        <f t="shared" si="5"/>
        <v>1568012</v>
      </c>
      <c r="AC71" s="195">
        <f t="shared" si="5"/>
        <v>79979</v>
      </c>
      <c r="AD71" s="195">
        <f t="shared" si="5"/>
        <v>0</v>
      </c>
      <c r="AE71" s="195">
        <f t="shared" si="5"/>
        <v>830505</v>
      </c>
      <c r="AF71" s="195">
        <f t="shared" si="5"/>
        <v>0</v>
      </c>
      <c r="AG71" s="195">
        <f t="shared" si="5"/>
        <v>1848250</v>
      </c>
      <c r="AH71" s="195">
        <f t="shared" si="5"/>
        <v>484988</v>
      </c>
      <c r="AI71" s="195">
        <f t="shared" si="5"/>
        <v>56465</v>
      </c>
      <c r="AJ71" s="195">
        <f t="shared" ref="AJ71:BO71" si="6">SUM(AJ61:AJ69)-AJ70</f>
        <v>4665767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1433114.46</v>
      </c>
      <c r="AV71" s="195">
        <f t="shared" si="6"/>
        <v>334988</v>
      </c>
      <c r="AW71" s="195">
        <f t="shared" si="6"/>
        <v>0</v>
      </c>
      <c r="AX71" s="195">
        <f t="shared" si="6"/>
        <v>0</v>
      </c>
      <c r="AY71" s="195">
        <f t="shared" si="6"/>
        <v>914972</v>
      </c>
      <c r="AZ71" s="195">
        <f t="shared" si="6"/>
        <v>6248</v>
      </c>
      <c r="BA71" s="195">
        <f t="shared" si="6"/>
        <v>234629</v>
      </c>
      <c r="BB71" s="195">
        <f t="shared" si="6"/>
        <v>201095</v>
      </c>
      <c r="BC71" s="195">
        <f t="shared" si="6"/>
        <v>0</v>
      </c>
      <c r="BD71" s="195">
        <f t="shared" si="6"/>
        <v>118456</v>
      </c>
      <c r="BE71" s="195">
        <f t="shared" si="6"/>
        <v>1065828</v>
      </c>
      <c r="BF71" s="195">
        <f t="shared" si="6"/>
        <v>620175</v>
      </c>
      <c r="BG71" s="195">
        <f t="shared" si="6"/>
        <v>0</v>
      </c>
      <c r="BH71" s="195">
        <f t="shared" si="6"/>
        <v>853973</v>
      </c>
      <c r="BI71" s="195">
        <f t="shared" si="6"/>
        <v>0</v>
      </c>
      <c r="BJ71" s="195">
        <f t="shared" si="6"/>
        <v>374138</v>
      </c>
      <c r="BK71" s="195">
        <f t="shared" si="6"/>
        <v>793272</v>
      </c>
      <c r="BL71" s="195">
        <f t="shared" si="6"/>
        <v>341644</v>
      </c>
      <c r="BM71" s="195">
        <f t="shared" si="6"/>
        <v>0</v>
      </c>
      <c r="BN71" s="195">
        <f t="shared" si="6"/>
        <v>1159254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333174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288567</v>
      </c>
      <c r="BW71" s="195">
        <f t="shared" si="7"/>
        <v>0</v>
      </c>
      <c r="BX71" s="195">
        <f t="shared" si="7"/>
        <v>367211</v>
      </c>
      <c r="BY71" s="195">
        <f t="shared" si="7"/>
        <v>260422</v>
      </c>
      <c r="BZ71" s="195">
        <f t="shared" si="7"/>
        <v>0</v>
      </c>
      <c r="CA71" s="195">
        <f t="shared" si="7"/>
        <v>107836</v>
      </c>
      <c r="CB71" s="195">
        <f t="shared" si="7"/>
        <v>0</v>
      </c>
      <c r="CC71" s="195">
        <f t="shared" si="7"/>
        <v>66761</v>
      </c>
      <c r="CD71" s="245">
        <f>CD69-CD70</f>
        <v>-1608767.44</v>
      </c>
      <c r="CE71" s="195">
        <f>SUM(CE61:CE69)-CE70</f>
        <v>27658962.02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733260</v>
      </c>
      <c r="CF72" s="252"/>
    </row>
    <row r="73" spans="1:84" ht="12.6" customHeight="1" x14ac:dyDescent="0.25">
      <c r="A73" s="171" t="s">
        <v>245</v>
      </c>
      <c r="B73" s="175"/>
      <c r="C73" s="184"/>
      <c r="D73" s="184"/>
      <c r="E73" s="185">
        <v>2114963</v>
      </c>
      <c r="F73" s="185"/>
      <c r="G73" s="184"/>
      <c r="H73" s="184"/>
      <c r="I73" s="185"/>
      <c r="J73" s="185">
        <v>10992</v>
      </c>
      <c r="K73" s="185">
        <v>978208</v>
      </c>
      <c r="L73" s="185">
        <v>2084826</v>
      </c>
      <c r="M73" s="184"/>
      <c r="N73" s="184"/>
      <c r="O73" s="184">
        <v>18721</v>
      </c>
      <c r="P73" s="185">
        <v>289238</v>
      </c>
      <c r="Q73" s="185">
        <v>7376</v>
      </c>
      <c r="R73" s="185">
        <v>244783</v>
      </c>
      <c r="S73" s="185">
        <v>208783</v>
      </c>
      <c r="T73" s="185"/>
      <c r="U73" s="185">
        <v>610892</v>
      </c>
      <c r="V73" s="185"/>
      <c r="W73" s="185">
        <v>15160</v>
      </c>
      <c r="X73" s="185">
        <v>183752</v>
      </c>
      <c r="Y73" s="185">
        <v>233744</v>
      </c>
      <c r="Z73" s="185"/>
      <c r="AA73" s="185"/>
      <c r="AB73" s="185">
        <v>636241</v>
      </c>
      <c r="AC73" s="185">
        <v>67604</v>
      </c>
      <c r="AD73" s="185"/>
      <c r="AE73" s="185">
        <v>420135</v>
      </c>
      <c r="AF73" s="185"/>
      <c r="AG73" s="185"/>
      <c r="AH73" s="185">
        <v>47492</v>
      </c>
      <c r="AI73" s="185">
        <v>97906</v>
      </c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v>54756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8325572</v>
      </c>
      <c r="CF73" s="252"/>
    </row>
    <row r="74" spans="1:84" ht="12.6" customHeight="1" x14ac:dyDescent="0.25">
      <c r="A74" s="171" t="s">
        <v>246</v>
      </c>
      <c r="B74" s="175"/>
      <c r="C74" s="184"/>
      <c r="D74" s="184"/>
      <c r="E74" s="185">
        <v>377918</v>
      </c>
      <c r="F74" s="185"/>
      <c r="G74" s="184"/>
      <c r="H74" s="184"/>
      <c r="I74" s="184"/>
      <c r="J74" s="185">
        <v>1728</v>
      </c>
      <c r="K74" s="185">
        <v>18376</v>
      </c>
      <c r="L74" s="185">
        <v>109629</v>
      </c>
      <c r="M74" s="184"/>
      <c r="N74" s="184"/>
      <c r="O74" s="184">
        <v>19023</v>
      </c>
      <c r="P74" s="185">
        <v>1707157</v>
      </c>
      <c r="Q74" s="185">
        <v>234344</v>
      </c>
      <c r="R74" s="185">
        <v>926757</v>
      </c>
      <c r="S74" s="185">
        <v>294276</v>
      </c>
      <c r="T74" s="185"/>
      <c r="U74" s="185">
        <v>5413106</v>
      </c>
      <c r="V74" s="185"/>
      <c r="W74" s="185">
        <v>1843440</v>
      </c>
      <c r="X74" s="185">
        <v>4076621</v>
      </c>
      <c r="Y74" s="185">
        <v>4631773</v>
      </c>
      <c r="Z74" s="185"/>
      <c r="AA74" s="185">
        <v>343808</v>
      </c>
      <c r="AB74" s="185">
        <v>2617798</v>
      </c>
      <c r="AC74" s="185">
        <v>34971</v>
      </c>
      <c r="AD74" s="185"/>
      <c r="AE74" s="185">
        <v>3018961</v>
      </c>
      <c r="AF74" s="185"/>
      <c r="AG74" s="185">
        <v>4836260</v>
      </c>
      <c r="AH74" s="185">
        <v>559313</v>
      </c>
      <c r="AI74" s="185">
        <v>1052513</v>
      </c>
      <c r="AJ74" s="185">
        <v>4634454</v>
      </c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>
        <v>278115</v>
      </c>
      <c r="AV74" s="185">
        <v>1011255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38041596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2492881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12720</v>
      </c>
      <c r="K75" s="195">
        <f t="shared" si="9"/>
        <v>996584</v>
      </c>
      <c r="L75" s="195">
        <f t="shared" si="9"/>
        <v>2194455</v>
      </c>
      <c r="M75" s="195">
        <f t="shared" si="9"/>
        <v>0</v>
      </c>
      <c r="N75" s="195">
        <f t="shared" si="9"/>
        <v>0</v>
      </c>
      <c r="O75" s="195">
        <f t="shared" si="9"/>
        <v>37744</v>
      </c>
      <c r="P75" s="195">
        <f t="shared" si="9"/>
        <v>1996395</v>
      </c>
      <c r="Q75" s="195">
        <f t="shared" si="9"/>
        <v>241720</v>
      </c>
      <c r="R75" s="195">
        <f t="shared" si="9"/>
        <v>1171540</v>
      </c>
      <c r="S75" s="195">
        <f t="shared" si="9"/>
        <v>503059</v>
      </c>
      <c r="T75" s="195">
        <f t="shared" si="9"/>
        <v>0</v>
      </c>
      <c r="U75" s="195">
        <f t="shared" si="9"/>
        <v>6023998</v>
      </c>
      <c r="V75" s="195">
        <f t="shared" si="9"/>
        <v>0</v>
      </c>
      <c r="W75" s="195">
        <f t="shared" si="9"/>
        <v>1858600</v>
      </c>
      <c r="X75" s="195">
        <f t="shared" si="9"/>
        <v>4260373</v>
      </c>
      <c r="Y75" s="195">
        <f t="shared" si="9"/>
        <v>4865517</v>
      </c>
      <c r="Z75" s="195">
        <f t="shared" si="9"/>
        <v>0</v>
      </c>
      <c r="AA75" s="195">
        <f t="shared" si="9"/>
        <v>343808</v>
      </c>
      <c r="AB75" s="195">
        <f t="shared" si="9"/>
        <v>3254039</v>
      </c>
      <c r="AC75" s="195">
        <f t="shared" si="9"/>
        <v>102575</v>
      </c>
      <c r="AD75" s="195">
        <f t="shared" si="9"/>
        <v>0</v>
      </c>
      <c r="AE75" s="195">
        <f t="shared" si="9"/>
        <v>3439096</v>
      </c>
      <c r="AF75" s="195">
        <f t="shared" si="9"/>
        <v>0</v>
      </c>
      <c r="AG75" s="195">
        <f t="shared" si="9"/>
        <v>4836260</v>
      </c>
      <c r="AH75" s="195">
        <f t="shared" si="9"/>
        <v>606805</v>
      </c>
      <c r="AI75" s="195">
        <f t="shared" si="9"/>
        <v>1150419</v>
      </c>
      <c r="AJ75" s="195">
        <f t="shared" si="9"/>
        <v>4634454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278115</v>
      </c>
      <c r="AV75" s="195">
        <f t="shared" si="9"/>
        <v>1066011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46367168</v>
      </c>
      <c r="CF75" s="252"/>
    </row>
    <row r="76" spans="1:84" ht="12.6" customHeight="1" x14ac:dyDescent="0.25">
      <c r="A76" s="171" t="s">
        <v>248</v>
      </c>
      <c r="B76" s="175"/>
      <c r="C76" s="184"/>
      <c r="D76" s="184"/>
      <c r="E76" s="185">
        <v>2649</v>
      </c>
      <c r="F76" s="185"/>
      <c r="G76" s="184"/>
      <c r="H76" s="184"/>
      <c r="I76" s="185"/>
      <c r="J76" s="185">
        <v>167</v>
      </c>
      <c r="K76" s="185">
        <v>2417</v>
      </c>
      <c r="L76" s="185">
        <v>1736</v>
      </c>
      <c r="M76" s="185"/>
      <c r="N76" s="185"/>
      <c r="O76" s="185">
        <v>526</v>
      </c>
      <c r="P76" s="185">
        <v>6021</v>
      </c>
      <c r="Q76" s="185"/>
      <c r="R76" s="185"/>
      <c r="S76" s="185">
        <v>1510</v>
      </c>
      <c r="T76" s="185"/>
      <c r="U76" s="185">
        <v>1260</v>
      </c>
      <c r="V76" s="185">
        <v>236</v>
      </c>
      <c r="W76" s="185"/>
      <c r="X76" s="185"/>
      <c r="Y76" s="185">
        <v>2491</v>
      </c>
      <c r="Z76" s="185"/>
      <c r="AA76" s="185"/>
      <c r="AB76" s="185">
        <v>394</v>
      </c>
      <c r="AC76" s="185">
        <v>752</v>
      </c>
      <c r="AD76" s="185"/>
      <c r="AE76" s="185">
        <v>2996</v>
      </c>
      <c r="AF76" s="185"/>
      <c r="AG76" s="185">
        <v>1577</v>
      </c>
      <c r="AH76" s="185">
        <v>1650</v>
      </c>
      <c r="AI76" s="185"/>
      <c r="AJ76" s="185">
        <v>12086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>
        <v>1910</v>
      </c>
      <c r="AV76" s="185">
        <v>902</v>
      </c>
      <c r="AW76" s="185"/>
      <c r="AX76" s="185"/>
      <c r="AY76" s="185">
        <v>1054</v>
      </c>
      <c r="AZ76" s="185">
        <v>736</v>
      </c>
      <c r="BA76" s="185">
        <v>747</v>
      </c>
      <c r="BB76" s="185">
        <v>100</v>
      </c>
      <c r="BC76" s="185"/>
      <c r="BD76" s="185">
        <v>100</v>
      </c>
      <c r="BE76" s="185">
        <v>1764</v>
      </c>
      <c r="BF76" s="185">
        <v>115</v>
      </c>
      <c r="BG76" s="185"/>
      <c r="BH76" s="185">
        <v>356</v>
      </c>
      <c r="BI76" s="185"/>
      <c r="BJ76" s="185"/>
      <c r="BK76" s="185">
        <v>1844</v>
      </c>
      <c r="BL76" s="185">
        <v>148</v>
      </c>
      <c r="BM76" s="185"/>
      <c r="BN76" s="185">
        <v>6685</v>
      </c>
      <c r="BO76" s="185"/>
      <c r="BP76" s="185"/>
      <c r="BQ76" s="185"/>
      <c r="BR76" s="185">
        <v>406</v>
      </c>
      <c r="BS76" s="185"/>
      <c r="BT76" s="185"/>
      <c r="BU76" s="185"/>
      <c r="BV76" s="185">
        <v>612</v>
      </c>
      <c r="BW76" s="185"/>
      <c r="BX76" s="185"/>
      <c r="BY76" s="185">
        <v>210</v>
      </c>
      <c r="BZ76" s="185"/>
      <c r="CA76" s="185"/>
      <c r="CB76" s="185"/>
      <c r="CC76" s="185"/>
      <c r="CD76" s="249" t="s">
        <v>221</v>
      </c>
      <c r="CE76" s="195">
        <f t="shared" si="8"/>
        <v>56157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5701</v>
      </c>
      <c r="F77" s="184"/>
      <c r="G77" s="184"/>
      <c r="H77" s="184"/>
      <c r="I77" s="184"/>
      <c r="J77" s="184"/>
      <c r="K77" s="184">
        <v>21807</v>
      </c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>
        <v>90381</v>
      </c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117889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>
        <v>2649</v>
      </c>
      <c r="F78" s="184"/>
      <c r="G78" s="184"/>
      <c r="H78" s="184"/>
      <c r="I78" s="184"/>
      <c r="J78" s="184">
        <v>167</v>
      </c>
      <c r="K78" s="184">
        <v>2417</v>
      </c>
      <c r="L78" s="184">
        <v>1736</v>
      </c>
      <c r="M78" s="184"/>
      <c r="N78" s="184"/>
      <c r="O78" s="184">
        <v>526</v>
      </c>
      <c r="P78" s="184">
        <v>6021</v>
      </c>
      <c r="Q78" s="184"/>
      <c r="R78" s="184"/>
      <c r="S78" s="184">
        <v>1510</v>
      </c>
      <c r="T78" s="184"/>
      <c r="U78" s="184">
        <v>1260</v>
      </c>
      <c r="V78" s="184">
        <v>236</v>
      </c>
      <c r="W78" s="184"/>
      <c r="X78" s="184"/>
      <c r="Y78" s="184">
        <v>2491</v>
      </c>
      <c r="Z78" s="184"/>
      <c r="AA78" s="184"/>
      <c r="AB78" s="184">
        <v>394</v>
      </c>
      <c r="AC78" s="184">
        <v>752</v>
      </c>
      <c r="AD78" s="184"/>
      <c r="AE78" s="184">
        <v>2996</v>
      </c>
      <c r="AF78" s="184"/>
      <c r="AG78" s="184">
        <v>1577</v>
      </c>
      <c r="AH78" s="184">
        <v>1650</v>
      </c>
      <c r="AI78" s="184"/>
      <c r="AJ78" s="184">
        <v>12086</v>
      </c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>
        <v>1910</v>
      </c>
      <c r="AV78" s="184">
        <v>902</v>
      </c>
      <c r="AW78" s="184"/>
      <c r="AX78" s="249" t="s">
        <v>221</v>
      </c>
      <c r="AY78" s="249" t="s">
        <v>221</v>
      </c>
      <c r="AZ78" s="249" t="s">
        <v>221</v>
      </c>
      <c r="BA78" s="184">
        <v>747</v>
      </c>
      <c r="BB78" s="184">
        <v>100</v>
      </c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356</v>
      </c>
      <c r="BI78" s="184"/>
      <c r="BJ78" s="249" t="s">
        <v>221</v>
      </c>
      <c r="BK78" s="184">
        <v>1844</v>
      </c>
      <c r="BL78" s="184">
        <v>148</v>
      </c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v>612</v>
      </c>
      <c r="BW78" s="184"/>
      <c r="BX78" s="184"/>
      <c r="BY78" s="184">
        <v>210</v>
      </c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45297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>
        <v>1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f>2.91+0.02+0.77+1.37+1.62+0.25+0.01+0.01+0.09+0.01+0.07</f>
        <v>7.13</v>
      </c>
      <c r="F80" s="187"/>
      <c r="G80" s="187"/>
      <c r="H80" s="187"/>
      <c r="I80" s="187"/>
      <c r="J80" s="187"/>
      <c r="K80" s="187">
        <f>1.66+0.32+0.29+1.98+0.09+0.23+0.21+0.21+0.22</f>
        <v>5.21</v>
      </c>
      <c r="L80" s="187">
        <f>1.81+0.25+0.27+1.64+0.45+0.49+0.1+0.19+0.21+0.14+0.33+0.22</f>
        <v>6.1</v>
      </c>
      <c r="M80" s="187"/>
      <c r="N80" s="187"/>
      <c r="O80" s="187">
        <v>0.03</v>
      </c>
      <c r="P80" s="187">
        <f>0.33+0.01+0.15+0.38+0.11+0.04+0.01+0.36</f>
        <v>1.3900000000000001</v>
      </c>
      <c r="Q80" s="187">
        <f>0.04+0.03</f>
        <v>7.0000000000000007E-2</v>
      </c>
      <c r="R80" s="187">
        <v>1</v>
      </c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>
        <v>0.48</v>
      </c>
      <c r="AD80" s="187"/>
      <c r="AE80" s="187"/>
      <c r="AF80" s="187"/>
      <c r="AG80" s="187">
        <f>1.45+0.11+1.25+0.7+0.01</f>
        <v>3.5199999999999996</v>
      </c>
      <c r="AH80" s="187"/>
      <c r="AI80" s="187">
        <f>0.21+0.07+0.03+0.05+0.01</f>
        <v>0.37000000000000005</v>
      </c>
      <c r="AJ80" s="187">
        <f>0.01+0.12+0.03+0.86+1.27+1.29+0.27+0.52+0.59+0.57+0.08+2.75</f>
        <v>8.36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33.659999999999997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1267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1271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1275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1277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206</v>
      </c>
      <c r="D111" s="174">
        <v>662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177</v>
      </c>
      <c r="D112" s="174">
        <v>8038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5</v>
      </c>
      <c r="D114" s="174">
        <v>12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17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12</v>
      </c>
      <c r="D123" s="175"/>
      <c r="E123" s="175"/>
    </row>
    <row r="124" spans="1:5" ht="12.6" customHeight="1" x14ac:dyDescent="0.25">
      <c r="A124" s="173" t="s">
        <v>289</v>
      </c>
      <c r="B124" s="172"/>
      <c r="C124" s="189">
        <v>8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37</v>
      </c>
    </row>
    <row r="128" spans="1:5" ht="12.6" customHeight="1" x14ac:dyDescent="0.25">
      <c r="A128" s="173" t="s">
        <v>292</v>
      </c>
      <c r="B128" s="172" t="s">
        <v>256</v>
      </c>
      <c r="C128" s="189"/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127</v>
      </c>
      <c r="C138" s="189">
        <v>35</v>
      </c>
      <c r="D138" s="174">
        <v>44</v>
      </c>
      <c r="E138" s="175">
        <f>SUM(B138:D138)</f>
        <v>206</v>
      </c>
    </row>
    <row r="139" spans="1:6" ht="12.6" customHeight="1" x14ac:dyDescent="0.25">
      <c r="A139" s="173" t="s">
        <v>215</v>
      </c>
      <c r="B139" s="174">
        <v>413</v>
      </c>
      <c r="C139" s="189">
        <v>103</v>
      </c>
      <c r="D139" s="174">
        <v>146</v>
      </c>
      <c r="E139" s="175">
        <f>SUM(B139:D139)</f>
        <v>662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2222410.2400000002</v>
      </c>
      <c r="C141" s="189">
        <v>1708722</v>
      </c>
      <c r="D141" s="174">
        <v>370084</v>
      </c>
      <c r="E141" s="175">
        <f>SUM(B141:D141)</f>
        <v>4301216.24</v>
      </c>
      <c r="F141" s="199"/>
    </row>
    <row r="142" spans="1:6" ht="12.6" customHeight="1" x14ac:dyDescent="0.25">
      <c r="A142" s="173" t="s">
        <v>246</v>
      </c>
      <c r="B142" s="174">
        <v>12294017.889999999</v>
      </c>
      <c r="C142" s="189">
        <v>10746095</v>
      </c>
      <c r="D142" s="174">
        <v>15001482</v>
      </c>
      <c r="E142" s="175">
        <f>SUM(B142:D142)</f>
        <v>38041594.890000001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73</v>
      </c>
      <c r="C144" s="189">
        <v>69</v>
      </c>
      <c r="D144" s="174">
        <v>35</v>
      </c>
      <c r="E144" s="175">
        <f>SUM(B144:D144)</f>
        <v>177</v>
      </c>
    </row>
    <row r="145" spans="1:5" ht="12.6" customHeight="1" x14ac:dyDescent="0.25">
      <c r="A145" s="173" t="s">
        <v>215</v>
      </c>
      <c r="B145" s="174">
        <v>690</v>
      </c>
      <c r="C145" s="189">
        <v>5168</v>
      </c>
      <c r="D145" s="174">
        <v>2180</v>
      </c>
      <c r="E145" s="175">
        <f>SUM(B145:D145)</f>
        <v>8038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>
        <v>1957915.2200000002</v>
      </c>
      <c r="C147" s="189">
        <v>1504037</v>
      </c>
      <c r="D147" s="174">
        <v>562404</v>
      </c>
      <c r="E147" s="175">
        <f>SUM(B147:D147)</f>
        <v>4024356.22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199065.92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8832.89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222087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2849942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1172474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f>636850.15-511729</f>
        <v>125121.15000000002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511729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5089251.9600000009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/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72113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72113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253468.72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/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253468.72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16522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234262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250784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23222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321525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344747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326366</v>
      </c>
      <c r="C195" s="189">
        <v>52137</v>
      </c>
      <c r="D195" s="174"/>
      <c r="E195" s="175">
        <f t="shared" ref="E195:E203" si="10">SUM(B195:C195)-D195</f>
        <v>378503</v>
      </c>
    </row>
    <row r="196" spans="1:8" ht="12.6" customHeight="1" x14ac:dyDescent="0.25">
      <c r="A196" s="173" t="s">
        <v>333</v>
      </c>
      <c r="B196" s="174">
        <v>935266</v>
      </c>
      <c r="C196" s="189"/>
      <c r="D196" s="174"/>
      <c r="E196" s="175">
        <f t="shared" si="10"/>
        <v>935266</v>
      </c>
    </row>
    <row r="197" spans="1:8" ht="12.6" customHeight="1" x14ac:dyDescent="0.25">
      <c r="A197" s="173" t="s">
        <v>334</v>
      </c>
      <c r="B197" s="174">
        <v>15142070</v>
      </c>
      <c r="C197" s="189">
        <v>324495</v>
      </c>
      <c r="D197" s="174"/>
      <c r="E197" s="175">
        <f t="shared" si="10"/>
        <v>15466565</v>
      </c>
    </row>
    <row r="198" spans="1:8" ht="12.6" customHeight="1" x14ac:dyDescent="0.2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13815621</v>
      </c>
      <c r="C199" s="189">
        <v>873052</v>
      </c>
      <c r="D199" s="174">
        <v>20134</v>
      </c>
      <c r="E199" s="175">
        <f t="shared" si="10"/>
        <v>14668539</v>
      </c>
    </row>
    <row r="200" spans="1:8" ht="12.6" customHeight="1" x14ac:dyDescent="0.25">
      <c r="A200" s="173" t="s">
        <v>337</v>
      </c>
      <c r="B200" s="174"/>
      <c r="C200" s="189"/>
      <c r="D200" s="174"/>
      <c r="E200" s="175">
        <f t="shared" si="10"/>
        <v>0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66463</v>
      </c>
      <c r="C203" s="189">
        <v>385411</v>
      </c>
      <c r="D203" s="174">
        <v>288497</v>
      </c>
      <c r="E203" s="175">
        <f t="shared" si="10"/>
        <v>163377</v>
      </c>
    </row>
    <row r="204" spans="1:8" ht="12.6" customHeight="1" x14ac:dyDescent="0.25">
      <c r="A204" s="173" t="s">
        <v>203</v>
      </c>
      <c r="B204" s="175">
        <f>SUM(B195:B203)</f>
        <v>30285786</v>
      </c>
      <c r="C204" s="191">
        <f>SUM(C195:C203)</f>
        <v>1635095</v>
      </c>
      <c r="D204" s="175">
        <f>SUM(D195:D203)</f>
        <v>308631</v>
      </c>
      <c r="E204" s="175">
        <f>SUM(E195:E203)</f>
        <v>31612250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744559</v>
      </c>
      <c r="C209" s="189">
        <v>38474</v>
      </c>
      <c r="D209" s="174"/>
      <c r="E209" s="175">
        <f t="shared" ref="E209:E216" si="11">SUM(B209:C209)-D209</f>
        <v>783033</v>
      </c>
      <c r="H209" s="259"/>
    </row>
    <row r="210" spans="1:8" ht="12.6" customHeight="1" x14ac:dyDescent="0.25">
      <c r="A210" s="173" t="s">
        <v>334</v>
      </c>
      <c r="B210" s="174">
        <v>11197504</v>
      </c>
      <c r="C210" s="189">
        <v>438265</v>
      </c>
      <c r="D210" s="174"/>
      <c r="E210" s="175">
        <f t="shared" si="11"/>
        <v>11635769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12538526</v>
      </c>
      <c r="C212" s="189">
        <v>615814</v>
      </c>
      <c r="D212" s="174">
        <v>20134</v>
      </c>
      <c r="E212" s="175">
        <f t="shared" si="11"/>
        <v>13134206</v>
      </c>
      <c r="H212" s="259"/>
    </row>
    <row r="213" spans="1:8" ht="12.6" customHeight="1" x14ac:dyDescent="0.25">
      <c r="A213" s="173" t="s">
        <v>337</v>
      </c>
      <c r="B213" s="174"/>
      <c r="C213" s="189"/>
      <c r="D213" s="174"/>
      <c r="E213" s="175">
        <f t="shared" si="11"/>
        <v>0</v>
      </c>
      <c r="H213" s="259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24480589</v>
      </c>
      <c r="C217" s="191">
        <f>SUM(C208:C216)</f>
        <v>1092553</v>
      </c>
      <c r="D217" s="175">
        <f>SUM(D208:D216)</f>
        <v>20134</v>
      </c>
      <c r="E217" s="175">
        <f>SUM(E208:E216)</f>
        <v>25553008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786154</v>
      </c>
      <c r="D221" s="172">
        <f>C221</f>
        <v>786154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7510154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6480456.4100000001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941346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2977009.41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17908965.82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157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7500.25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641525.69999999995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649025.94999999995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f>7592+1289</f>
        <v>8881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536681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545562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19889707.77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4196840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7193047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4159210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1212037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19869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11431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502820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196526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9173360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>
        <v>1125484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1125484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378502.98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935266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15466565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14668539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/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163377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31612249.98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25553007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6059242.9800000004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211996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211996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16570082.98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>
        <v>407664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457828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1392018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204718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2462228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418412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f>212753+4175000</f>
        <v>4387753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f>207920+5203134</f>
        <v>5411054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10217219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10217219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3890636.1500000004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16570083.15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16570082.98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8325572.1699999999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38041594.390000001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46367166.560000002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786154.06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17908966.300000001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649025.69999999995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545562.29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19889708.349999998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26477458.210000005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2457767.44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733259.81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3191027.25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29668485.460000005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14035228.779999999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5089252.25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3367300.83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2966101.2199999997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475959.06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1716104.44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1092551.95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72112.58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253468.72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250784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344747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453114.42000000004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30116725.249999996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-448239.78999999166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173395.93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-274843.85999999166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-274843.85999999166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Forks Community Hospital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206</v>
      </c>
      <c r="C414" s="194">
        <f>E138</f>
        <v>206</v>
      </c>
      <c r="D414" s="179"/>
    </row>
    <row r="415" spans="1:5" ht="12.6" customHeight="1" x14ac:dyDescent="0.25">
      <c r="A415" s="179" t="s">
        <v>464</v>
      </c>
      <c r="B415" s="179">
        <f>D111</f>
        <v>662</v>
      </c>
      <c r="C415" s="179">
        <f>E139</f>
        <v>662</v>
      </c>
      <c r="D415" s="194">
        <f>SUM(C59:H59)+N59</f>
        <v>662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177</v>
      </c>
      <c r="C417" s="194">
        <f>E144</f>
        <v>177</v>
      </c>
      <c r="D417" s="179"/>
    </row>
    <row r="418" spans="1:7" ht="12.6" customHeight="1" x14ac:dyDescent="0.25">
      <c r="A418" s="179" t="s">
        <v>466</v>
      </c>
      <c r="B418" s="179">
        <f>D112</f>
        <v>8038</v>
      </c>
      <c r="C418" s="179">
        <f>E145</f>
        <v>8038</v>
      </c>
      <c r="D418" s="179">
        <f>K59+L59</f>
        <v>8038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5</v>
      </c>
    </row>
    <row r="424" spans="1:7" ht="12.6" customHeight="1" x14ac:dyDescent="0.25">
      <c r="A424" s="179" t="s">
        <v>1244</v>
      </c>
      <c r="B424" s="179">
        <f>D114</f>
        <v>12</v>
      </c>
      <c r="D424" s="179">
        <f>J59</f>
        <v>12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14035228.779999999</v>
      </c>
      <c r="C427" s="179">
        <f t="shared" ref="C427:C434" si="13">CE61</f>
        <v>14035232</v>
      </c>
      <c r="D427" s="179"/>
    </row>
    <row r="428" spans="1:7" ht="12.6" customHeight="1" x14ac:dyDescent="0.25">
      <c r="A428" s="179" t="s">
        <v>3</v>
      </c>
      <c r="B428" s="179">
        <f t="shared" si="12"/>
        <v>5089252.25</v>
      </c>
      <c r="C428" s="179">
        <f t="shared" si="13"/>
        <v>5089251</v>
      </c>
      <c r="D428" s="179">
        <f>D173</f>
        <v>5089251.9600000009</v>
      </c>
    </row>
    <row r="429" spans="1:7" ht="12.6" customHeight="1" x14ac:dyDescent="0.25">
      <c r="A429" s="179" t="s">
        <v>236</v>
      </c>
      <c r="B429" s="179">
        <f t="shared" si="12"/>
        <v>3367300.83</v>
      </c>
      <c r="C429" s="179">
        <f t="shared" si="13"/>
        <v>3367300</v>
      </c>
      <c r="D429" s="179"/>
    </row>
    <row r="430" spans="1:7" ht="12.6" customHeight="1" x14ac:dyDescent="0.25">
      <c r="A430" s="179" t="s">
        <v>237</v>
      </c>
      <c r="B430" s="179">
        <f t="shared" si="12"/>
        <v>2966101.2199999997</v>
      </c>
      <c r="C430" s="179">
        <f t="shared" si="13"/>
        <v>2966101</v>
      </c>
      <c r="D430" s="179"/>
    </row>
    <row r="431" spans="1:7" ht="12.6" customHeight="1" x14ac:dyDescent="0.25">
      <c r="A431" s="179" t="s">
        <v>444</v>
      </c>
      <c r="B431" s="179">
        <f t="shared" si="12"/>
        <v>475959.06</v>
      </c>
      <c r="C431" s="179">
        <f t="shared" si="13"/>
        <v>475959</v>
      </c>
      <c r="D431" s="179"/>
    </row>
    <row r="432" spans="1:7" ht="12.6" customHeight="1" x14ac:dyDescent="0.25">
      <c r="A432" s="179" t="s">
        <v>445</v>
      </c>
      <c r="B432" s="179">
        <f t="shared" si="12"/>
        <v>1716104.44</v>
      </c>
      <c r="C432" s="179">
        <f t="shared" si="13"/>
        <v>1716105</v>
      </c>
      <c r="D432" s="179"/>
    </row>
    <row r="433" spans="1:7" ht="12.6" customHeight="1" x14ac:dyDescent="0.25">
      <c r="A433" s="179" t="s">
        <v>6</v>
      </c>
      <c r="B433" s="179">
        <f t="shared" si="12"/>
        <v>1092551.95</v>
      </c>
      <c r="C433" s="179">
        <f t="shared" si="13"/>
        <v>1092554</v>
      </c>
      <c r="D433" s="179">
        <f>C217</f>
        <v>1092553</v>
      </c>
    </row>
    <row r="434" spans="1:7" ht="12.6" customHeight="1" x14ac:dyDescent="0.25">
      <c r="A434" s="179" t="s">
        <v>474</v>
      </c>
      <c r="B434" s="179">
        <f t="shared" si="12"/>
        <v>72112.58</v>
      </c>
      <c r="C434" s="179">
        <f t="shared" si="13"/>
        <v>72113</v>
      </c>
      <c r="D434" s="179">
        <f>D177</f>
        <v>72113</v>
      </c>
    </row>
    <row r="435" spans="1:7" ht="12.6" customHeight="1" x14ac:dyDescent="0.25">
      <c r="A435" s="179" t="s">
        <v>447</v>
      </c>
      <c r="B435" s="179">
        <f t="shared" si="12"/>
        <v>253468.72</v>
      </c>
      <c r="C435" s="179"/>
      <c r="D435" s="179">
        <f>D181</f>
        <v>253468.72</v>
      </c>
    </row>
    <row r="436" spans="1:7" ht="12.6" customHeight="1" x14ac:dyDescent="0.25">
      <c r="A436" s="179" t="s">
        <v>475</v>
      </c>
      <c r="B436" s="179">
        <f t="shared" si="12"/>
        <v>250784</v>
      </c>
      <c r="C436" s="179"/>
      <c r="D436" s="179">
        <f>D186</f>
        <v>250784</v>
      </c>
    </row>
    <row r="437" spans="1:7" ht="12.6" customHeight="1" x14ac:dyDescent="0.25">
      <c r="A437" s="194" t="s">
        <v>449</v>
      </c>
      <c r="B437" s="194">
        <f t="shared" si="12"/>
        <v>344747</v>
      </c>
      <c r="C437" s="194"/>
      <c r="D437" s="194">
        <f>D190</f>
        <v>344747</v>
      </c>
    </row>
    <row r="438" spans="1:7" ht="12.6" customHeight="1" x14ac:dyDescent="0.25">
      <c r="A438" s="194" t="s">
        <v>476</v>
      </c>
      <c r="B438" s="194">
        <f>C386+C387+C388</f>
        <v>848999.72</v>
      </c>
      <c r="C438" s="194">
        <f>CD69</f>
        <v>849000</v>
      </c>
      <c r="D438" s="194">
        <f>D181+D186+D190</f>
        <v>848999.72</v>
      </c>
    </row>
    <row r="439" spans="1:7" ht="12.6" customHeight="1" x14ac:dyDescent="0.25">
      <c r="A439" s="179" t="s">
        <v>451</v>
      </c>
      <c r="B439" s="194">
        <f>C389</f>
        <v>453114.42000000004</v>
      </c>
      <c r="C439" s="194">
        <f>SUM(C69:CC69)</f>
        <v>453114.45999999996</v>
      </c>
      <c r="D439" s="179"/>
    </row>
    <row r="440" spans="1:7" ht="12.6" customHeight="1" x14ac:dyDescent="0.25">
      <c r="A440" s="179" t="s">
        <v>477</v>
      </c>
      <c r="B440" s="194">
        <f>B438+B439</f>
        <v>1302114.1400000001</v>
      </c>
      <c r="C440" s="194">
        <f>CE69</f>
        <v>1302114.46</v>
      </c>
      <c r="D440" s="179"/>
    </row>
    <row r="441" spans="1:7" ht="12.6" customHeight="1" x14ac:dyDescent="0.25">
      <c r="A441" s="179" t="s">
        <v>478</v>
      </c>
      <c r="B441" s="179">
        <f>D390</f>
        <v>30116725.249999996</v>
      </c>
      <c r="C441" s="179">
        <f>SUM(C427:C437)+C440</f>
        <v>30116729.460000001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786154</v>
      </c>
      <c r="C444" s="179">
        <f>C363</f>
        <v>786154.06</v>
      </c>
      <c r="D444" s="179"/>
    </row>
    <row r="445" spans="1:7" ht="12.6" customHeight="1" x14ac:dyDescent="0.25">
      <c r="A445" s="179" t="s">
        <v>343</v>
      </c>
      <c r="B445" s="179">
        <f>D229</f>
        <v>17908965.82</v>
      </c>
      <c r="C445" s="179">
        <f>C364</f>
        <v>17908966.300000001</v>
      </c>
      <c r="D445" s="179"/>
    </row>
    <row r="446" spans="1:7" ht="12.6" customHeight="1" x14ac:dyDescent="0.25">
      <c r="A446" s="179" t="s">
        <v>351</v>
      </c>
      <c r="B446" s="179">
        <f>D236</f>
        <v>649025.94999999995</v>
      </c>
      <c r="C446" s="179">
        <f>C365</f>
        <v>649025.69999999995</v>
      </c>
      <c r="D446" s="179"/>
    </row>
    <row r="447" spans="1:7" ht="12.6" customHeight="1" x14ac:dyDescent="0.25">
      <c r="A447" s="179" t="s">
        <v>356</v>
      </c>
      <c r="B447" s="179">
        <f>D240</f>
        <v>545562</v>
      </c>
      <c r="C447" s="179">
        <f>C366</f>
        <v>545562.29</v>
      </c>
      <c r="D447" s="179"/>
    </row>
    <row r="448" spans="1:7" ht="12.6" customHeight="1" x14ac:dyDescent="0.25">
      <c r="A448" s="179" t="s">
        <v>358</v>
      </c>
      <c r="B448" s="179">
        <f>D242</f>
        <v>19889707.77</v>
      </c>
      <c r="C448" s="179">
        <f>D367</f>
        <v>19889708.349999998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157</v>
      </c>
    </row>
    <row r="454" spans="1:7" ht="12.6" customHeight="1" x14ac:dyDescent="0.25">
      <c r="A454" s="179" t="s">
        <v>168</v>
      </c>
      <c r="B454" s="179">
        <f>C233</f>
        <v>7500.25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641525.69999999995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2457767.44</v>
      </c>
      <c r="C458" s="194">
        <f>CE70</f>
        <v>2457767.44</v>
      </c>
      <c r="D458" s="194"/>
    </row>
    <row r="459" spans="1:7" ht="12.6" customHeight="1" x14ac:dyDescent="0.25">
      <c r="A459" s="179" t="s">
        <v>244</v>
      </c>
      <c r="B459" s="194">
        <f>C371</f>
        <v>733259.81</v>
      </c>
      <c r="C459" s="194">
        <f>CE72</f>
        <v>733260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8325572.1699999999</v>
      </c>
      <c r="C463" s="194">
        <f>CE73</f>
        <v>8325572</v>
      </c>
      <c r="D463" s="194">
        <f>E141+E147+E153</f>
        <v>8325572.4600000009</v>
      </c>
    </row>
    <row r="464" spans="1:7" ht="12.6" customHeight="1" x14ac:dyDescent="0.25">
      <c r="A464" s="179" t="s">
        <v>246</v>
      </c>
      <c r="B464" s="194">
        <f>C360</f>
        <v>38041594.390000001</v>
      </c>
      <c r="C464" s="194">
        <f>CE74</f>
        <v>38041596</v>
      </c>
      <c r="D464" s="194">
        <f>E142+E148+E154</f>
        <v>38041594.890000001</v>
      </c>
    </row>
    <row r="465" spans="1:7" ht="12.6" customHeight="1" x14ac:dyDescent="0.25">
      <c r="A465" s="179" t="s">
        <v>247</v>
      </c>
      <c r="B465" s="194">
        <f>D361</f>
        <v>46367166.560000002</v>
      </c>
      <c r="C465" s="194">
        <f>CE75</f>
        <v>46367168</v>
      </c>
      <c r="D465" s="194">
        <f>D463+D464</f>
        <v>46367167.350000001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378502.98</v>
      </c>
      <c r="C468" s="179">
        <f>E195</f>
        <v>378503</v>
      </c>
      <c r="D468" s="179"/>
    </row>
    <row r="469" spans="1:7" ht="12.6" customHeight="1" x14ac:dyDescent="0.25">
      <c r="A469" s="179" t="s">
        <v>333</v>
      </c>
      <c r="B469" s="179">
        <f t="shared" si="14"/>
        <v>935266</v>
      </c>
      <c r="C469" s="179">
        <f>E196</f>
        <v>935266</v>
      </c>
      <c r="D469" s="179"/>
    </row>
    <row r="470" spans="1:7" ht="12.6" customHeight="1" x14ac:dyDescent="0.25">
      <c r="A470" s="179" t="s">
        <v>334</v>
      </c>
      <c r="B470" s="179">
        <f t="shared" si="14"/>
        <v>15466565</v>
      </c>
      <c r="C470" s="179">
        <f>E197</f>
        <v>15466565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14668539</v>
      </c>
      <c r="C472" s="179">
        <f>E199</f>
        <v>14668539</v>
      </c>
      <c r="D472" s="179"/>
    </row>
    <row r="473" spans="1:7" ht="12.6" customHeight="1" x14ac:dyDescent="0.25">
      <c r="A473" s="179" t="s">
        <v>495</v>
      </c>
      <c r="B473" s="179">
        <f t="shared" si="14"/>
        <v>0</v>
      </c>
      <c r="C473" s="179">
        <f>SUM(E200:E201)</f>
        <v>0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163377</v>
      </c>
      <c r="C475" s="179">
        <f>E203</f>
        <v>163377</v>
      </c>
      <c r="D475" s="179"/>
    </row>
    <row r="476" spans="1:7" ht="12.6" customHeight="1" x14ac:dyDescent="0.25">
      <c r="A476" s="179" t="s">
        <v>203</v>
      </c>
      <c r="B476" s="179">
        <f>D275</f>
        <v>31612249.98</v>
      </c>
      <c r="C476" s="179">
        <f>E204</f>
        <v>31612250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25553007</v>
      </c>
      <c r="C478" s="179">
        <f>E217</f>
        <v>25553008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16570082.98</v>
      </c>
    </row>
    <row r="482" spans="1:12" ht="12.6" customHeight="1" x14ac:dyDescent="0.25">
      <c r="A482" s="180" t="s">
        <v>499</v>
      </c>
      <c r="C482" s="180">
        <f>D339</f>
        <v>16570083.15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054</v>
      </c>
      <c r="B493" s="261" t="str">
        <f>RIGHT('Prior Year'!C82,4)</f>
        <v>2017</v>
      </c>
      <c r="C493" s="261" t="str">
        <f>RIGHT(C82,4)</f>
        <v>2018</v>
      </c>
      <c r="D493" s="261" t="str">
        <f>RIGHT('Prior Year'!C82,4)</f>
        <v>2017</v>
      </c>
      <c r="E493" s="261" t="str">
        <f>RIGHT(C82,4)</f>
        <v>2018</v>
      </c>
      <c r="F493" s="261" t="str">
        <f>RIGHT('Prior Year'!C82,4)</f>
        <v>2017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0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1293200</v>
      </c>
      <c r="C498" s="240">
        <f>E71</f>
        <v>1675778</v>
      </c>
      <c r="D498" s="240">
        <f>'Prior Year'!E59</f>
        <v>796</v>
      </c>
      <c r="E498" s="180">
        <f>E59</f>
        <v>662</v>
      </c>
      <c r="F498" s="263">
        <f t="shared" si="15"/>
        <v>1624.6231155778894</v>
      </c>
      <c r="G498" s="263">
        <f t="shared" si="15"/>
        <v>2531.3867069486405</v>
      </c>
      <c r="H498" s="265">
        <f t="shared" si="16"/>
        <v>0.55813781219542058</v>
      </c>
      <c r="I498" s="267" t="s">
        <v>1282</v>
      </c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5199</v>
      </c>
      <c r="C503" s="240">
        <f>J71</f>
        <v>8622</v>
      </c>
      <c r="D503" s="240">
        <f>'Prior Year'!J59</f>
        <v>84</v>
      </c>
      <c r="E503" s="180">
        <f>J59</f>
        <v>12</v>
      </c>
      <c r="F503" s="263">
        <f t="shared" si="15"/>
        <v>61.892857142857146</v>
      </c>
      <c r="G503" s="263">
        <f t="shared" si="15"/>
        <v>718.5</v>
      </c>
      <c r="H503" s="265">
        <f t="shared" si="16"/>
        <v>10.608770917484131</v>
      </c>
      <c r="I503" s="267" t="s">
        <v>1283</v>
      </c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1449966</v>
      </c>
      <c r="C504" s="240">
        <f>K71</f>
        <v>1471561</v>
      </c>
      <c r="D504" s="240">
        <f>'Prior Year'!K59</f>
        <v>4292</v>
      </c>
      <c r="E504" s="180">
        <f>K59</f>
        <v>4303</v>
      </c>
      <c r="F504" s="263">
        <f t="shared" si="15"/>
        <v>337.82991612301959</v>
      </c>
      <c r="G504" s="263">
        <f t="shared" si="15"/>
        <v>341.98489425981876</v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1179711</v>
      </c>
      <c r="C505" s="240">
        <f>L71</f>
        <v>1382925</v>
      </c>
      <c r="D505" s="240">
        <f>'Prior Year'!L59</f>
        <v>3800</v>
      </c>
      <c r="E505" s="180">
        <f>L59</f>
        <v>3735</v>
      </c>
      <c r="F505" s="263">
        <f t="shared" si="15"/>
        <v>310.45026315789471</v>
      </c>
      <c r="G505" s="263">
        <f t="shared" si="15"/>
        <v>370.26104417670683</v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49341</v>
      </c>
      <c r="C508" s="240">
        <f>O71</f>
        <v>19183</v>
      </c>
      <c r="D508" s="240">
        <f>'Prior Year'!O59</f>
        <v>84</v>
      </c>
      <c r="E508" s="180">
        <f>O59</f>
        <v>5</v>
      </c>
      <c r="F508" s="263">
        <f t="shared" si="15"/>
        <v>587.39285714285711</v>
      </c>
      <c r="G508" s="263">
        <f t="shared" si="15"/>
        <v>3836.6</v>
      </c>
      <c r="H508" s="265">
        <f t="shared" si="16"/>
        <v>5.5315741472608986</v>
      </c>
      <c r="I508" s="267" t="s">
        <v>1283</v>
      </c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536479</v>
      </c>
      <c r="C509" s="240">
        <f>P71</f>
        <v>954539</v>
      </c>
      <c r="D509" s="240">
        <f>'Prior Year'!P59</f>
        <v>14341</v>
      </c>
      <c r="E509" s="180">
        <f>P59</f>
        <v>10692</v>
      </c>
      <c r="F509" s="263">
        <f t="shared" si="15"/>
        <v>37.408758106129277</v>
      </c>
      <c r="G509" s="263">
        <f t="shared" si="15"/>
        <v>89.27600074822297</v>
      </c>
      <c r="H509" s="265">
        <f t="shared" si="16"/>
        <v>1.3864999873811756</v>
      </c>
      <c r="I509" s="267" t="s">
        <v>1284</v>
      </c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12709</v>
      </c>
      <c r="C510" s="240">
        <f>Q71</f>
        <v>11648</v>
      </c>
      <c r="D510" s="240">
        <f>'Prior Year'!Q59</f>
        <v>11084</v>
      </c>
      <c r="E510" s="180">
        <f>Q59</f>
        <v>11831</v>
      </c>
      <c r="F510" s="263">
        <f t="shared" si="15"/>
        <v>1.1466077228437388</v>
      </c>
      <c r="G510" s="263">
        <f t="shared" si="15"/>
        <v>0.98453216127123655</v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559009</v>
      </c>
      <c r="C511" s="240">
        <f>R71</f>
        <v>640407</v>
      </c>
      <c r="D511" s="240">
        <f>'Prior Year'!R59</f>
        <v>20788</v>
      </c>
      <c r="E511" s="180">
        <f>R59</f>
        <v>19080</v>
      </c>
      <c r="F511" s="263">
        <f t="shared" si="15"/>
        <v>26.890946700019242</v>
      </c>
      <c r="G511" s="263">
        <f t="shared" si="15"/>
        <v>33.564308176100631</v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220923</v>
      </c>
      <c r="C512" s="240">
        <f>S71</f>
        <v>206642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1301686</v>
      </c>
      <c r="C514" s="240">
        <f>U71</f>
        <v>1472010</v>
      </c>
      <c r="D514" s="240">
        <f>'Prior Year'!U59</f>
        <v>53118</v>
      </c>
      <c r="E514" s="180">
        <f>U59</f>
        <v>52574</v>
      </c>
      <c r="F514" s="263">
        <f t="shared" si="17"/>
        <v>24.505553672954555</v>
      </c>
      <c r="G514" s="263">
        <f t="shared" si="17"/>
        <v>27.998820709856584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2140</v>
      </c>
      <c r="C515" s="240">
        <f>V71</f>
        <v>2003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253509</v>
      </c>
      <c r="C516" s="240">
        <f>W71</f>
        <v>238416</v>
      </c>
      <c r="D516" s="240">
        <f>'Prior Year'!W59</f>
        <v>7298.43</v>
      </c>
      <c r="E516" s="180">
        <f>W59</f>
        <v>6536</v>
      </c>
      <c r="F516" s="263">
        <f t="shared" si="17"/>
        <v>34.734730620147069</v>
      </c>
      <c r="G516" s="263">
        <f t="shared" si="17"/>
        <v>36.477356181150547</v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96797</v>
      </c>
      <c r="C517" s="240">
        <f>X71</f>
        <v>86224</v>
      </c>
      <c r="D517" s="240">
        <f>'Prior Year'!X59</f>
        <v>10186.27</v>
      </c>
      <c r="E517" s="180">
        <f>X59</f>
        <v>10370</v>
      </c>
      <c r="F517" s="263">
        <f t="shared" si="17"/>
        <v>9.5026933313175483</v>
      </c>
      <c r="G517" s="263">
        <f t="shared" si="17"/>
        <v>8.3147540983606554</v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1502180</v>
      </c>
      <c r="C518" s="240">
        <f>Y71</f>
        <v>1617304</v>
      </c>
      <c r="D518" s="240">
        <f>'Prior Year'!Y59</f>
        <v>7522.2</v>
      </c>
      <c r="E518" s="180">
        <f>Y59</f>
        <v>6862</v>
      </c>
      <c r="F518" s="263">
        <f t="shared" si="17"/>
        <v>199.69955598096303</v>
      </c>
      <c r="G518" s="263">
        <f t="shared" si="17"/>
        <v>235.68988633051589</v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58421</v>
      </c>
      <c r="C520" s="240">
        <f>AA71</f>
        <v>70744</v>
      </c>
      <c r="D520" s="240">
        <f>'Prior Year'!AA59</f>
        <v>366.81</v>
      </c>
      <c r="E520" s="180">
        <f>AA59</f>
        <v>527</v>
      </c>
      <c r="F520" s="263">
        <f t="shared" si="17"/>
        <v>159.26774079223577</v>
      </c>
      <c r="G520" s="263">
        <f t="shared" si="17"/>
        <v>134.23908918406073</v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1452083</v>
      </c>
      <c r="C521" s="240">
        <f>AB71</f>
        <v>1568012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123846</v>
      </c>
      <c r="C522" s="240">
        <f>AC71</f>
        <v>79979</v>
      </c>
      <c r="D522" s="240">
        <f>'Prior Year'!AC59</f>
        <v>1263</v>
      </c>
      <c r="E522" s="180">
        <f>AC59</f>
        <v>472</v>
      </c>
      <c r="F522" s="263">
        <f t="shared" si="17"/>
        <v>98.057007125890735</v>
      </c>
      <c r="G522" s="263">
        <f t="shared" si="17"/>
        <v>169.44703389830508</v>
      </c>
      <c r="H522" s="265">
        <f t="shared" si="16"/>
        <v>0.72804615258917793</v>
      </c>
      <c r="I522" s="267" t="s">
        <v>1285</v>
      </c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826844</v>
      </c>
      <c r="C524" s="240">
        <f>AE71</f>
        <v>830505</v>
      </c>
      <c r="D524" s="240">
        <f>'Prior Year'!AE59</f>
        <v>734522</v>
      </c>
      <c r="E524" s="180">
        <f>AE59</f>
        <v>6329</v>
      </c>
      <c r="F524" s="263">
        <f t="shared" si="17"/>
        <v>1.12568990445487</v>
      </c>
      <c r="G524" s="263">
        <f t="shared" si="17"/>
        <v>131.22215199873597</v>
      </c>
      <c r="H524" s="265">
        <f t="shared" si="16"/>
        <v>115.57042625986949</v>
      </c>
      <c r="I524" s="267" t="s">
        <v>1288</v>
      </c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1744921</v>
      </c>
      <c r="C526" s="240">
        <f>AG71</f>
        <v>1848250</v>
      </c>
      <c r="D526" s="240">
        <f>'Prior Year'!AG59</f>
        <v>4759</v>
      </c>
      <c r="E526" s="180">
        <f>AG59</f>
        <v>5585</v>
      </c>
      <c r="F526" s="263">
        <f t="shared" si="17"/>
        <v>366.65707081319607</v>
      </c>
      <c r="G526" s="263">
        <f t="shared" si="17"/>
        <v>330.9310653536258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412576</v>
      </c>
      <c r="C527" s="240">
        <f>AH71</f>
        <v>484988</v>
      </c>
      <c r="D527" s="240">
        <f>'Prior Year'!AH59</f>
        <v>733</v>
      </c>
      <c r="E527" s="180">
        <f>AH59</f>
        <v>791</v>
      </c>
      <c r="F527" s="263">
        <f t="shared" si="17"/>
        <v>562.85948158253757</v>
      </c>
      <c r="G527" s="263">
        <f t="shared" si="17"/>
        <v>613.13274336283189</v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56329</v>
      </c>
      <c r="C528" s="240">
        <f>AI71</f>
        <v>56465</v>
      </c>
      <c r="D528" s="240">
        <f>'Prior Year'!AI59</f>
        <v>232</v>
      </c>
      <c r="E528" s="180">
        <f>AI59</f>
        <v>360</v>
      </c>
      <c r="F528" s="263">
        <f t="shared" ref="F528:G540" si="18">IF(B528=0,"",IF(D528=0,"",B528/D528))</f>
        <v>242.79741379310346</v>
      </c>
      <c r="G528" s="263">
        <f t="shared" si="18"/>
        <v>156.84722222222223</v>
      </c>
      <c r="H528" s="265">
        <f t="shared" si="16"/>
        <v>-0.35399961732756569</v>
      </c>
      <c r="I528" s="267" t="s">
        <v>1286</v>
      </c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4892003</v>
      </c>
      <c r="C529" s="240">
        <f>AJ71</f>
        <v>4665767</v>
      </c>
      <c r="D529" s="240">
        <f>'Prior Year'!AJ59</f>
        <v>19470</v>
      </c>
      <c r="E529" s="180">
        <f>AJ59</f>
        <v>17082</v>
      </c>
      <c r="F529" s="263">
        <f t="shared" si="18"/>
        <v>251.25850025680535</v>
      </c>
      <c r="G529" s="263">
        <f t="shared" si="18"/>
        <v>273.13938648870158</v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1484313</v>
      </c>
      <c r="C540" s="240">
        <f>AU71</f>
        <v>1433114.46</v>
      </c>
      <c r="D540" s="240">
        <f>'Prior Year'!AU59</f>
        <v>25438</v>
      </c>
      <c r="E540" s="180">
        <f>AU59</f>
        <v>11353</v>
      </c>
      <c r="F540" s="263">
        <f t="shared" si="18"/>
        <v>58.350224074219675</v>
      </c>
      <c r="G540" s="263">
        <f t="shared" si="18"/>
        <v>126.23222584338941</v>
      </c>
      <c r="H540" s="265">
        <f t="shared" si="16"/>
        <v>1.1633546031087376</v>
      </c>
      <c r="I540" s="267" t="s">
        <v>1287</v>
      </c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348847</v>
      </c>
      <c r="C541" s="240">
        <f>AV71</f>
        <v>334988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857705</v>
      </c>
      <c r="C544" s="240">
        <f>AY71</f>
        <v>914972</v>
      </c>
      <c r="D544" s="240">
        <f>'Prior Year'!AY59</f>
        <v>145630</v>
      </c>
      <c r="E544" s="180">
        <f>AY59</f>
        <v>117889</v>
      </c>
      <c r="F544" s="263">
        <f t="shared" ref="F544:G550" si="19">IF(B544=0,"",IF(D544=0,"",B544/D544))</f>
        <v>5.8896175238618413</v>
      </c>
      <c r="G544" s="263">
        <f t="shared" si="19"/>
        <v>7.7613008847305514</v>
      </c>
      <c r="H544" s="265">
        <f t="shared" si="16"/>
        <v>0.31779370278045516</v>
      </c>
      <c r="I544" s="267" t="s">
        <v>1289</v>
      </c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6674</v>
      </c>
      <c r="C545" s="240">
        <f>AZ71</f>
        <v>6248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212110</v>
      </c>
      <c r="C546" s="240">
        <f>BA71</f>
        <v>234629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171262</v>
      </c>
      <c r="C547" s="240">
        <f>BB71</f>
        <v>201095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101056</v>
      </c>
      <c r="C549" s="240">
        <f>BD71</f>
        <v>118456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985801</v>
      </c>
      <c r="C550" s="240">
        <f>BE71</f>
        <v>1065828</v>
      </c>
      <c r="D550" s="240">
        <f>'Prior Year'!BE59</f>
        <v>56157</v>
      </c>
      <c r="E550" s="180">
        <f>BE59</f>
        <v>56157</v>
      </c>
      <c r="F550" s="263">
        <f t="shared" si="19"/>
        <v>17.554374343358798</v>
      </c>
      <c r="G550" s="263">
        <f t="shared" si="19"/>
        <v>18.979432662001177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573385</v>
      </c>
      <c r="C551" s="240">
        <f>BF71</f>
        <v>620175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1072587</v>
      </c>
      <c r="C553" s="240">
        <f>BH71</f>
        <v>853973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323021</v>
      </c>
      <c r="C555" s="240">
        <f>BJ71</f>
        <v>374138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746780</v>
      </c>
      <c r="C556" s="240">
        <f>BK71</f>
        <v>793272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301992</v>
      </c>
      <c r="C557" s="240">
        <f>BL71</f>
        <v>341644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1033893.29</v>
      </c>
      <c r="C559" s="240">
        <f>BN71</f>
        <v>1159254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258436</v>
      </c>
      <c r="C563" s="240">
        <f>BR71</f>
        <v>333174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296657</v>
      </c>
      <c r="C567" s="240">
        <f>BV71</f>
        <v>288567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201040</v>
      </c>
      <c r="C569" s="240">
        <f>BX71</f>
        <v>367211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239315</v>
      </c>
      <c r="C570" s="240">
        <f>BY71</f>
        <v>260422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91907</v>
      </c>
      <c r="C572" s="240">
        <f>CA71</f>
        <v>107836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502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12169</v>
      </c>
      <c r="C574" s="240">
        <f>CC71</f>
        <v>66761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-1503263.9899999998</v>
      </c>
      <c r="C575" s="240">
        <f>CD71</f>
        <v>-1608767.44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54393</v>
      </c>
      <c r="E612" s="180">
        <f>SUM(C624:D647)+SUM(C668:D713)</f>
        <v>26125537.278349418</v>
      </c>
      <c r="F612" s="180">
        <f>CE64-(AX64+BD64+BE64+BG64+BJ64+BN64+BP64+BQ64+CB64+CC64+CD64)</f>
        <v>2859937</v>
      </c>
      <c r="G612" s="180">
        <f>CE77-(AX77+AY77+BD77+BE77+BG77+BJ77+BN77+BP77+BQ77+CB77+CC77+CD77)</f>
        <v>117889</v>
      </c>
      <c r="H612" s="197">
        <f>CE60-(AX60+AY60+AZ60+BD60+BE60+BG60+BJ60+BN60+BO60+BP60+BQ60+BR60+CB60+CC60+CD60)</f>
        <v>183.95999999999998</v>
      </c>
      <c r="I612" s="180">
        <f>CE78-(AX78+AY78+AZ78+BD78+BE78+BF78+BG78+BJ78+BN78+BO78+BP78+BQ78+BR78+CB78+CC78+CD78)</f>
        <v>45297</v>
      </c>
      <c r="J612" s="180">
        <f>CE79-(AX79+AY79+AZ79+BA79+BD79+BE79+BF79+BG79+BJ79+BN79+BO79+BP79+BQ79+BR79+CB79+CC79+CD79)</f>
        <v>1</v>
      </c>
      <c r="K612" s="180">
        <f>CE75-(AW75+AX75+AY75+AZ75+BA75+BB75+BC75+BD75+BE75+BF75+BG75+BH75+BI75+BJ75+BK75+BL75+BM75+BN75+BO75+BP75+BQ75+BR75+BS75+BT75+BU75+BV75+BW75+BX75+CB75+CC75+CD75)</f>
        <v>46367168</v>
      </c>
      <c r="L612" s="197">
        <f>CE80-(AW80+AX80+AY80+AZ80+BA80+BB80+BC80+BD80+BE80+BF80+BG80+BH80+BI80+BJ80+BK80+BL80+BM80+BN80+BO80+BP80+BQ80+BR80+BS80+BT80+BU80+BV80+BW80+BX80+BY80+BZ80+CA80+CB80+CC80+CD80)</f>
        <v>33.659999999999997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1065828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-1608767.44</v>
      </c>
      <c r="D615" s="266">
        <f>SUM(C614:C615)</f>
        <v>-542939.43999999994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374138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1159254</v>
      </c>
      <c r="D619" s="180">
        <f>(D615/D612)*BN76</f>
        <v>-66728.25834941995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66761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1533424.74165058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118456</v>
      </c>
      <c r="D624" s="180">
        <f>(D615/D612)*BD76</f>
        <v>-998.17888331219069</v>
      </c>
      <c r="E624" s="180">
        <f>(E623/E612)*SUM(C624:D624)</f>
        <v>6894.1253564174103</v>
      </c>
      <c r="F624" s="180">
        <f>SUM(C624:E624)</f>
        <v>124351.94647310521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914972</v>
      </c>
      <c r="D625" s="180">
        <f>(D615/D612)*AY76</f>
        <v>-10520.805430110491</v>
      </c>
      <c r="E625" s="180">
        <f>(E623/E612)*SUM(C625:D625)</f>
        <v>53086.289655686436</v>
      </c>
      <c r="F625" s="180">
        <f>(F624/F612)*AY64</f>
        <v>13536.746715602092</v>
      </c>
      <c r="G625" s="180">
        <f>SUM(C625:F625)</f>
        <v>971074.23094117804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333174</v>
      </c>
      <c r="D626" s="180">
        <f>(D615/D612)*BR76</f>
        <v>-4052.6062662474942</v>
      </c>
      <c r="E626" s="180">
        <f>(E623/E612)*SUM(C626:D626)</f>
        <v>19317.608008624407</v>
      </c>
      <c r="F626" s="180">
        <f>(F624/F612)*BR64</f>
        <v>204.92434753903493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6248</v>
      </c>
      <c r="D628" s="180">
        <f>(D615/D612)*AZ76</f>
        <v>-7346.5965811777241</v>
      </c>
      <c r="E628" s="180">
        <f>(E623/E612)*SUM(C628:D628)</f>
        <v>-64.481551545610699</v>
      </c>
      <c r="F628" s="180">
        <f>(F624/F612)*AZ64</f>
        <v>0</v>
      </c>
      <c r="G628" s="180">
        <f>(G625/G612)*AZ77</f>
        <v>744485.57597990159</v>
      </c>
      <c r="H628" s="180">
        <f>SUM(C626:G628)</f>
        <v>1091966.4239370942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620175</v>
      </c>
      <c r="D629" s="180">
        <f>(D615/D612)*BF76</f>
        <v>-1147.9057158090193</v>
      </c>
      <c r="E629" s="180">
        <f>(E623/E612)*SUM(C629:D629)</f>
        <v>36333.471423536452</v>
      </c>
      <c r="F629" s="180">
        <f>(F624/F612)*BF64</f>
        <v>3780.7302922160329</v>
      </c>
      <c r="G629" s="180">
        <f>(G625/G612)*BF77</f>
        <v>0</v>
      </c>
      <c r="H629" s="180">
        <f>(H628/H612)*BF60</f>
        <v>74317.349574322798</v>
      </c>
      <c r="I629" s="180">
        <f>SUM(C629:H629)</f>
        <v>733458.64557426632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234629</v>
      </c>
      <c r="D630" s="180">
        <f>(D615/D612)*BA76</f>
        <v>-7456.3962583420644</v>
      </c>
      <c r="E630" s="180">
        <f>(E623/E612)*SUM(C630:D630)</f>
        <v>13333.777119727427</v>
      </c>
      <c r="F630" s="180">
        <f>(F624/F612)*BA64</f>
        <v>542.11686083528264</v>
      </c>
      <c r="G630" s="180">
        <f>(G625/G612)*BA77</f>
        <v>0</v>
      </c>
      <c r="H630" s="180">
        <f>(H628/H612)*BA60</f>
        <v>3917.687757112863</v>
      </c>
      <c r="I630" s="180">
        <f>(I629/I612)*BA78</f>
        <v>12095.582670904851</v>
      </c>
      <c r="J630" s="180">
        <f>SUM(C630:I630)</f>
        <v>257061.76815023838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201095</v>
      </c>
      <c r="D632" s="180">
        <f>(D615/D612)*BB76</f>
        <v>-998.17888331219069</v>
      </c>
      <c r="E632" s="180">
        <f>(E623/E612)*SUM(C632:D632)</f>
        <v>11744.578224626073</v>
      </c>
      <c r="F632" s="180">
        <f>(F624/F612)*BB64</f>
        <v>36.393311879943184</v>
      </c>
      <c r="G632" s="180">
        <f>(G625/G612)*BB77</f>
        <v>0</v>
      </c>
      <c r="H632" s="180">
        <f>(H628/H612)*BB60</f>
        <v>11159.474217230578</v>
      </c>
      <c r="I632" s="180">
        <f>(I629/I612)*BB78</f>
        <v>1619.2212410849866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793272</v>
      </c>
      <c r="D635" s="180">
        <f>(D615/D612)*BK76</f>
        <v>-18406.418608276796</v>
      </c>
      <c r="E635" s="180">
        <f>(E623/E612)*SUM(C635:D635)</f>
        <v>45480.329889491128</v>
      </c>
      <c r="F635" s="180">
        <f>(F624/F612)*BK64</f>
        <v>902.65848820504243</v>
      </c>
      <c r="G635" s="180">
        <f>(G625/G612)*BK77</f>
        <v>0</v>
      </c>
      <c r="H635" s="180">
        <f>(H628/H612)*BK60</f>
        <v>74020.55504726879</v>
      </c>
      <c r="I635" s="180">
        <f>(I629/I612)*BK78</f>
        <v>29858.439685607151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853973</v>
      </c>
      <c r="D636" s="180">
        <f>(D615/D612)*BH76</f>
        <v>-3553.5168245913992</v>
      </c>
      <c r="E636" s="180">
        <f>(E623/E612)*SUM(C636:D636)</f>
        <v>49914.926624822285</v>
      </c>
      <c r="F636" s="180">
        <f>(F624/F612)*BH64</f>
        <v>619.94724108032244</v>
      </c>
      <c r="G636" s="180">
        <f>(G625/G612)*BH77</f>
        <v>0</v>
      </c>
      <c r="H636" s="180">
        <f>(H628/H612)*BH60</f>
        <v>19291.64425851031</v>
      </c>
      <c r="I636" s="180">
        <f>(I629/I612)*BH78</f>
        <v>5764.4276182625526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341644</v>
      </c>
      <c r="D637" s="180">
        <f>(D615/D612)*BL76</f>
        <v>-1477.3047473020422</v>
      </c>
      <c r="E637" s="180">
        <f>(E623/E612)*SUM(C637:D637)</f>
        <v>19965.906202368264</v>
      </c>
      <c r="F637" s="180">
        <f>(F624/F612)*BL64</f>
        <v>330.62693373367739</v>
      </c>
      <c r="G637" s="180">
        <f>(G625/G612)*BL77</f>
        <v>0</v>
      </c>
      <c r="H637" s="180">
        <f>(H628/H612)*BL60</f>
        <v>32231.885638064916</v>
      </c>
      <c r="I637" s="180">
        <f>(I629/I612)*BL78</f>
        <v>2396.4474368057799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288567</v>
      </c>
      <c r="D642" s="180">
        <f>(D615/D612)*BV76</f>
        <v>-6108.8547658706075</v>
      </c>
      <c r="E642" s="180">
        <f>(E623/E612)*SUM(C642:D642)</f>
        <v>16578.733052188214</v>
      </c>
      <c r="F642" s="180">
        <f>(F624/F612)*BV64</f>
        <v>308.79964273758242</v>
      </c>
      <c r="G642" s="180">
        <f>(G625/G612)*BV77</f>
        <v>0</v>
      </c>
      <c r="H642" s="180">
        <f>(H628/H612)*BV60</f>
        <v>19766.515501796719</v>
      </c>
      <c r="I642" s="180">
        <f>(I629/I612)*BV78</f>
        <v>9909.6339954401174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367211</v>
      </c>
      <c r="D644" s="180">
        <f>(D615/D612)*BX76</f>
        <v>0</v>
      </c>
      <c r="E644" s="180">
        <f>(E623/E612)*SUM(C644:D644)</f>
        <v>21553.257519909137</v>
      </c>
      <c r="F644" s="180">
        <f>(F624/F612)*BX64</f>
        <v>216.66412556482305</v>
      </c>
      <c r="G644" s="180">
        <f>(G625/G612)*BX77</f>
        <v>0</v>
      </c>
      <c r="H644" s="180">
        <f>(H628/H612)*BX60</f>
        <v>16917.288042078271</v>
      </c>
      <c r="I644" s="180">
        <f>(I629/I612)*BX78</f>
        <v>0</v>
      </c>
      <c r="J644" s="180">
        <f>(J630/J612)*BX79</f>
        <v>0</v>
      </c>
      <c r="K644" s="180">
        <f>SUM(C631:J644)</f>
        <v>3205806.080109403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260422</v>
      </c>
      <c r="D645" s="180">
        <f>(D615/D612)*BY76</f>
        <v>-2096.1756549556007</v>
      </c>
      <c r="E645" s="180">
        <f>(E623/E612)*SUM(C645:D645)</f>
        <v>15162.299103653093</v>
      </c>
      <c r="F645" s="180">
        <f>(F624/F612)*BY64</f>
        <v>243.01340513381416</v>
      </c>
      <c r="G645" s="180">
        <f>(G625/G612)*BY77</f>
        <v>0</v>
      </c>
      <c r="H645" s="180">
        <f>(H628/H612)*BY60</f>
        <v>11456.268744284584</v>
      </c>
      <c r="I645" s="180">
        <f>(I629/I612)*BY78</f>
        <v>3400.3646062784719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107836</v>
      </c>
      <c r="D647" s="180">
        <f>(D615/D612)*CA76</f>
        <v>0</v>
      </c>
      <c r="E647" s="180">
        <f>(E623/E612)*SUM(C647:D647)</f>
        <v>6329.3776001179749</v>
      </c>
      <c r="F647" s="180">
        <f>(F624/F612)*CA64</f>
        <v>8.3482865961159991</v>
      </c>
      <c r="G647" s="180">
        <f>(G625/G612)*CA77</f>
        <v>0</v>
      </c>
      <c r="H647" s="180">
        <f>(H628/H612)*CA60</f>
        <v>6173.3261627232996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408934.82225383178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6498887.5600000005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1675778</v>
      </c>
      <c r="D670" s="180">
        <f>(D615/D612)*E76</f>
        <v>-26441.758618939934</v>
      </c>
      <c r="E670" s="180">
        <f>(E623/E612)*SUM(C670:D670)</f>
        <v>96806.927753811862</v>
      </c>
      <c r="F670" s="180">
        <f>(F624/F612)*E64</f>
        <v>3324.1833689909395</v>
      </c>
      <c r="G670" s="180">
        <f>(G625/G612)*E77</f>
        <v>46960.226913415638</v>
      </c>
      <c r="H670" s="180">
        <f>(H628/H612)*E60</f>
        <v>69627.996046869521</v>
      </c>
      <c r="I670" s="180">
        <f>(I629/I612)*E78</f>
        <v>42893.170676341295</v>
      </c>
      <c r="J670" s="180">
        <f>(J630/J612)*E79</f>
        <v>257061.76815023838</v>
      </c>
      <c r="K670" s="180">
        <f>(K644/K612)*E75</f>
        <v>172356.72160933376</v>
      </c>
      <c r="L670" s="180">
        <f>(L647/L612)*E80</f>
        <v>86622.260328871678</v>
      </c>
      <c r="M670" s="180">
        <f t="shared" si="20"/>
        <v>749211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8622</v>
      </c>
      <c r="D675" s="180">
        <f>(D615/D612)*J76</f>
        <v>-1666.9587351313585</v>
      </c>
      <c r="E675" s="180">
        <f>(E623/E612)*SUM(C675:D675)</f>
        <v>408.22250815827522</v>
      </c>
      <c r="F675" s="180">
        <f>(F624/F612)*J64</f>
        <v>207.70710973774024</v>
      </c>
      <c r="G675" s="180">
        <f>(G625/G612)*J77</f>
        <v>0</v>
      </c>
      <c r="H675" s="180">
        <f>(H628/H612)*J60</f>
        <v>0</v>
      </c>
      <c r="I675" s="180">
        <f>(I629/I612)*J78</f>
        <v>2704.0994726119275</v>
      </c>
      <c r="J675" s="180">
        <f>(J630/J612)*J79</f>
        <v>0</v>
      </c>
      <c r="K675" s="180">
        <f>(K644/K612)*J75</f>
        <v>879.45533656469183</v>
      </c>
      <c r="L675" s="180">
        <f>(L647/L612)*J80</f>
        <v>0</v>
      </c>
      <c r="M675" s="180">
        <f t="shared" si="20"/>
        <v>2533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1471561</v>
      </c>
      <c r="D676" s="180">
        <f>(D615/D612)*K76</f>
        <v>-24125.98360965565</v>
      </c>
      <c r="E676" s="180">
        <f>(E623/E612)*SUM(C676:D676)</f>
        <v>84956.44098786528</v>
      </c>
      <c r="F676" s="180">
        <f>(F624/F612)*K64</f>
        <v>3367.7944703237745</v>
      </c>
      <c r="G676" s="180">
        <f>(G625/G612)*K77</f>
        <v>179628.42804786086</v>
      </c>
      <c r="H676" s="180">
        <f>(H628/H612)*K60</f>
        <v>98773.218603572794</v>
      </c>
      <c r="I676" s="180">
        <f>(I629/I612)*K78</f>
        <v>39136.577397024128</v>
      </c>
      <c r="J676" s="180">
        <f>(J630/J612)*K79</f>
        <v>0</v>
      </c>
      <c r="K676" s="180">
        <f>(K644/K612)*K75</f>
        <v>68903.389711870041</v>
      </c>
      <c r="L676" s="180">
        <f>(L647/L612)*K80</f>
        <v>63296.209861629941</v>
      </c>
      <c r="M676" s="180">
        <f t="shared" si="20"/>
        <v>513936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1382925</v>
      </c>
      <c r="D677" s="180">
        <f>(D615/D612)*L76</f>
        <v>-17328.385414299632</v>
      </c>
      <c r="E677" s="180">
        <f>(E623/E612)*SUM(C677:D677)</f>
        <v>80152.978811859415</v>
      </c>
      <c r="F677" s="180">
        <f>(F624/F612)*L64</f>
        <v>1368.2059079165738</v>
      </c>
      <c r="G677" s="180">
        <f>(G625/G612)*L77</f>
        <v>0</v>
      </c>
      <c r="H677" s="180">
        <f>(H628/H612)*L60</f>
        <v>97586.040495356778</v>
      </c>
      <c r="I677" s="180">
        <f>(I629/I612)*L78</f>
        <v>28109.680745235368</v>
      </c>
      <c r="J677" s="180">
        <f>(J630/J612)*L79</f>
        <v>0</v>
      </c>
      <c r="K677" s="180">
        <f>(K644/K612)*L75</f>
        <v>151723.67614788291</v>
      </c>
      <c r="L677" s="180">
        <f>(L647/L612)*L80</f>
        <v>74108.806171965945</v>
      </c>
      <c r="M677" s="180">
        <f t="shared" si="20"/>
        <v>415721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19183</v>
      </c>
      <c r="D680" s="180">
        <f>(D615/D612)*O76</f>
        <v>-5250.4209262221229</v>
      </c>
      <c r="E680" s="180">
        <f>(E623/E612)*SUM(C680:D680)</f>
        <v>817.76543919880316</v>
      </c>
      <c r="F680" s="180">
        <f>(F624/F612)*O64</f>
        <v>147.31247389396356</v>
      </c>
      <c r="G680" s="180">
        <f>(G625/G612)*O77</f>
        <v>0</v>
      </c>
      <c r="H680" s="180">
        <f>(H628/H612)*O60</f>
        <v>178.07671623240284</v>
      </c>
      <c r="I680" s="180">
        <f>(I629/I612)*O78</f>
        <v>8517.1037281070294</v>
      </c>
      <c r="J680" s="180">
        <f>(J630/J612)*O79</f>
        <v>0</v>
      </c>
      <c r="K680" s="180">
        <f>(K644/K612)*O75</f>
        <v>2609.603948372463</v>
      </c>
      <c r="L680" s="180">
        <f>(L647/L612)*O80</f>
        <v>364.4695385506522</v>
      </c>
      <c r="M680" s="180">
        <f t="shared" si="20"/>
        <v>7384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954539</v>
      </c>
      <c r="D681" s="180">
        <f>(D615/D612)*P76</f>
        <v>-60100.350564227003</v>
      </c>
      <c r="E681" s="180">
        <f>(E623/E612)*SUM(C681:D681)</f>
        <v>52498.608557611151</v>
      </c>
      <c r="F681" s="180">
        <f>(F624/F612)*P64</f>
        <v>4429.2878071517944</v>
      </c>
      <c r="G681" s="180">
        <f>(G625/G612)*P77</f>
        <v>0</v>
      </c>
      <c r="H681" s="180">
        <f>(H628/H612)*P60</f>
        <v>18876.131920634703</v>
      </c>
      <c r="I681" s="180">
        <f>(I629/I612)*P78</f>
        <v>97493.310925727041</v>
      </c>
      <c r="J681" s="180">
        <f>(J630/J612)*P79</f>
        <v>0</v>
      </c>
      <c r="K681" s="180">
        <f>(K644/K612)*P75</f>
        <v>138029.89281769402</v>
      </c>
      <c r="L681" s="180">
        <f>(L647/L612)*P80</f>
        <v>16887.088619513554</v>
      </c>
      <c r="M681" s="180">
        <f t="shared" si="20"/>
        <v>268114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11648</v>
      </c>
      <c r="D682" s="180">
        <f>(D615/D612)*Q76</f>
        <v>0</v>
      </c>
      <c r="E682" s="180">
        <f>(E623/E612)*SUM(C682:D682)</f>
        <v>683.67326575702157</v>
      </c>
      <c r="F682" s="180">
        <f>(F624/F612)*Q64</f>
        <v>0</v>
      </c>
      <c r="G682" s="180">
        <f>(G625/G612)*Q77</f>
        <v>0</v>
      </c>
      <c r="H682" s="180">
        <f>(H628/H612)*Q60</f>
        <v>534.23014869720851</v>
      </c>
      <c r="I682" s="180">
        <f>(I629/I612)*Q78</f>
        <v>0</v>
      </c>
      <c r="J682" s="180">
        <f>(J630/J612)*Q79</f>
        <v>0</v>
      </c>
      <c r="K682" s="180">
        <f>(K644/K612)*Q75</f>
        <v>16712.416977548532</v>
      </c>
      <c r="L682" s="180">
        <f>(L647/L612)*Q80</f>
        <v>850.42892328485527</v>
      </c>
      <c r="M682" s="180">
        <f t="shared" si="20"/>
        <v>18781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640407</v>
      </c>
      <c r="D683" s="180">
        <f>(D615/D612)*R76</f>
        <v>0</v>
      </c>
      <c r="E683" s="180">
        <f>(E623/E612)*SUM(C683:D683)</f>
        <v>37588.35380354197</v>
      </c>
      <c r="F683" s="180">
        <f>(F624/F612)*R64</f>
        <v>872.04810401928376</v>
      </c>
      <c r="G683" s="180">
        <f>(G625/G612)*R77</f>
        <v>0</v>
      </c>
      <c r="H683" s="180">
        <f>(H628/H612)*R60</f>
        <v>4867.4302436856779</v>
      </c>
      <c r="I683" s="180">
        <f>(I629/I612)*R78</f>
        <v>0</v>
      </c>
      <c r="J683" s="180">
        <f>(J630/J612)*R79</f>
        <v>0</v>
      </c>
      <c r="K683" s="180">
        <f>(K644/K612)*R75</f>
        <v>80999.772405581694</v>
      </c>
      <c r="L683" s="180">
        <f>(L647/L612)*R80</f>
        <v>12148.984618355074</v>
      </c>
      <c r="M683" s="180">
        <f t="shared" si="20"/>
        <v>136477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206642</v>
      </c>
      <c r="D684" s="180">
        <f>(D615/D612)*S76</f>
        <v>-15072.50113801408</v>
      </c>
      <c r="E684" s="180">
        <f>(E623/E612)*SUM(C684:D684)</f>
        <v>11244.071506388216</v>
      </c>
      <c r="F684" s="180">
        <f>(F624/F612)*S64</f>
        <v>4696.2155749307331</v>
      </c>
      <c r="G684" s="180">
        <f>(G625/G612)*S77</f>
        <v>0</v>
      </c>
      <c r="H684" s="180">
        <f>(H628/H612)*S60</f>
        <v>12287.293420035796</v>
      </c>
      <c r="I684" s="180">
        <f>(I629/I612)*S78</f>
        <v>24450.240740383299</v>
      </c>
      <c r="J684" s="180">
        <f>(J630/J612)*S79</f>
        <v>0</v>
      </c>
      <c r="K684" s="180">
        <f>(K644/K612)*S75</f>
        <v>34781.283188435322</v>
      </c>
      <c r="L684" s="180">
        <f>(L647/L612)*S80</f>
        <v>0</v>
      </c>
      <c r="M684" s="180">
        <f t="shared" si="20"/>
        <v>72387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1472010</v>
      </c>
      <c r="D686" s="180">
        <f>(D615/D612)*U76</f>
        <v>-12577.053929733604</v>
      </c>
      <c r="E686" s="180">
        <f>(E623/E612)*SUM(C686:D686)</f>
        <v>85660.65319310184</v>
      </c>
      <c r="F686" s="180">
        <f>(F624/F612)*U64</f>
        <v>21449.965834214254</v>
      </c>
      <c r="G686" s="180">
        <f>(G625/G612)*U77</f>
        <v>0</v>
      </c>
      <c r="H686" s="180">
        <f>(H628/H612)*U60</f>
        <v>43806.872193171104</v>
      </c>
      <c r="I686" s="180">
        <f>(I629/I612)*U78</f>
        <v>20402.187637670831</v>
      </c>
      <c r="J686" s="180">
        <f>(J630/J612)*U79</f>
        <v>0</v>
      </c>
      <c r="K686" s="180">
        <f>(K644/K612)*U75</f>
        <v>416496.63432036404</v>
      </c>
      <c r="L686" s="180">
        <f>(L647/L612)*U80</f>
        <v>0</v>
      </c>
      <c r="M686" s="180">
        <f t="shared" si="20"/>
        <v>575239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2003</v>
      </c>
      <c r="D687" s="180">
        <f>(D615/D612)*V76</f>
        <v>-2355.70216461677</v>
      </c>
      <c r="E687" s="180">
        <f>(E623/E612)*SUM(C687:D687)</f>
        <v>-20.701669018124807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3821.3621289605685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1445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238416</v>
      </c>
      <c r="D688" s="180">
        <f>(D615/D612)*W76</f>
        <v>0</v>
      </c>
      <c r="E688" s="180">
        <f>(E623/E612)*SUM(C688:D688)</f>
        <v>13993.702380556839</v>
      </c>
      <c r="F688" s="180">
        <f>(F624/F612)*W64</f>
        <v>103.4404886049998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128502.80570276229</v>
      </c>
      <c r="L688" s="180">
        <f>(L647/L612)*W80</f>
        <v>0</v>
      </c>
      <c r="M688" s="180">
        <f t="shared" si="20"/>
        <v>142600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86224</v>
      </c>
      <c r="D689" s="180">
        <f>(D615/D612)*X76</f>
        <v>0</v>
      </c>
      <c r="E689" s="180">
        <f>(E623/E612)*SUM(C689:D689)</f>
        <v>5060.8725675337764</v>
      </c>
      <c r="F689" s="180">
        <f>(F624/F612)*X64</f>
        <v>531.29017665594472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294560.35932438099</v>
      </c>
      <c r="L689" s="180">
        <f>(L647/L612)*X80</f>
        <v>0</v>
      </c>
      <c r="M689" s="180">
        <f t="shared" si="20"/>
        <v>300153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1617304</v>
      </c>
      <c r="D690" s="180">
        <f>(D615/D612)*Y76</f>
        <v>-24864.635983306671</v>
      </c>
      <c r="E690" s="180">
        <f>(E623/E612)*SUM(C690:D690)</f>
        <v>93467.395305402402</v>
      </c>
      <c r="F690" s="180">
        <f>(F624/F612)*Y64</f>
        <v>557.50901424687152</v>
      </c>
      <c r="G690" s="180">
        <f>(G625/G612)*Y77</f>
        <v>0</v>
      </c>
      <c r="H690" s="180">
        <f>(H628/H612)*Y60</f>
        <v>53719.809396774865</v>
      </c>
      <c r="I690" s="180">
        <f>(I629/I612)*Y78</f>
        <v>40334.801115427013</v>
      </c>
      <c r="J690" s="180">
        <f>(J630/J612)*Y79</f>
        <v>0</v>
      </c>
      <c r="K690" s="180">
        <f>(K644/K612)*Y75</f>
        <v>336399.75556574133</v>
      </c>
      <c r="L690" s="180">
        <f>(L647/L612)*Y80</f>
        <v>0</v>
      </c>
      <c r="M690" s="180">
        <f t="shared" si="20"/>
        <v>499615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70744</v>
      </c>
      <c r="D692" s="180">
        <f>(D615/D612)*AA76</f>
        <v>0</v>
      </c>
      <c r="E692" s="180">
        <f>(E623/E612)*SUM(C692:D692)</f>
        <v>4152.2820666822399</v>
      </c>
      <c r="F692" s="180">
        <f>(F624/F612)*AA64</f>
        <v>381.93411177230695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23770.737449185028</v>
      </c>
      <c r="L692" s="180">
        <f>(L647/L612)*AA80</f>
        <v>0</v>
      </c>
      <c r="M692" s="180">
        <f t="shared" si="20"/>
        <v>28305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1568012</v>
      </c>
      <c r="D693" s="180">
        <f>(D615/D612)*AB76</f>
        <v>-3932.8248002500313</v>
      </c>
      <c r="E693" s="180">
        <f>(E623/E612)*SUM(C693:D693)</f>
        <v>91802.808860865523</v>
      </c>
      <c r="F693" s="180">
        <f>(F624/F612)*AB64</f>
        <v>49224.237052239281</v>
      </c>
      <c r="G693" s="180">
        <f>(G625/G612)*AB77</f>
        <v>0</v>
      </c>
      <c r="H693" s="180">
        <f>(H628/H612)*AB60</f>
        <v>12584.087947089803</v>
      </c>
      <c r="I693" s="180">
        <f>(I629/I612)*AB78</f>
        <v>6379.7316898748468</v>
      </c>
      <c r="J693" s="180">
        <f>(J630/J612)*AB79</f>
        <v>0</v>
      </c>
      <c r="K693" s="180">
        <f>(K644/K612)*AB75</f>
        <v>224982.85880028564</v>
      </c>
      <c r="L693" s="180">
        <f>(L647/L612)*AB80</f>
        <v>0</v>
      </c>
      <c r="M693" s="180">
        <f t="shared" si="20"/>
        <v>381041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79979</v>
      </c>
      <c r="D694" s="180">
        <f>(D615/D612)*AC76</f>
        <v>-7506.305202507674</v>
      </c>
      <c r="E694" s="180">
        <f>(E623/E612)*SUM(C694:D694)</f>
        <v>4253.746903366542</v>
      </c>
      <c r="F694" s="180">
        <f>(F624/F612)*AC64</f>
        <v>132.44208839463195</v>
      </c>
      <c r="G694" s="180">
        <f>(G625/G612)*AC77</f>
        <v>0</v>
      </c>
      <c r="H694" s="180">
        <f>(H628/H612)*AC60</f>
        <v>2908.5863651292466</v>
      </c>
      <c r="I694" s="180">
        <f>(I629/I612)*AC78</f>
        <v>12176.543732959099</v>
      </c>
      <c r="J694" s="180">
        <f>(J630/J612)*AC79</f>
        <v>0</v>
      </c>
      <c r="K694" s="180">
        <f>(K644/K612)*AC75</f>
        <v>7091.9914424625213</v>
      </c>
      <c r="L694" s="180">
        <f>(L647/L612)*AC80</f>
        <v>5831.5126168104352</v>
      </c>
      <c r="M694" s="180">
        <f t="shared" si="20"/>
        <v>24889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830505</v>
      </c>
      <c r="D696" s="180">
        <f>(D615/D612)*AE76</f>
        <v>-29905.439344033235</v>
      </c>
      <c r="E696" s="180">
        <f>(E623/E612)*SUM(C696:D696)</f>
        <v>46990.772338367227</v>
      </c>
      <c r="F696" s="180">
        <f>(F624/F612)*AE64</f>
        <v>407.89206540710512</v>
      </c>
      <c r="G696" s="180">
        <f>(G625/G612)*AE77</f>
        <v>0</v>
      </c>
      <c r="H696" s="180">
        <f>(H628/H612)*AE60</f>
        <v>36208.932300588582</v>
      </c>
      <c r="I696" s="180">
        <f>(I629/I612)*AE78</f>
        <v>48511.868382906199</v>
      </c>
      <c r="J696" s="180">
        <f>(J630/J612)*AE79</f>
        <v>0</v>
      </c>
      <c r="K696" s="180">
        <f>(K644/K612)*AE75</f>
        <v>237777.62029546269</v>
      </c>
      <c r="L696" s="180">
        <f>(L647/L612)*AE80</f>
        <v>0</v>
      </c>
      <c r="M696" s="180">
        <f t="shared" si="20"/>
        <v>339992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1848250</v>
      </c>
      <c r="D698" s="180">
        <f>(D615/D612)*AG76</f>
        <v>-15741.280989833247</v>
      </c>
      <c r="E698" s="180">
        <f>(E623/E612)*SUM(C698:D698)</f>
        <v>107558.1404922645</v>
      </c>
      <c r="F698" s="180">
        <f>(F624/F612)*AG64</f>
        <v>2174.5547356507986</v>
      </c>
      <c r="G698" s="180">
        <f>(G625/G612)*AG77</f>
        <v>0</v>
      </c>
      <c r="H698" s="180">
        <f>(H628/H612)*AG60</f>
        <v>36446.367922231788</v>
      </c>
      <c r="I698" s="180">
        <f>(I629/I612)*AG78</f>
        <v>25535.118971910237</v>
      </c>
      <c r="J698" s="180">
        <f>(J630/J612)*AG79</f>
        <v>0</v>
      </c>
      <c r="K698" s="180">
        <f>(K644/K612)*AG75</f>
        <v>334376.93915207207</v>
      </c>
      <c r="L698" s="180">
        <f>(L647/L612)*AG80</f>
        <v>42764.425856609858</v>
      </c>
      <c r="M698" s="180">
        <f t="shared" si="20"/>
        <v>533114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484988</v>
      </c>
      <c r="D699" s="180">
        <f>(D615/D612)*AH76</f>
        <v>-16469.951574651146</v>
      </c>
      <c r="E699" s="180">
        <f>(E623/E612)*SUM(C699:D699)</f>
        <v>27499.421723305684</v>
      </c>
      <c r="F699" s="180">
        <f>(F624/F612)*AH64</f>
        <v>1899.3221619350993</v>
      </c>
      <c r="G699" s="180">
        <f>(G625/G612)*AH77</f>
        <v>0</v>
      </c>
      <c r="H699" s="180">
        <f>(H628/H612)*AH60</f>
        <v>28848.428029649265</v>
      </c>
      <c r="I699" s="180">
        <f>(I629/I612)*AH78</f>
        <v>26717.15047790228</v>
      </c>
      <c r="J699" s="180">
        <f>(J630/J612)*AH79</f>
        <v>0</v>
      </c>
      <c r="K699" s="180">
        <f>(K644/K612)*AH75</f>
        <v>41954.237067935363</v>
      </c>
      <c r="L699" s="180">
        <f>(L647/L612)*AH80</f>
        <v>0</v>
      </c>
      <c r="M699" s="180">
        <f t="shared" si="20"/>
        <v>110449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56465</v>
      </c>
      <c r="D700" s="180">
        <f>(D615/D612)*AI76</f>
        <v>0</v>
      </c>
      <c r="E700" s="180">
        <f>(E623/E612)*SUM(C700:D700)</f>
        <v>3314.1836324665369</v>
      </c>
      <c r="F700" s="180">
        <f>(F624/F612)*AI64</f>
        <v>0</v>
      </c>
      <c r="G700" s="180">
        <f>(G625/G612)*AI77</f>
        <v>0</v>
      </c>
      <c r="H700" s="180">
        <f>(H628/H612)*AI60</f>
        <v>3383.4576084156542</v>
      </c>
      <c r="I700" s="180">
        <f>(I629/I612)*AI78</f>
        <v>0</v>
      </c>
      <c r="J700" s="180">
        <f>(J630/J612)*AI79</f>
        <v>0</v>
      </c>
      <c r="K700" s="180">
        <f>(K644/K612)*AI75</f>
        <v>79539.475537375489</v>
      </c>
      <c r="L700" s="180">
        <f>(L647/L612)*AI80</f>
        <v>4495.1243087913781</v>
      </c>
      <c r="M700" s="180">
        <f t="shared" si="20"/>
        <v>90732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4665767</v>
      </c>
      <c r="D701" s="180">
        <f>(D615/D612)*AJ76</f>
        <v>-120639.89983711137</v>
      </c>
      <c r="E701" s="180">
        <f>(E623/E612)*SUM(C701:D701)</f>
        <v>266773.8571299024</v>
      </c>
      <c r="F701" s="180">
        <f>(F624/F612)*AJ64</f>
        <v>7131.6107860508018</v>
      </c>
      <c r="G701" s="180">
        <f>(G625/G612)*AJ77</f>
        <v>0</v>
      </c>
      <c r="H701" s="180">
        <f>(H628/H612)*AJ60</f>
        <v>182291.19851656971</v>
      </c>
      <c r="I701" s="180">
        <f>(I629/I612)*AJ78</f>
        <v>195699.07919753148</v>
      </c>
      <c r="J701" s="180">
        <f>(J630/J612)*AJ79</f>
        <v>0</v>
      </c>
      <c r="K701" s="180">
        <f>(K644/K612)*AJ75</f>
        <v>320424.15899084765</v>
      </c>
      <c r="L701" s="180">
        <f>(L647/L612)*AJ80</f>
        <v>101565.51140944842</v>
      </c>
      <c r="M701" s="180">
        <f t="shared" si="20"/>
        <v>953246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1433114.46</v>
      </c>
      <c r="D712" s="180">
        <f>(D615/D612)*AU76</f>
        <v>-19065.216671262842</v>
      </c>
      <c r="E712" s="180">
        <f>(E623/E612)*SUM(C712:D712)</f>
        <v>82996.880505477588</v>
      </c>
      <c r="F712" s="180">
        <f>(F624/F612)*AU64</f>
        <v>793.08722663101992</v>
      </c>
      <c r="G712" s="180">
        <f>(G625/G612)*AU77</f>
        <v>0</v>
      </c>
      <c r="H712" s="180">
        <f>(H628/H612)*AU60</f>
        <v>106371.15849615532</v>
      </c>
      <c r="I712" s="180">
        <f>(I629/I612)*AU78</f>
        <v>30927.125704723243</v>
      </c>
      <c r="J712" s="180">
        <f>(J630/J612)*AU79</f>
        <v>0</v>
      </c>
      <c r="K712" s="180">
        <f>(K644/K612)*AU75</f>
        <v>19228.751645337208</v>
      </c>
      <c r="L712" s="180">
        <f>(L647/L612)*AU80</f>
        <v>0</v>
      </c>
      <c r="M712" s="180">
        <f t="shared" si="20"/>
        <v>221252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334988</v>
      </c>
      <c r="D713" s="180">
        <f>(D615/D612)*AV76</f>
        <v>-9003.5735274759609</v>
      </c>
      <c r="E713" s="180">
        <f>(E623/E612)*SUM(C713:D713)</f>
        <v>19133.485356490401</v>
      </c>
      <c r="F713" s="180">
        <f>(F624/F612)*AV64</f>
        <v>420.93626321353639</v>
      </c>
      <c r="G713" s="180">
        <f>(G625/G612)*AV77</f>
        <v>0</v>
      </c>
      <c r="H713" s="180">
        <f>(H628/H612)*AV60</f>
        <v>13415.112622841014</v>
      </c>
      <c r="I713" s="180">
        <f>(I629/I612)*AV78</f>
        <v>14605.37559458658</v>
      </c>
      <c r="J713" s="180">
        <f>(J630/J612)*AV79</f>
        <v>0</v>
      </c>
      <c r="K713" s="180">
        <f>(K644/K612)*AV75</f>
        <v>73703.542671907519</v>
      </c>
      <c r="L713" s="180">
        <f>(L647/L612)*AV80</f>
        <v>0</v>
      </c>
      <c r="M713" s="180">
        <f t="shared" si="20"/>
        <v>112275</v>
      </c>
      <c r="N713" s="199" t="s">
        <v>741</v>
      </c>
    </row>
    <row r="715" spans="1:15" ht="12.6" customHeight="1" x14ac:dyDescent="0.25">
      <c r="C715" s="180">
        <f>SUM(C614:C647)+SUM(C668:C713)</f>
        <v>27658962.020000003</v>
      </c>
      <c r="D715" s="180">
        <f>SUM(D616:D647)+SUM(D668:D713)</f>
        <v>-542939.43999999994</v>
      </c>
      <c r="E715" s="180">
        <f>SUM(E624:E647)+SUM(E668:E713)</f>
        <v>1533424.74165058</v>
      </c>
      <c r="F715" s="180">
        <f>SUM(F625:F648)+SUM(F668:F713)</f>
        <v>124351.94647310523</v>
      </c>
      <c r="G715" s="180">
        <f>SUM(G626:G647)+SUM(G668:G713)</f>
        <v>971074.23094117804</v>
      </c>
      <c r="H715" s="180">
        <f>SUM(H629:H647)+SUM(H668:H713)</f>
        <v>1091966.4239370944</v>
      </c>
      <c r="I715" s="180">
        <f>SUM(I630:I647)+SUM(I668:I713)</f>
        <v>733458.64557426632</v>
      </c>
      <c r="J715" s="180">
        <f>SUM(J631:J647)+SUM(J668:J713)</f>
        <v>257061.76815023838</v>
      </c>
      <c r="K715" s="180">
        <f>SUM(K668:K713)</f>
        <v>3205806.0801094039</v>
      </c>
      <c r="L715" s="180">
        <f>SUM(L668:L713)</f>
        <v>408934.82225383178</v>
      </c>
      <c r="M715" s="180">
        <f>SUM(M668:M713)</f>
        <v>6498891</v>
      </c>
      <c r="N715" s="198" t="s">
        <v>742</v>
      </c>
    </row>
    <row r="716" spans="1:15" ht="12.6" customHeight="1" x14ac:dyDescent="0.25">
      <c r="C716" s="180">
        <f>CE71</f>
        <v>27658962.02</v>
      </c>
      <c r="D716" s="180">
        <f>D615</f>
        <v>-542939.43999999994</v>
      </c>
      <c r="E716" s="180">
        <f>E623</f>
        <v>1533424.74165058</v>
      </c>
      <c r="F716" s="180">
        <f>F624</f>
        <v>124351.94647310521</v>
      </c>
      <c r="G716" s="180">
        <f>G625</f>
        <v>971074.23094117804</v>
      </c>
      <c r="H716" s="180">
        <f>H628</f>
        <v>1091966.4239370942</v>
      </c>
      <c r="I716" s="180">
        <f>I629</f>
        <v>733458.64557426632</v>
      </c>
      <c r="J716" s="180">
        <f>J630</f>
        <v>257061.76815023838</v>
      </c>
      <c r="K716" s="180">
        <f>K644</f>
        <v>3205806.080109403</v>
      </c>
      <c r="L716" s="180">
        <f>L647</f>
        <v>408934.82225383178</v>
      </c>
      <c r="M716" s="180">
        <f>C648</f>
        <v>6498887.5600000005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0">
    <pageSetUpPr autoPageBreaks="0" fitToPage="1"/>
  </sheetPr>
  <dimension ref="A1:CF817"/>
  <sheetViews>
    <sheetView showGridLines="0" zoomScale="75" workbookViewId="0">
      <selection activeCell="I37" sqref="I37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f>4260869.73</f>
        <v>4260869.7300000004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274719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306959</v>
      </c>
      <c r="L48" s="195">
        <f>ROUND(((B48/CE61)*L61),0)</f>
        <v>255269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7541</v>
      </c>
      <c r="P48" s="195">
        <f>ROUND(((B48/CE61)*P61),0)</f>
        <v>84567</v>
      </c>
      <c r="Q48" s="195">
        <f>ROUND(((B48/CE61)*Q61),0)</f>
        <v>3045</v>
      </c>
      <c r="R48" s="195">
        <f>ROUND(((B48/CE61)*R61),0)</f>
        <v>123266</v>
      </c>
      <c r="S48" s="195">
        <f>ROUND(((B48/CE61)*S61),0)</f>
        <v>19283</v>
      </c>
      <c r="T48" s="195">
        <f>ROUND(((B48/CE61)*T61),0)</f>
        <v>0</v>
      </c>
      <c r="U48" s="195">
        <f>ROUND(((B48/CE61)*U61),0)</f>
        <v>173037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290906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76297</v>
      </c>
      <c r="AC48" s="195">
        <f>ROUND(((B48/CE61)*AC61),0)</f>
        <v>25513</v>
      </c>
      <c r="AD48" s="195">
        <f>ROUND(((B48/CE61)*AD61),0)</f>
        <v>0</v>
      </c>
      <c r="AE48" s="195">
        <f>ROUND(((B48/CE61)*AE61),0)</f>
        <v>126772</v>
      </c>
      <c r="AF48" s="195">
        <f>ROUND(((B48/CE61)*AF61),0)</f>
        <v>0</v>
      </c>
      <c r="AG48" s="195">
        <f>ROUND(((B48/CE61)*AG61),0)</f>
        <v>222971</v>
      </c>
      <c r="AH48" s="195">
        <f>ROUND(((B48/CE61)*AH61),0)</f>
        <v>62566</v>
      </c>
      <c r="AI48" s="195">
        <f>ROUND(((B48/CE61)*AI61),0)</f>
        <v>13495</v>
      </c>
      <c r="AJ48" s="195">
        <f>ROUND(((B48/CE61)*AJ61),0)</f>
        <v>720232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332484</v>
      </c>
      <c r="AV48" s="195">
        <f>ROUND(((B48/CE61)*AV61),0)</f>
        <v>51730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128674</v>
      </c>
      <c r="AZ48" s="195">
        <f>ROUND(((B48/CE61)*AZ61),0)</f>
        <v>0</v>
      </c>
      <c r="BA48" s="195">
        <f>ROUND(((B48/CE61)*BA61),0)</f>
        <v>5505</v>
      </c>
      <c r="BB48" s="195">
        <f>ROUND(((B48/CE61)*BB61),0)</f>
        <v>40063</v>
      </c>
      <c r="BC48" s="195">
        <f>ROUND(((B48/CE61)*BC61),0)</f>
        <v>0</v>
      </c>
      <c r="BD48" s="195">
        <f>ROUND(((B48/CE61)*BD61),0)</f>
        <v>30080</v>
      </c>
      <c r="BE48" s="195">
        <f>ROUND(((B48/CE61)*BE61),0)</f>
        <v>88842</v>
      </c>
      <c r="BF48" s="195">
        <f>ROUND(((B48/CE61)*BF61),0)</f>
        <v>120191</v>
      </c>
      <c r="BG48" s="195">
        <f>ROUND(((B48/CE61)*BG61),0)</f>
        <v>0</v>
      </c>
      <c r="BH48" s="195">
        <f>ROUND(((B48/CE61)*BH61),0)</f>
        <v>61236</v>
      </c>
      <c r="BI48" s="195">
        <f>ROUND(((B48/CE61)*BI61),0)</f>
        <v>0</v>
      </c>
      <c r="BJ48" s="195">
        <f>ROUND(((B48/CE61)*BJ61),0)</f>
        <v>54241</v>
      </c>
      <c r="BK48" s="195">
        <f>ROUND(((B48/CE61)*BK61),0)</f>
        <v>161866</v>
      </c>
      <c r="BL48" s="195">
        <f>ROUND(((B48/CE61)*BL61),0)</f>
        <v>60698</v>
      </c>
      <c r="BM48" s="195">
        <f>ROUND(((B48/CE61)*BM61),0)</f>
        <v>0</v>
      </c>
      <c r="BN48" s="195">
        <f>ROUND(((B48/CE61)*BN61),0)</f>
        <v>139319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35610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46511</v>
      </c>
      <c r="BW48" s="195">
        <f>ROUND(((B48/CE61)*BW61),0)</f>
        <v>0</v>
      </c>
      <c r="BX48" s="195">
        <f>ROUND(((B48/CE61)*BX61),0)</f>
        <v>43974</v>
      </c>
      <c r="BY48" s="195">
        <f>ROUND(((B48/CE61)*BY61),0)</f>
        <v>55460</v>
      </c>
      <c r="BZ48" s="195">
        <f>ROUND(((B48/CE61)*BZ61),0)</f>
        <v>0</v>
      </c>
      <c r="CA48" s="195">
        <f>ROUND(((B48/CE61)*CA61),0)</f>
        <v>17949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4260871</v>
      </c>
    </row>
    <row r="49" spans="1:84" ht="12.6" customHeight="1" x14ac:dyDescent="0.25">
      <c r="A49" s="175" t="s">
        <v>206</v>
      </c>
      <c r="B49" s="195">
        <f>B47+B48</f>
        <v>4260869.7300000004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f>1317150.17-11113.37-509199.33</f>
        <v>796837.46999999974</v>
      </c>
      <c r="C51" s="184"/>
      <c r="D51" s="184"/>
      <c r="E51" s="184">
        <v>13406</v>
      </c>
      <c r="F51" s="184"/>
      <c r="G51" s="184"/>
      <c r="H51" s="184"/>
      <c r="I51" s="184"/>
      <c r="J51" s="184">
        <v>1178</v>
      </c>
      <c r="K51" s="184">
        <v>5355</v>
      </c>
      <c r="L51" s="184">
        <v>3567</v>
      </c>
      <c r="M51" s="184"/>
      <c r="N51" s="184"/>
      <c r="O51" s="184">
        <v>4784</v>
      </c>
      <c r="P51" s="184">
        <v>30802</v>
      </c>
      <c r="Q51" s="184"/>
      <c r="R51" s="184">
        <v>3701</v>
      </c>
      <c r="S51" s="184"/>
      <c r="T51" s="184"/>
      <c r="U51" s="184">
        <v>1303</v>
      </c>
      <c r="V51" s="184"/>
      <c r="W51" s="184"/>
      <c r="X51" s="184"/>
      <c r="Y51" s="184">
        <v>94392</v>
      </c>
      <c r="Z51" s="184"/>
      <c r="AA51" s="184"/>
      <c r="AB51" s="184">
        <v>12457</v>
      </c>
      <c r="AC51" s="184">
        <v>5961</v>
      </c>
      <c r="AD51" s="184"/>
      <c r="AE51" s="184">
        <v>1162</v>
      </c>
      <c r="AF51" s="184"/>
      <c r="AG51" s="184">
        <v>20736</v>
      </c>
      <c r="AH51" s="184">
        <v>21672</v>
      </c>
      <c r="AI51" s="184"/>
      <c r="AJ51" s="184">
        <f>104447+4980</f>
        <v>109427</v>
      </c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>
        <f>241+4101+0</f>
        <v>4342</v>
      </c>
      <c r="AV51" s="184">
        <f>2401+19566</f>
        <v>21967</v>
      </c>
      <c r="AW51" s="184"/>
      <c r="AX51" s="184"/>
      <c r="AY51" s="184">
        <v>367</v>
      </c>
      <c r="AZ51" s="184"/>
      <c r="BA51" s="184"/>
      <c r="BB51" s="184"/>
      <c r="BC51" s="184"/>
      <c r="BD51" s="184"/>
      <c r="BE51" s="184">
        <v>6530</v>
      </c>
      <c r="BF51" s="184">
        <v>1144</v>
      </c>
      <c r="BG51" s="184"/>
      <c r="BH51" s="184">
        <v>418494</v>
      </c>
      <c r="BI51" s="184"/>
      <c r="BJ51" s="184"/>
      <c r="BK51" s="184">
        <v>493</v>
      </c>
      <c r="BL51" s="184">
        <v>21</v>
      </c>
      <c r="BM51" s="184"/>
      <c r="BN51" s="184">
        <v>7113</v>
      </c>
      <c r="BO51" s="184"/>
      <c r="BP51" s="184"/>
      <c r="BQ51" s="184"/>
      <c r="BR51" s="184">
        <v>5273</v>
      </c>
      <c r="BS51" s="184"/>
      <c r="BT51" s="184"/>
      <c r="BU51" s="184"/>
      <c r="BV51" s="184">
        <v>342</v>
      </c>
      <c r="BW51" s="184"/>
      <c r="BX51" s="184"/>
      <c r="BY51" s="184"/>
      <c r="BZ51" s="184"/>
      <c r="CA51" s="184">
        <v>824</v>
      </c>
      <c r="CB51" s="184">
        <v>24</v>
      </c>
      <c r="CC51" s="184"/>
      <c r="CD51" s="195"/>
      <c r="CE51" s="195">
        <f>SUM(C51:CD51)</f>
        <v>796837</v>
      </c>
    </row>
    <row r="52" spans="1:84" ht="12.6" customHeight="1" x14ac:dyDescent="0.25">
      <c r="A52" s="171" t="s">
        <v>208</v>
      </c>
      <c r="B52" s="184">
        <v>509199.03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24020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1514</v>
      </c>
      <c r="K52" s="195">
        <f>ROUND((B52/(CE76+CF76)*K76),0)</f>
        <v>21916</v>
      </c>
      <c r="L52" s="195">
        <f>ROUND((B52/(CE76+CF76)*L76),0)</f>
        <v>15741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4769</v>
      </c>
      <c r="P52" s="195">
        <f>ROUND((B52/(CE76+CF76)*P76),0)</f>
        <v>54595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13692</v>
      </c>
      <c r="T52" s="195">
        <f>ROUND((B52/(CE76+CF76)*T76),0)</f>
        <v>0</v>
      </c>
      <c r="U52" s="195">
        <f>ROUND((B52/(CE76+CF76)*U76),0)</f>
        <v>11425</v>
      </c>
      <c r="V52" s="195">
        <f>ROUND((B52/(CE76+CF76)*V76),0)</f>
        <v>2140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22587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3573</v>
      </c>
      <c r="AC52" s="195">
        <f>ROUND((B52/(CE76+CF76)*AC76),0)</f>
        <v>6819</v>
      </c>
      <c r="AD52" s="195">
        <f>ROUND((B52/(CE76+CF76)*AD76),0)</f>
        <v>0</v>
      </c>
      <c r="AE52" s="195">
        <f>ROUND((B52/(CE76+CF76)*AE76),0)</f>
        <v>27166</v>
      </c>
      <c r="AF52" s="195">
        <f>ROUND((B52/(CE76+CF76)*AF76),0)</f>
        <v>0</v>
      </c>
      <c r="AG52" s="195">
        <f>ROUND((B52/(CE76+CF76)*AG76),0)</f>
        <v>14299</v>
      </c>
      <c r="AH52" s="195">
        <f>ROUND((B52/(CE76+CF76)*AH76),0)</f>
        <v>14961</v>
      </c>
      <c r="AI52" s="195">
        <f>ROUND((B52/(CE76+CF76)*AI76),0)</f>
        <v>0</v>
      </c>
      <c r="AJ52" s="195">
        <f>ROUND((B52/(CE76+CF76)*AJ76),0)</f>
        <v>109589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17319</v>
      </c>
      <c r="AV52" s="195">
        <f>ROUND((B52/(CE76+CF76)*AV76),0)</f>
        <v>8179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9557</v>
      </c>
      <c r="AZ52" s="195">
        <f>ROUND((B52/(CE76+CF76)*AZ76),0)</f>
        <v>6674</v>
      </c>
      <c r="BA52" s="195">
        <f>ROUND((B52/(CE76+CF76)*BA76),0)</f>
        <v>6773</v>
      </c>
      <c r="BB52" s="195">
        <f>ROUND((B52/(CE76+CF76)*BB76),0)</f>
        <v>907</v>
      </c>
      <c r="BC52" s="195">
        <f>ROUND((B52/(CE76+CF76)*BC76),0)</f>
        <v>0</v>
      </c>
      <c r="BD52" s="195">
        <f>ROUND((B52/(CE76+CF76)*BD76),0)</f>
        <v>907</v>
      </c>
      <c r="BE52" s="195">
        <f>ROUND((B52/(CE76+CF76)*BE76),0)</f>
        <v>15995</v>
      </c>
      <c r="BF52" s="195">
        <f>ROUND((B52/(CE76+CF76)*BF76),0)</f>
        <v>1043</v>
      </c>
      <c r="BG52" s="195">
        <f>ROUND((B52/(CE76+CF76)*BG76),0)</f>
        <v>0</v>
      </c>
      <c r="BH52" s="195">
        <f>ROUND((B52/(CE76+CF76)*BH76),0)</f>
        <v>3228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16720</v>
      </c>
      <c r="BL52" s="195">
        <f>ROUND((B52/(CE76+CF76)*BL76),0)</f>
        <v>1342</v>
      </c>
      <c r="BM52" s="195">
        <f>ROUND((B52/(CE76+CF76)*BM76),0)</f>
        <v>0</v>
      </c>
      <c r="BN52" s="195">
        <f>ROUND((B52/(CE76+CF76)*BN76),0)</f>
        <v>60616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3681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5549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1904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509200</v>
      </c>
    </row>
    <row r="53" spans="1:84" ht="12.6" customHeight="1" x14ac:dyDescent="0.25">
      <c r="A53" s="175" t="s">
        <v>206</v>
      </c>
      <c r="B53" s="195">
        <f>B51+B52</f>
        <v>1306036.4999999998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796</v>
      </c>
      <c r="F59" s="184"/>
      <c r="G59" s="184"/>
      <c r="H59" s="184"/>
      <c r="I59" s="184"/>
      <c r="J59" s="184">
        <v>84</v>
      </c>
      <c r="K59" s="184">
        <v>4292</v>
      </c>
      <c r="L59" s="184">
        <f>964+2836</f>
        <v>3800</v>
      </c>
      <c r="M59" s="184"/>
      <c r="N59" s="184"/>
      <c r="O59" s="184">
        <v>84</v>
      </c>
      <c r="P59" s="185">
        <v>14341</v>
      </c>
      <c r="Q59" s="185">
        <v>11084</v>
      </c>
      <c r="R59" s="185">
        <v>20788</v>
      </c>
      <c r="S59" s="248"/>
      <c r="T59" s="248"/>
      <c r="U59" s="224">
        <v>53118</v>
      </c>
      <c r="V59" s="185"/>
      <c r="W59" s="185">
        <v>7298.43</v>
      </c>
      <c r="X59" s="185">
        <v>10186.27</v>
      </c>
      <c r="Y59" s="185">
        <f>3605.19+2393.13+91.52+11.7+1420.66</f>
        <v>7522.2</v>
      </c>
      <c r="Z59" s="185"/>
      <c r="AA59" s="185">
        <v>366.81</v>
      </c>
      <c r="AB59" s="248"/>
      <c r="AC59" s="185">
        <v>1263</v>
      </c>
      <c r="AD59" s="185"/>
      <c r="AE59" s="185">
        <v>734522</v>
      </c>
      <c r="AF59" s="185"/>
      <c r="AG59" s="185">
        <v>4759</v>
      </c>
      <c r="AH59" s="185">
        <v>733</v>
      </c>
      <c r="AI59" s="185">
        <v>232</v>
      </c>
      <c r="AJ59" s="185">
        <f>16657+2813</f>
        <v>19470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>
        <f>10867+1852+12719</f>
        <v>25438</v>
      </c>
      <c r="AV59" s="248"/>
      <c r="AW59" s="248"/>
      <c r="AX59" s="248"/>
      <c r="AY59" s="185">
        <v>145630</v>
      </c>
      <c r="AZ59" s="185"/>
      <c r="BA59" s="248"/>
      <c r="BB59" s="248"/>
      <c r="BC59" s="248"/>
      <c r="BD59" s="248"/>
      <c r="BE59" s="185">
        <v>56157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/>
      <c r="D60" s="187"/>
      <c r="E60" s="187">
        <v>11.05</v>
      </c>
      <c r="F60" s="223"/>
      <c r="G60" s="187"/>
      <c r="H60" s="187"/>
      <c r="I60" s="187"/>
      <c r="J60" s="223"/>
      <c r="K60" s="187">
        <v>17.63</v>
      </c>
      <c r="L60" s="187">
        <v>14.68</v>
      </c>
      <c r="M60" s="187"/>
      <c r="N60" s="187"/>
      <c r="O60" s="187">
        <v>0.28000000000000003</v>
      </c>
      <c r="P60" s="221">
        <v>3.57</v>
      </c>
      <c r="Q60" s="221">
        <v>0.12</v>
      </c>
      <c r="R60" s="221">
        <v>1.02</v>
      </c>
      <c r="S60" s="221">
        <v>2.0099999999999998</v>
      </c>
      <c r="T60" s="221"/>
      <c r="U60" s="221">
        <v>7.19</v>
      </c>
      <c r="V60" s="221"/>
      <c r="W60" s="221"/>
      <c r="X60" s="221"/>
      <c r="Y60" s="221">
        <v>8.82</v>
      </c>
      <c r="Z60" s="221"/>
      <c r="AA60" s="221"/>
      <c r="AB60" s="221">
        <v>2.68</v>
      </c>
      <c r="AC60" s="221">
        <v>1.06</v>
      </c>
      <c r="AD60" s="221"/>
      <c r="AE60" s="221">
        <v>6.63</v>
      </c>
      <c r="AF60" s="221"/>
      <c r="AG60" s="221">
        <v>5.93</v>
      </c>
      <c r="AH60" s="221">
        <v>5.34</v>
      </c>
      <c r="AI60" s="221">
        <v>0.66</v>
      </c>
      <c r="AJ60" s="221">
        <f>25.23+4.57</f>
        <v>29.8</v>
      </c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>
        <f>16.47+1.7+2.96</f>
        <v>21.13</v>
      </c>
      <c r="AV60" s="221">
        <f>1.54+0.78+0.14</f>
        <v>2.4600000000000004</v>
      </c>
      <c r="AW60" s="221"/>
      <c r="AX60" s="221"/>
      <c r="AY60" s="221">
        <v>11.64</v>
      </c>
      <c r="AZ60" s="221"/>
      <c r="BA60" s="221">
        <f>0.7+0</f>
        <v>0.7</v>
      </c>
      <c r="BB60" s="221">
        <v>1.67</v>
      </c>
      <c r="BC60" s="221"/>
      <c r="BD60" s="221">
        <v>1.92</v>
      </c>
      <c r="BE60" s="221">
        <v>5.0599999999999996</v>
      </c>
      <c r="BF60" s="221">
        <v>12.58</v>
      </c>
      <c r="BG60" s="221"/>
      <c r="BH60" s="221">
        <v>2.87</v>
      </c>
      <c r="BI60" s="221"/>
      <c r="BJ60" s="221">
        <v>3.5</v>
      </c>
      <c r="BK60" s="221">
        <v>12.46</v>
      </c>
      <c r="BL60" s="221">
        <v>5.13</v>
      </c>
      <c r="BM60" s="221"/>
      <c r="BN60" s="221">
        <f>4.04+0.03</f>
        <v>4.07</v>
      </c>
      <c r="BO60" s="221"/>
      <c r="BP60" s="221"/>
      <c r="BQ60" s="221"/>
      <c r="BR60" s="221">
        <v>2.04</v>
      </c>
      <c r="BS60" s="221"/>
      <c r="BT60" s="221"/>
      <c r="BU60" s="221"/>
      <c r="BV60" s="221">
        <v>3.38</v>
      </c>
      <c r="BW60" s="221"/>
      <c r="BX60" s="221">
        <v>1.27</v>
      </c>
      <c r="BY60" s="221">
        <v>2.25</v>
      </c>
      <c r="BZ60" s="221"/>
      <c r="CA60" s="221">
        <v>0.84</v>
      </c>
      <c r="CB60" s="221"/>
      <c r="CC60" s="221"/>
      <c r="CD60" s="249" t="s">
        <v>221</v>
      </c>
      <c r="CE60" s="251">
        <f t="shared" ref="CE60:CE70" si="0">SUM(C60:CD60)</f>
        <v>213.44000000000003</v>
      </c>
    </row>
    <row r="61" spans="1:84" ht="12.6" customHeight="1" x14ac:dyDescent="0.25">
      <c r="A61" s="171" t="s">
        <v>235</v>
      </c>
      <c r="B61" s="175"/>
      <c r="C61" s="184"/>
      <c r="D61" s="184"/>
      <c r="E61" s="184">
        <v>871979</v>
      </c>
      <c r="F61" s="185"/>
      <c r="G61" s="184"/>
      <c r="H61" s="184"/>
      <c r="I61" s="185"/>
      <c r="J61" s="185"/>
      <c r="K61" s="185">
        <v>974311</v>
      </c>
      <c r="L61" s="185">
        <v>810244</v>
      </c>
      <c r="M61" s="184"/>
      <c r="N61" s="184"/>
      <c r="O61" s="184">
        <v>23936</v>
      </c>
      <c r="P61" s="185">
        <v>268421</v>
      </c>
      <c r="Q61" s="185">
        <v>9664</v>
      </c>
      <c r="R61" s="185">
        <v>391257</v>
      </c>
      <c r="S61" s="185">
        <v>61205</v>
      </c>
      <c r="T61" s="185"/>
      <c r="U61" s="185">
        <v>549233</v>
      </c>
      <c r="V61" s="185"/>
      <c r="W61" s="185"/>
      <c r="X61" s="185"/>
      <c r="Y61" s="185">
        <v>923358</v>
      </c>
      <c r="Z61" s="185"/>
      <c r="AA61" s="185"/>
      <c r="AB61" s="185">
        <v>242174</v>
      </c>
      <c r="AC61" s="185">
        <v>80980</v>
      </c>
      <c r="AD61" s="185"/>
      <c r="AE61" s="185">
        <v>402383</v>
      </c>
      <c r="AF61" s="185"/>
      <c r="AG61" s="185">
        <v>707729</v>
      </c>
      <c r="AH61" s="185">
        <v>198589</v>
      </c>
      <c r="AI61" s="185">
        <v>42834</v>
      </c>
      <c r="AJ61" s="185">
        <f>1982872+303200</f>
        <v>2286072</v>
      </c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>
        <f>837072+79302+138956</f>
        <v>1055330</v>
      </c>
      <c r="AV61" s="185">
        <f>84116+48753+31327</f>
        <v>164196</v>
      </c>
      <c r="AW61" s="185"/>
      <c r="AX61" s="185"/>
      <c r="AY61" s="185">
        <v>408422</v>
      </c>
      <c r="AZ61" s="185"/>
      <c r="BA61" s="185">
        <v>17472</v>
      </c>
      <c r="BB61" s="185">
        <v>127164</v>
      </c>
      <c r="BC61" s="185"/>
      <c r="BD61" s="185">
        <v>95477</v>
      </c>
      <c r="BE61" s="185">
        <v>281992</v>
      </c>
      <c r="BF61" s="185">
        <v>381495</v>
      </c>
      <c r="BG61" s="185"/>
      <c r="BH61" s="185">
        <v>194368</v>
      </c>
      <c r="BI61" s="185"/>
      <c r="BJ61" s="185">
        <v>172166</v>
      </c>
      <c r="BK61" s="185">
        <v>513777</v>
      </c>
      <c r="BL61" s="185">
        <v>192660</v>
      </c>
      <c r="BM61" s="185"/>
      <c r="BN61" s="185">
        <f>435728+6480</f>
        <v>442208</v>
      </c>
      <c r="BO61" s="185"/>
      <c r="BP61" s="185"/>
      <c r="BQ61" s="185"/>
      <c r="BR61" s="185">
        <v>113028</v>
      </c>
      <c r="BS61" s="185"/>
      <c r="BT61" s="185"/>
      <c r="BU61" s="185"/>
      <c r="BV61" s="185">
        <v>147631</v>
      </c>
      <c r="BW61" s="185"/>
      <c r="BX61" s="185">
        <v>139578</v>
      </c>
      <c r="BY61" s="185">
        <v>176034</v>
      </c>
      <c r="BZ61" s="185"/>
      <c r="CA61" s="185">
        <v>56970</v>
      </c>
      <c r="CB61" s="185"/>
      <c r="CC61" s="185"/>
      <c r="CD61" s="249" t="s">
        <v>221</v>
      </c>
      <c r="CE61" s="195">
        <f t="shared" si="0"/>
        <v>13524337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274719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306959</v>
      </c>
      <c r="L62" s="195">
        <f t="shared" si="1"/>
        <v>255269</v>
      </c>
      <c r="M62" s="195">
        <f t="shared" si="1"/>
        <v>0</v>
      </c>
      <c r="N62" s="195">
        <f t="shared" si="1"/>
        <v>0</v>
      </c>
      <c r="O62" s="195">
        <f t="shared" si="1"/>
        <v>7541</v>
      </c>
      <c r="P62" s="195">
        <f t="shared" si="1"/>
        <v>84567</v>
      </c>
      <c r="Q62" s="195">
        <f t="shared" si="1"/>
        <v>3045</v>
      </c>
      <c r="R62" s="195">
        <f t="shared" si="1"/>
        <v>123266</v>
      </c>
      <c r="S62" s="195">
        <f t="shared" si="1"/>
        <v>19283</v>
      </c>
      <c r="T62" s="195">
        <f t="shared" si="1"/>
        <v>0</v>
      </c>
      <c r="U62" s="195">
        <f t="shared" si="1"/>
        <v>173037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290906</v>
      </c>
      <c r="Z62" s="195">
        <f t="shared" si="1"/>
        <v>0</v>
      </c>
      <c r="AA62" s="195">
        <f t="shared" si="1"/>
        <v>0</v>
      </c>
      <c r="AB62" s="195">
        <f t="shared" si="1"/>
        <v>76297</v>
      </c>
      <c r="AC62" s="195">
        <f t="shared" si="1"/>
        <v>25513</v>
      </c>
      <c r="AD62" s="195">
        <f t="shared" si="1"/>
        <v>0</v>
      </c>
      <c r="AE62" s="195">
        <f t="shared" si="1"/>
        <v>126772</v>
      </c>
      <c r="AF62" s="195">
        <f t="shared" si="1"/>
        <v>0</v>
      </c>
      <c r="AG62" s="195">
        <f t="shared" si="1"/>
        <v>222971</v>
      </c>
      <c r="AH62" s="195">
        <f t="shared" si="1"/>
        <v>62566</v>
      </c>
      <c r="AI62" s="195">
        <f t="shared" si="1"/>
        <v>13495</v>
      </c>
      <c r="AJ62" s="195">
        <f t="shared" si="1"/>
        <v>720232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332484</v>
      </c>
      <c r="AV62" s="195">
        <f t="shared" si="1"/>
        <v>51730</v>
      </c>
      <c r="AW62" s="195">
        <f t="shared" si="1"/>
        <v>0</v>
      </c>
      <c r="AX62" s="195">
        <f t="shared" si="1"/>
        <v>0</v>
      </c>
      <c r="AY62" s="195">
        <f>ROUND(AY47+AY48,0)</f>
        <v>128674</v>
      </c>
      <c r="AZ62" s="195">
        <f>ROUND(AZ47+AZ48,0)</f>
        <v>0</v>
      </c>
      <c r="BA62" s="195">
        <f>ROUND(BA47+BA48,0)</f>
        <v>5505</v>
      </c>
      <c r="BB62" s="195">
        <f t="shared" si="1"/>
        <v>40063</v>
      </c>
      <c r="BC62" s="195">
        <f t="shared" si="1"/>
        <v>0</v>
      </c>
      <c r="BD62" s="195">
        <f t="shared" si="1"/>
        <v>30080</v>
      </c>
      <c r="BE62" s="195">
        <f t="shared" si="1"/>
        <v>88842</v>
      </c>
      <c r="BF62" s="195">
        <f t="shared" si="1"/>
        <v>120191</v>
      </c>
      <c r="BG62" s="195">
        <f t="shared" si="1"/>
        <v>0</v>
      </c>
      <c r="BH62" s="195">
        <f t="shared" si="1"/>
        <v>61236</v>
      </c>
      <c r="BI62" s="195">
        <f t="shared" si="1"/>
        <v>0</v>
      </c>
      <c r="BJ62" s="195">
        <f t="shared" si="1"/>
        <v>54241</v>
      </c>
      <c r="BK62" s="195">
        <f t="shared" si="1"/>
        <v>161866</v>
      </c>
      <c r="BL62" s="195">
        <f t="shared" si="1"/>
        <v>60698</v>
      </c>
      <c r="BM62" s="195">
        <f t="shared" si="1"/>
        <v>0</v>
      </c>
      <c r="BN62" s="195">
        <f t="shared" si="1"/>
        <v>139319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35610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46511</v>
      </c>
      <c r="BW62" s="195">
        <f t="shared" si="2"/>
        <v>0</v>
      </c>
      <c r="BX62" s="195">
        <f t="shared" si="2"/>
        <v>43974</v>
      </c>
      <c r="BY62" s="195">
        <f t="shared" si="2"/>
        <v>55460</v>
      </c>
      <c r="BZ62" s="195">
        <f t="shared" si="2"/>
        <v>0</v>
      </c>
      <c r="CA62" s="195">
        <f t="shared" si="2"/>
        <v>17949</v>
      </c>
      <c r="CB62" s="195">
        <f t="shared" si="2"/>
        <v>0</v>
      </c>
      <c r="CC62" s="195">
        <f t="shared" si="2"/>
        <v>0</v>
      </c>
      <c r="CD62" s="249" t="s">
        <v>221</v>
      </c>
      <c r="CE62" s="195">
        <f t="shared" si="0"/>
        <v>4260871</v>
      </c>
      <c r="CF62" s="252"/>
    </row>
    <row r="63" spans="1:84" ht="12.6" customHeight="1" x14ac:dyDescent="0.25">
      <c r="A63" s="171" t="s">
        <v>236</v>
      </c>
      <c r="B63" s="175"/>
      <c r="C63" s="184"/>
      <c r="D63" s="184"/>
      <c r="E63" s="184">
        <v>1200</v>
      </c>
      <c r="F63" s="185"/>
      <c r="G63" s="184"/>
      <c r="H63" s="184"/>
      <c r="I63" s="185"/>
      <c r="J63" s="185"/>
      <c r="K63" s="185">
        <v>54699</v>
      </c>
      <c r="L63" s="185">
        <v>36466</v>
      </c>
      <c r="M63" s="184"/>
      <c r="N63" s="184"/>
      <c r="O63" s="184">
        <v>381</v>
      </c>
      <c r="P63" s="185">
        <v>300</v>
      </c>
      <c r="Q63" s="185"/>
      <c r="R63" s="185"/>
      <c r="S63" s="185"/>
      <c r="T63" s="185"/>
      <c r="U63" s="185">
        <v>94811</v>
      </c>
      <c r="V63" s="185"/>
      <c r="W63" s="185">
        <v>248007</v>
      </c>
      <c r="X63" s="185"/>
      <c r="Y63" s="185">
        <f>14050+900</f>
        <v>14950</v>
      </c>
      <c r="Z63" s="185"/>
      <c r="AA63" s="185">
        <v>53385</v>
      </c>
      <c r="AB63" s="185"/>
      <c r="AC63" s="185"/>
      <c r="AD63" s="185"/>
      <c r="AE63" s="185">
        <v>244641</v>
      </c>
      <c r="AF63" s="185"/>
      <c r="AG63" s="185">
        <v>699806</v>
      </c>
      <c r="AH63" s="185"/>
      <c r="AI63" s="185"/>
      <c r="AJ63" s="185">
        <f>1328205+26250</f>
        <v>1354455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>
        <v>6499</v>
      </c>
      <c r="AV63" s="185">
        <f>24000+53211</f>
        <v>77211</v>
      </c>
      <c r="AW63" s="185"/>
      <c r="AX63" s="185"/>
      <c r="AY63" s="185">
        <v>14272</v>
      </c>
      <c r="AZ63" s="185"/>
      <c r="BA63" s="185"/>
      <c r="BB63" s="185"/>
      <c r="BC63" s="185"/>
      <c r="BD63" s="185"/>
      <c r="BE63" s="185"/>
      <c r="BF63" s="185"/>
      <c r="BG63" s="185"/>
      <c r="BH63" s="185">
        <v>56777</v>
      </c>
      <c r="BI63" s="185"/>
      <c r="BJ63" s="185">
        <v>75982</v>
      </c>
      <c r="BK63" s="185">
        <v>25</v>
      </c>
      <c r="BL63" s="185">
        <v>58</v>
      </c>
      <c r="BM63" s="185"/>
      <c r="BN63" s="185">
        <v>105769</v>
      </c>
      <c r="BO63" s="185"/>
      <c r="BP63" s="185"/>
      <c r="BQ63" s="185"/>
      <c r="BR63" s="185">
        <v>9440</v>
      </c>
      <c r="BS63" s="185"/>
      <c r="BT63" s="185"/>
      <c r="BU63" s="185"/>
      <c r="BV63" s="185">
        <v>56717</v>
      </c>
      <c r="BW63" s="185"/>
      <c r="BX63" s="185">
        <v>333</v>
      </c>
      <c r="BY63" s="185"/>
      <c r="BZ63" s="185"/>
      <c r="CA63" s="185"/>
      <c r="CB63" s="185">
        <v>56</v>
      </c>
      <c r="CC63" s="185"/>
      <c r="CD63" s="249" t="s">
        <v>221</v>
      </c>
      <c r="CE63" s="195">
        <f t="shared" si="0"/>
        <v>3206240</v>
      </c>
      <c r="CF63" s="252"/>
    </row>
    <row r="64" spans="1:84" ht="12.6" customHeight="1" x14ac:dyDescent="0.25">
      <c r="A64" s="171" t="s">
        <v>237</v>
      </c>
      <c r="B64" s="175"/>
      <c r="C64" s="184"/>
      <c r="D64" s="184"/>
      <c r="E64" s="185">
        <v>67166</v>
      </c>
      <c r="F64" s="185"/>
      <c r="G64" s="184"/>
      <c r="H64" s="184"/>
      <c r="I64" s="185"/>
      <c r="J64" s="185">
        <v>1367</v>
      </c>
      <c r="K64" s="185">
        <v>58357</v>
      </c>
      <c r="L64" s="185">
        <v>38979</v>
      </c>
      <c r="M64" s="184"/>
      <c r="N64" s="184"/>
      <c r="O64" s="184">
        <v>5141</v>
      </c>
      <c r="P64" s="185">
        <v>84957</v>
      </c>
      <c r="Q64" s="185"/>
      <c r="R64" s="185">
        <v>25822</v>
      </c>
      <c r="S64" s="185">
        <v>125892</v>
      </c>
      <c r="T64" s="185"/>
      <c r="U64" s="185">
        <f>373752+1826</f>
        <v>375578</v>
      </c>
      <c r="V64" s="185"/>
      <c r="W64" s="185">
        <v>5502</v>
      </c>
      <c r="X64" s="185">
        <v>13277</v>
      </c>
      <c r="Y64" s="185">
        <f>3236+10949+807</f>
        <v>14992</v>
      </c>
      <c r="Z64" s="185"/>
      <c r="AA64" s="185">
        <v>5036</v>
      </c>
      <c r="AB64" s="185">
        <v>987655</v>
      </c>
      <c r="AC64" s="185">
        <v>3170</v>
      </c>
      <c r="AD64" s="185"/>
      <c r="AE64" s="185">
        <v>19969</v>
      </c>
      <c r="AF64" s="185"/>
      <c r="AG64" s="185">
        <v>63054</v>
      </c>
      <c r="AH64" s="185">
        <v>47128</v>
      </c>
      <c r="AI64" s="185"/>
      <c r="AJ64" s="185">
        <f>28059+123869</f>
        <v>151928</v>
      </c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>
        <f>12382+460+8005</f>
        <v>20847</v>
      </c>
      <c r="AV64" s="185">
        <f>6953+3731+700</f>
        <v>11384</v>
      </c>
      <c r="AW64" s="185"/>
      <c r="AX64" s="185"/>
      <c r="AY64" s="185">
        <v>291204</v>
      </c>
      <c r="AZ64" s="185"/>
      <c r="BA64" s="185">
        <v>14770</v>
      </c>
      <c r="BB64" s="185">
        <v>647</v>
      </c>
      <c r="BC64" s="185"/>
      <c r="BD64" s="185">
        <v>2325</v>
      </c>
      <c r="BE64" s="185">
        <v>64627</v>
      </c>
      <c r="BF64" s="185">
        <v>68192</v>
      </c>
      <c r="BG64" s="185"/>
      <c r="BH64" s="185">
        <v>24925</v>
      </c>
      <c r="BI64" s="185"/>
      <c r="BJ64" s="185">
        <v>4786</v>
      </c>
      <c r="BK64" s="185">
        <v>15073</v>
      </c>
      <c r="BL64" s="185">
        <v>5888</v>
      </c>
      <c r="BM64" s="185"/>
      <c r="BN64" s="185">
        <v>49648</v>
      </c>
      <c r="BO64" s="185"/>
      <c r="BP64" s="185"/>
      <c r="BQ64" s="185"/>
      <c r="BR64" s="185">
        <v>2901</v>
      </c>
      <c r="BS64" s="185"/>
      <c r="BT64" s="185"/>
      <c r="BU64" s="185"/>
      <c r="BV64" s="185">
        <v>5616</v>
      </c>
      <c r="BW64" s="185"/>
      <c r="BX64" s="185">
        <v>1587</v>
      </c>
      <c r="BY64" s="185">
        <v>731</v>
      </c>
      <c r="BZ64" s="185"/>
      <c r="CA64" s="185">
        <v>1358</v>
      </c>
      <c r="CB64" s="185"/>
      <c r="CC64" s="185"/>
      <c r="CD64" s="249" t="s">
        <v>221</v>
      </c>
      <c r="CE64" s="195">
        <f t="shared" si="0"/>
        <v>2681479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>
        <v>128</v>
      </c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>
        <v>1226</v>
      </c>
      <c r="Y65" s="185">
        <v>1105</v>
      </c>
      <c r="Z65" s="185"/>
      <c r="AA65" s="185"/>
      <c r="AB65" s="185"/>
      <c r="AC65" s="185"/>
      <c r="AD65" s="185"/>
      <c r="AE65" s="185"/>
      <c r="AF65" s="185"/>
      <c r="AG65" s="185"/>
      <c r="AH65" s="185">
        <v>13120</v>
      </c>
      <c r="AI65" s="185"/>
      <c r="AJ65" s="185">
        <f>29220+12888</f>
        <v>42108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>
        <f>9568+8469</f>
        <v>18037</v>
      </c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296210</v>
      </c>
      <c r="BF65" s="185"/>
      <c r="BG65" s="185"/>
      <c r="BH65" s="185"/>
      <c r="BI65" s="185"/>
      <c r="BJ65" s="185"/>
      <c r="BK65" s="185"/>
      <c r="BL65" s="185"/>
      <c r="BM65" s="185"/>
      <c r="BN65" s="185">
        <v>35831</v>
      </c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9" t="s">
        <v>221</v>
      </c>
      <c r="CE65" s="195">
        <f t="shared" si="0"/>
        <v>407765</v>
      </c>
      <c r="CF65" s="252"/>
    </row>
    <row r="66" spans="1:84" ht="12.6" customHeight="1" x14ac:dyDescent="0.25">
      <c r="A66" s="171" t="s">
        <v>239</v>
      </c>
      <c r="B66" s="175"/>
      <c r="C66" s="184"/>
      <c r="D66" s="184"/>
      <c r="E66" s="184">
        <v>35052</v>
      </c>
      <c r="F66" s="184"/>
      <c r="G66" s="184"/>
      <c r="H66" s="184"/>
      <c r="I66" s="184"/>
      <c r="J66" s="184">
        <v>1140</v>
      </c>
      <c r="K66" s="185">
        <v>23477</v>
      </c>
      <c r="L66" s="185">
        <v>15735</v>
      </c>
      <c r="M66" s="184"/>
      <c r="N66" s="184"/>
      <c r="O66" s="185">
        <v>2789</v>
      </c>
      <c r="P66" s="185">
        <v>9416</v>
      </c>
      <c r="Q66" s="185"/>
      <c r="R66" s="185">
        <v>10749</v>
      </c>
      <c r="S66" s="184">
        <v>751</v>
      </c>
      <c r="T66" s="184"/>
      <c r="U66" s="185">
        <f>29234+47020</f>
        <v>76254</v>
      </c>
      <c r="V66" s="185"/>
      <c r="W66" s="185"/>
      <c r="X66" s="185">
        <v>82294</v>
      </c>
      <c r="Y66" s="185">
        <f>427+103491+30142</f>
        <v>134060</v>
      </c>
      <c r="Z66" s="185"/>
      <c r="AA66" s="185"/>
      <c r="AB66" s="185">
        <v>115204</v>
      </c>
      <c r="AC66" s="185">
        <v>1368</v>
      </c>
      <c r="AD66" s="185"/>
      <c r="AE66" s="185">
        <v>962</v>
      </c>
      <c r="AF66" s="185"/>
      <c r="AG66" s="185">
        <v>4323</v>
      </c>
      <c r="AH66" s="185">
        <v>36631</v>
      </c>
      <c r="AI66" s="185"/>
      <c r="AJ66" s="185">
        <f>8994+51198</f>
        <v>60192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>
        <f>9983+4560+388</f>
        <v>14931</v>
      </c>
      <c r="AV66" s="185">
        <f>6948+305</f>
        <v>7253</v>
      </c>
      <c r="AW66" s="185"/>
      <c r="AX66" s="185"/>
      <c r="AY66" s="185">
        <v>4141</v>
      </c>
      <c r="AZ66" s="185"/>
      <c r="BA66" s="185">
        <v>167590</v>
      </c>
      <c r="BB66" s="185"/>
      <c r="BC66" s="185"/>
      <c r="BD66" s="185">
        <v>-28598</v>
      </c>
      <c r="BE66" s="185">
        <v>202956</v>
      </c>
      <c r="BF66" s="185">
        <v>1232</v>
      </c>
      <c r="BG66" s="185"/>
      <c r="BH66" s="185">
        <v>301141</v>
      </c>
      <c r="BI66" s="185"/>
      <c r="BJ66" s="185">
        <v>4551</v>
      </c>
      <c r="BK66" s="185">
        <v>37936</v>
      </c>
      <c r="BL66" s="185">
        <v>437</v>
      </c>
      <c r="BM66" s="185"/>
      <c r="BN66" s="185">
        <v>75857</v>
      </c>
      <c r="BO66" s="185"/>
      <c r="BP66" s="185"/>
      <c r="BQ66" s="185"/>
      <c r="BR66" s="185">
        <v>82771</v>
      </c>
      <c r="BS66" s="185"/>
      <c r="BT66" s="185"/>
      <c r="BU66" s="185"/>
      <c r="BV66" s="185">
        <v>20162</v>
      </c>
      <c r="BW66" s="185"/>
      <c r="BX66" s="185">
        <v>12071</v>
      </c>
      <c r="BY66" s="185">
        <v>30</v>
      </c>
      <c r="BZ66" s="185"/>
      <c r="CA66" s="185"/>
      <c r="CB66" s="185">
        <v>24</v>
      </c>
      <c r="CC66" s="185">
        <v>12056</v>
      </c>
      <c r="CD66" s="249" t="s">
        <v>221</v>
      </c>
      <c r="CE66" s="195">
        <f t="shared" si="0"/>
        <v>1526938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37426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2692</v>
      </c>
      <c r="K67" s="195">
        <f t="shared" si="3"/>
        <v>27271</v>
      </c>
      <c r="L67" s="195">
        <f t="shared" si="3"/>
        <v>19308</v>
      </c>
      <c r="M67" s="195">
        <f t="shared" si="3"/>
        <v>0</v>
      </c>
      <c r="N67" s="195">
        <f t="shared" si="3"/>
        <v>0</v>
      </c>
      <c r="O67" s="195">
        <f t="shared" si="3"/>
        <v>9553</v>
      </c>
      <c r="P67" s="195">
        <f t="shared" si="3"/>
        <v>85397</v>
      </c>
      <c r="Q67" s="195">
        <f t="shared" si="3"/>
        <v>0</v>
      </c>
      <c r="R67" s="195">
        <f t="shared" si="3"/>
        <v>3701</v>
      </c>
      <c r="S67" s="195">
        <f t="shared" si="3"/>
        <v>13692</v>
      </c>
      <c r="T67" s="195">
        <f t="shared" si="3"/>
        <v>0</v>
      </c>
      <c r="U67" s="195">
        <f t="shared" si="3"/>
        <v>12728</v>
      </c>
      <c r="V67" s="195">
        <f t="shared" si="3"/>
        <v>2140</v>
      </c>
      <c r="W67" s="195">
        <f t="shared" si="3"/>
        <v>0</v>
      </c>
      <c r="X67" s="195">
        <f t="shared" si="3"/>
        <v>0</v>
      </c>
      <c r="Y67" s="195">
        <f t="shared" si="3"/>
        <v>116979</v>
      </c>
      <c r="Z67" s="195">
        <f t="shared" si="3"/>
        <v>0</v>
      </c>
      <c r="AA67" s="195">
        <f t="shared" si="3"/>
        <v>0</v>
      </c>
      <c r="AB67" s="195">
        <f t="shared" si="3"/>
        <v>16030</v>
      </c>
      <c r="AC67" s="195">
        <f t="shared" si="3"/>
        <v>12780</v>
      </c>
      <c r="AD67" s="195">
        <f t="shared" si="3"/>
        <v>0</v>
      </c>
      <c r="AE67" s="195">
        <f t="shared" si="3"/>
        <v>28328</v>
      </c>
      <c r="AF67" s="195">
        <f t="shared" si="3"/>
        <v>0</v>
      </c>
      <c r="AG67" s="195">
        <f t="shared" si="3"/>
        <v>35035</v>
      </c>
      <c r="AH67" s="195">
        <f t="shared" si="3"/>
        <v>36633</v>
      </c>
      <c r="AI67" s="195">
        <f t="shared" si="3"/>
        <v>0</v>
      </c>
      <c r="AJ67" s="195">
        <f t="shared" si="3"/>
        <v>219016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21661</v>
      </c>
      <c r="AV67" s="195">
        <f t="shared" si="3"/>
        <v>30146</v>
      </c>
      <c r="AW67" s="195">
        <f t="shared" si="3"/>
        <v>0</v>
      </c>
      <c r="AX67" s="195">
        <f t="shared" si="3"/>
        <v>0</v>
      </c>
      <c r="AY67" s="195">
        <f t="shared" si="3"/>
        <v>9924</v>
      </c>
      <c r="AZ67" s="195">
        <f>ROUND(AZ51+AZ52,0)</f>
        <v>6674</v>
      </c>
      <c r="BA67" s="195">
        <f>ROUND(BA51+BA52,0)</f>
        <v>6773</v>
      </c>
      <c r="BB67" s="195">
        <f t="shared" si="3"/>
        <v>907</v>
      </c>
      <c r="BC67" s="195">
        <f t="shared" si="3"/>
        <v>0</v>
      </c>
      <c r="BD67" s="195">
        <f t="shared" si="3"/>
        <v>907</v>
      </c>
      <c r="BE67" s="195">
        <f t="shared" si="3"/>
        <v>22525</v>
      </c>
      <c r="BF67" s="195">
        <f t="shared" si="3"/>
        <v>2187</v>
      </c>
      <c r="BG67" s="195">
        <f t="shared" si="3"/>
        <v>0</v>
      </c>
      <c r="BH67" s="195">
        <f t="shared" si="3"/>
        <v>421722</v>
      </c>
      <c r="BI67" s="195">
        <f t="shared" si="3"/>
        <v>0</v>
      </c>
      <c r="BJ67" s="195">
        <f t="shared" si="3"/>
        <v>0</v>
      </c>
      <c r="BK67" s="195">
        <f t="shared" si="3"/>
        <v>17213</v>
      </c>
      <c r="BL67" s="195">
        <f t="shared" si="3"/>
        <v>1363</v>
      </c>
      <c r="BM67" s="195">
        <f t="shared" si="3"/>
        <v>0</v>
      </c>
      <c r="BN67" s="195">
        <f t="shared" si="3"/>
        <v>67729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8954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5891</v>
      </c>
      <c r="BW67" s="195">
        <f t="shared" si="4"/>
        <v>0</v>
      </c>
      <c r="BX67" s="195">
        <f t="shared" si="4"/>
        <v>0</v>
      </c>
      <c r="BY67" s="195">
        <f t="shared" si="4"/>
        <v>1904</v>
      </c>
      <c r="BZ67" s="195">
        <f t="shared" si="4"/>
        <v>0</v>
      </c>
      <c r="CA67" s="195">
        <f t="shared" si="4"/>
        <v>824</v>
      </c>
      <c r="CB67" s="195">
        <f t="shared" si="4"/>
        <v>24</v>
      </c>
      <c r="CC67" s="195">
        <f t="shared" si="4"/>
        <v>0</v>
      </c>
      <c r="CD67" s="249" t="s">
        <v>221</v>
      </c>
      <c r="CE67" s="195">
        <f t="shared" si="0"/>
        <v>1306037</v>
      </c>
      <c r="CF67" s="252"/>
    </row>
    <row r="68" spans="1:84" ht="12.6" customHeight="1" x14ac:dyDescent="0.25">
      <c r="A68" s="171" t="s">
        <v>240</v>
      </c>
      <c r="B68" s="175"/>
      <c r="C68" s="184"/>
      <c r="D68" s="184"/>
      <c r="E68" s="184">
        <v>4857</v>
      </c>
      <c r="F68" s="184"/>
      <c r="G68" s="184"/>
      <c r="H68" s="184"/>
      <c r="I68" s="184"/>
      <c r="J68" s="184"/>
      <c r="K68" s="185">
        <v>1944</v>
      </c>
      <c r="L68" s="185">
        <v>1829</v>
      </c>
      <c r="M68" s="184"/>
      <c r="N68" s="184"/>
      <c r="O68" s="184"/>
      <c r="P68" s="185">
        <v>-54</v>
      </c>
      <c r="Q68" s="185"/>
      <c r="R68" s="185"/>
      <c r="S68" s="185"/>
      <c r="T68" s="185"/>
      <c r="U68" s="185">
        <v>12212</v>
      </c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>
        <v>4846</v>
      </c>
      <c r="AI68" s="185"/>
      <c r="AJ68" s="185">
        <f>3783</f>
        <v>3783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>
        <f>94+0</f>
        <v>94</v>
      </c>
      <c r="AW68" s="185"/>
      <c r="AX68" s="185"/>
      <c r="AY68" s="185"/>
      <c r="AZ68" s="185"/>
      <c r="BA68" s="185"/>
      <c r="BB68" s="185"/>
      <c r="BC68" s="185"/>
      <c r="BD68" s="185"/>
      <c r="BE68" s="185">
        <v>26361</v>
      </c>
      <c r="BF68" s="185"/>
      <c r="BG68" s="185"/>
      <c r="BH68" s="185"/>
      <c r="BI68" s="185"/>
      <c r="BJ68" s="185"/>
      <c r="BK68" s="185"/>
      <c r="BL68" s="185">
        <v>5070</v>
      </c>
      <c r="BM68" s="185"/>
      <c r="BN68" s="185">
        <v>1558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62500</v>
      </c>
      <c r="CF68" s="252"/>
    </row>
    <row r="69" spans="1:84" ht="12.6" customHeight="1" x14ac:dyDescent="0.25">
      <c r="A69" s="171" t="s">
        <v>241</v>
      </c>
      <c r="B69" s="175"/>
      <c r="C69" s="184"/>
      <c r="D69" s="184"/>
      <c r="E69" s="185">
        <v>801</v>
      </c>
      <c r="F69" s="185"/>
      <c r="G69" s="184"/>
      <c r="H69" s="184"/>
      <c r="I69" s="185"/>
      <c r="J69" s="185"/>
      <c r="K69" s="185">
        <v>2820</v>
      </c>
      <c r="L69" s="185">
        <v>1881</v>
      </c>
      <c r="M69" s="184"/>
      <c r="N69" s="184"/>
      <c r="O69" s="184"/>
      <c r="P69" s="185">
        <v>3475</v>
      </c>
      <c r="Q69" s="185"/>
      <c r="R69" s="224">
        <v>4214</v>
      </c>
      <c r="S69" s="185">
        <v>100</v>
      </c>
      <c r="T69" s="184"/>
      <c r="U69" s="185">
        <v>7833</v>
      </c>
      <c r="V69" s="185"/>
      <c r="W69" s="184"/>
      <c r="X69" s="185"/>
      <c r="Y69" s="185">
        <f>1700+4130</f>
        <v>5830</v>
      </c>
      <c r="Z69" s="185"/>
      <c r="AA69" s="185"/>
      <c r="AB69" s="185">
        <v>14723</v>
      </c>
      <c r="AC69" s="185">
        <v>35</v>
      </c>
      <c r="AD69" s="185"/>
      <c r="AE69" s="185">
        <v>3789</v>
      </c>
      <c r="AF69" s="185"/>
      <c r="AG69" s="185">
        <v>12003</v>
      </c>
      <c r="AH69" s="185">
        <v>13063</v>
      </c>
      <c r="AI69" s="185"/>
      <c r="AJ69" s="185">
        <f>49368+4849</f>
        <v>54217</v>
      </c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>
        <f>11441+2920+163</f>
        <v>14524</v>
      </c>
      <c r="AV69" s="185">
        <f>6408+425+0</f>
        <v>6833</v>
      </c>
      <c r="AW69" s="185"/>
      <c r="AX69" s="185"/>
      <c r="AY69" s="185">
        <v>1068</v>
      </c>
      <c r="AZ69" s="185"/>
      <c r="BA69" s="185"/>
      <c r="BB69" s="185">
        <v>2481</v>
      </c>
      <c r="BC69" s="185"/>
      <c r="BD69" s="185">
        <v>865</v>
      </c>
      <c r="BE69" s="185">
        <v>2288</v>
      </c>
      <c r="BF69" s="185">
        <v>88</v>
      </c>
      <c r="BG69" s="185"/>
      <c r="BH69" s="224">
        <v>12418</v>
      </c>
      <c r="BI69" s="185"/>
      <c r="BJ69" s="185">
        <v>11295</v>
      </c>
      <c r="BK69" s="185">
        <v>890</v>
      </c>
      <c r="BL69" s="185">
        <v>35818</v>
      </c>
      <c r="BM69" s="185"/>
      <c r="BN69" s="185">
        <f>441010-288431.09-36604.62</f>
        <v>115974.28999999998</v>
      </c>
      <c r="BO69" s="185"/>
      <c r="BP69" s="185"/>
      <c r="BQ69" s="185"/>
      <c r="BR69" s="185">
        <v>5732</v>
      </c>
      <c r="BS69" s="185"/>
      <c r="BT69" s="185"/>
      <c r="BU69" s="185"/>
      <c r="BV69" s="185">
        <v>14129</v>
      </c>
      <c r="BW69" s="185"/>
      <c r="BX69" s="185">
        <v>3497</v>
      </c>
      <c r="BY69" s="185">
        <v>5156</v>
      </c>
      <c r="BZ69" s="185"/>
      <c r="CA69" s="185">
        <v>14806</v>
      </c>
      <c r="CB69" s="185">
        <v>398</v>
      </c>
      <c r="CC69" s="185">
        <v>113</v>
      </c>
      <c r="CD69" s="189">
        <f>36604.62+234496.22+331213.8+11113.37+288431.09</f>
        <v>901859.10000000009</v>
      </c>
      <c r="CE69" s="195">
        <f t="shared" si="0"/>
        <v>1275016.3900000001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9">
        <v>2405123.09</v>
      </c>
      <c r="CE70" s="195">
        <f t="shared" si="0"/>
        <v>2405123.09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1293200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5199</v>
      </c>
      <c r="K71" s="195">
        <f t="shared" si="5"/>
        <v>1449966</v>
      </c>
      <c r="L71" s="195">
        <f t="shared" si="5"/>
        <v>1179711</v>
      </c>
      <c r="M71" s="195">
        <f t="shared" si="5"/>
        <v>0</v>
      </c>
      <c r="N71" s="195">
        <f t="shared" si="5"/>
        <v>0</v>
      </c>
      <c r="O71" s="195">
        <f t="shared" si="5"/>
        <v>49341</v>
      </c>
      <c r="P71" s="195">
        <f t="shared" si="5"/>
        <v>536479</v>
      </c>
      <c r="Q71" s="195">
        <f t="shared" si="5"/>
        <v>12709</v>
      </c>
      <c r="R71" s="195">
        <f t="shared" si="5"/>
        <v>559009</v>
      </c>
      <c r="S71" s="195">
        <f t="shared" si="5"/>
        <v>220923</v>
      </c>
      <c r="T71" s="195">
        <f t="shared" si="5"/>
        <v>0</v>
      </c>
      <c r="U71" s="195">
        <f t="shared" si="5"/>
        <v>1301686</v>
      </c>
      <c r="V71" s="195">
        <f t="shared" si="5"/>
        <v>2140</v>
      </c>
      <c r="W71" s="195">
        <f t="shared" si="5"/>
        <v>253509</v>
      </c>
      <c r="X71" s="195">
        <f t="shared" si="5"/>
        <v>96797</v>
      </c>
      <c r="Y71" s="195">
        <f t="shared" si="5"/>
        <v>1502180</v>
      </c>
      <c r="Z71" s="195">
        <f t="shared" si="5"/>
        <v>0</v>
      </c>
      <c r="AA71" s="195">
        <f t="shared" si="5"/>
        <v>58421</v>
      </c>
      <c r="AB71" s="195">
        <f t="shared" si="5"/>
        <v>1452083</v>
      </c>
      <c r="AC71" s="195">
        <f t="shared" si="5"/>
        <v>123846</v>
      </c>
      <c r="AD71" s="195">
        <f t="shared" si="5"/>
        <v>0</v>
      </c>
      <c r="AE71" s="195">
        <f t="shared" si="5"/>
        <v>826844</v>
      </c>
      <c r="AF71" s="195">
        <f t="shared" si="5"/>
        <v>0</v>
      </c>
      <c r="AG71" s="195">
        <f t="shared" si="5"/>
        <v>1744921</v>
      </c>
      <c r="AH71" s="195">
        <f t="shared" si="5"/>
        <v>412576</v>
      </c>
      <c r="AI71" s="195">
        <f t="shared" si="5"/>
        <v>56329</v>
      </c>
      <c r="AJ71" s="195">
        <f t="shared" ref="AJ71:BO71" si="6">SUM(AJ61:AJ69)-AJ70</f>
        <v>4892003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1484313</v>
      </c>
      <c r="AV71" s="195">
        <f t="shared" si="6"/>
        <v>348847</v>
      </c>
      <c r="AW71" s="195">
        <f t="shared" si="6"/>
        <v>0</v>
      </c>
      <c r="AX71" s="195">
        <f t="shared" si="6"/>
        <v>0</v>
      </c>
      <c r="AY71" s="195">
        <f t="shared" si="6"/>
        <v>857705</v>
      </c>
      <c r="AZ71" s="195">
        <f t="shared" si="6"/>
        <v>6674</v>
      </c>
      <c r="BA71" s="195">
        <f t="shared" si="6"/>
        <v>212110</v>
      </c>
      <c r="BB71" s="195">
        <f t="shared" si="6"/>
        <v>171262</v>
      </c>
      <c r="BC71" s="195">
        <f t="shared" si="6"/>
        <v>0</v>
      </c>
      <c r="BD71" s="195">
        <f t="shared" si="6"/>
        <v>101056</v>
      </c>
      <c r="BE71" s="195">
        <f t="shared" si="6"/>
        <v>985801</v>
      </c>
      <c r="BF71" s="195">
        <f t="shared" si="6"/>
        <v>573385</v>
      </c>
      <c r="BG71" s="195">
        <f t="shared" si="6"/>
        <v>0</v>
      </c>
      <c r="BH71" s="195">
        <f t="shared" si="6"/>
        <v>1072587</v>
      </c>
      <c r="BI71" s="195">
        <f t="shared" si="6"/>
        <v>0</v>
      </c>
      <c r="BJ71" s="195">
        <f t="shared" si="6"/>
        <v>323021</v>
      </c>
      <c r="BK71" s="195">
        <f t="shared" si="6"/>
        <v>746780</v>
      </c>
      <c r="BL71" s="195">
        <f t="shared" si="6"/>
        <v>301992</v>
      </c>
      <c r="BM71" s="195">
        <f t="shared" si="6"/>
        <v>0</v>
      </c>
      <c r="BN71" s="195">
        <f t="shared" si="6"/>
        <v>1033893.29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258436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296657</v>
      </c>
      <c r="BW71" s="195">
        <f t="shared" si="7"/>
        <v>0</v>
      </c>
      <c r="BX71" s="195">
        <f t="shared" si="7"/>
        <v>201040</v>
      </c>
      <c r="BY71" s="195">
        <f t="shared" si="7"/>
        <v>239315</v>
      </c>
      <c r="BZ71" s="195">
        <f t="shared" si="7"/>
        <v>0</v>
      </c>
      <c r="CA71" s="195">
        <f t="shared" si="7"/>
        <v>91907</v>
      </c>
      <c r="CB71" s="195">
        <f t="shared" si="7"/>
        <v>502</v>
      </c>
      <c r="CC71" s="195">
        <f t="shared" si="7"/>
        <v>12169</v>
      </c>
      <c r="CD71" s="245">
        <f>CD69-CD70</f>
        <v>-1503263.9899999998</v>
      </c>
      <c r="CE71" s="195">
        <f>SUM(CE61:CE69)-CE70</f>
        <v>25846060.300000001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762139</v>
      </c>
      <c r="CF72" s="252"/>
    </row>
    <row r="73" spans="1:84" ht="12.6" customHeight="1" x14ac:dyDescent="0.25">
      <c r="A73" s="171" t="s">
        <v>245</v>
      </c>
      <c r="B73" s="175"/>
      <c r="C73" s="184"/>
      <c r="D73" s="184"/>
      <c r="E73" s="185">
        <v>2145026</v>
      </c>
      <c r="F73" s="185"/>
      <c r="G73" s="184"/>
      <c r="H73" s="184"/>
      <c r="I73" s="185"/>
      <c r="J73" s="185">
        <v>73895</v>
      </c>
      <c r="K73" s="185">
        <v>941278</v>
      </c>
      <c r="L73" s="185">
        <v>2065240</v>
      </c>
      <c r="M73" s="184"/>
      <c r="N73" s="184"/>
      <c r="O73" s="184">
        <v>140764</v>
      </c>
      <c r="P73" s="185">
        <v>531292</v>
      </c>
      <c r="Q73" s="185">
        <v>20637</v>
      </c>
      <c r="R73" s="185">
        <v>322349</v>
      </c>
      <c r="S73" s="185">
        <v>392313</v>
      </c>
      <c r="T73" s="185"/>
      <c r="U73" s="185">
        <f>78933+633848</f>
        <v>712781</v>
      </c>
      <c r="V73" s="185"/>
      <c r="W73" s="185">
        <v>23350</v>
      </c>
      <c r="X73" s="185">
        <f>348666</f>
        <v>348666</v>
      </c>
      <c r="Y73" s="185">
        <f>119782+131255+478</f>
        <v>251515</v>
      </c>
      <c r="Z73" s="185"/>
      <c r="AA73" s="185"/>
      <c r="AB73" s="185">
        <v>645863</v>
      </c>
      <c r="AC73" s="185">
        <v>151212</v>
      </c>
      <c r="AD73" s="185"/>
      <c r="AE73" s="185">
        <v>461292</v>
      </c>
      <c r="AF73" s="185"/>
      <c r="AG73" s="185"/>
      <c r="AH73" s="185">
        <v>94956</v>
      </c>
      <c r="AI73" s="185">
        <v>142973</v>
      </c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v>52716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9518118</v>
      </c>
      <c r="CF73" s="252"/>
    </row>
    <row r="74" spans="1:84" ht="12.6" customHeight="1" x14ac:dyDescent="0.25">
      <c r="A74" s="171" t="s">
        <v>246</v>
      </c>
      <c r="B74" s="175"/>
      <c r="C74" s="184"/>
      <c r="D74" s="184"/>
      <c r="E74" s="185">
        <v>362660</v>
      </c>
      <c r="F74" s="185"/>
      <c r="G74" s="184"/>
      <c r="H74" s="184"/>
      <c r="I74" s="184"/>
      <c r="J74" s="185">
        <v>441</v>
      </c>
      <c r="K74" s="185">
        <v>25805</v>
      </c>
      <c r="L74" s="185">
        <v>75113</v>
      </c>
      <c r="M74" s="184"/>
      <c r="N74" s="184"/>
      <c r="O74" s="184">
        <v>16999</v>
      </c>
      <c r="P74" s="185">
        <v>1477836</v>
      </c>
      <c r="Q74" s="185">
        <v>196817</v>
      </c>
      <c r="R74" s="185">
        <f>877270+130322</f>
        <v>1007592</v>
      </c>
      <c r="S74" s="185">
        <f>222635+58113</f>
        <v>280748</v>
      </c>
      <c r="T74" s="185"/>
      <c r="U74" s="185">
        <f>3835158+1262275+19076+10094</f>
        <v>5126603</v>
      </c>
      <c r="V74" s="185"/>
      <c r="W74" s="185">
        <f>1753532+52360</f>
        <v>1805892</v>
      </c>
      <c r="X74" s="185">
        <f>1255304+2119408</f>
        <v>3374712</v>
      </c>
      <c r="Y74" s="185">
        <f>917199+1162935+1318374+663029+330558+32737+4240</f>
        <v>4429072</v>
      </c>
      <c r="Z74" s="185"/>
      <c r="AA74" s="185">
        <v>224427</v>
      </c>
      <c r="AB74" s="185">
        <f>1755786+292187+15000</f>
        <v>2062973</v>
      </c>
      <c r="AC74" s="185">
        <f>38587+3174</f>
        <v>41761</v>
      </c>
      <c r="AD74" s="185"/>
      <c r="AE74" s="185">
        <f>2410454+5555</f>
        <v>2416009</v>
      </c>
      <c r="AF74" s="185"/>
      <c r="AG74" s="185">
        <v>4013600</v>
      </c>
      <c r="AH74" s="185">
        <f>66986+438607</f>
        <v>505593</v>
      </c>
      <c r="AI74" s="185">
        <v>798476</v>
      </c>
      <c r="AJ74" s="185">
        <f>628226+4652501</f>
        <v>5280727</v>
      </c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>
        <f>264789+56005</f>
        <v>320794</v>
      </c>
      <c r="AV74" s="185">
        <f>433840+151117+316507+31237+506+11521</f>
        <v>944728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34789378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2507686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74336</v>
      </c>
      <c r="K75" s="195">
        <f t="shared" si="9"/>
        <v>967083</v>
      </c>
      <c r="L75" s="195">
        <f t="shared" si="9"/>
        <v>2140353</v>
      </c>
      <c r="M75" s="195">
        <f t="shared" si="9"/>
        <v>0</v>
      </c>
      <c r="N75" s="195">
        <f t="shared" si="9"/>
        <v>0</v>
      </c>
      <c r="O75" s="195">
        <f t="shared" si="9"/>
        <v>157763</v>
      </c>
      <c r="P75" s="195">
        <f t="shared" si="9"/>
        <v>2009128</v>
      </c>
      <c r="Q75" s="195">
        <f t="shared" si="9"/>
        <v>217454</v>
      </c>
      <c r="R75" s="195">
        <f t="shared" si="9"/>
        <v>1329941</v>
      </c>
      <c r="S75" s="195">
        <f t="shared" si="9"/>
        <v>673061</v>
      </c>
      <c r="T75" s="195">
        <f t="shared" si="9"/>
        <v>0</v>
      </c>
      <c r="U75" s="195">
        <f t="shared" si="9"/>
        <v>5839384</v>
      </c>
      <c r="V75" s="195">
        <f t="shared" si="9"/>
        <v>0</v>
      </c>
      <c r="W75" s="195">
        <f t="shared" si="9"/>
        <v>1829242</v>
      </c>
      <c r="X75" s="195">
        <f t="shared" si="9"/>
        <v>3723378</v>
      </c>
      <c r="Y75" s="195">
        <f t="shared" si="9"/>
        <v>4680587</v>
      </c>
      <c r="Z75" s="195">
        <f t="shared" si="9"/>
        <v>0</v>
      </c>
      <c r="AA75" s="195">
        <f t="shared" si="9"/>
        <v>224427</v>
      </c>
      <c r="AB75" s="195">
        <f t="shared" si="9"/>
        <v>2708836</v>
      </c>
      <c r="AC75" s="195">
        <f t="shared" si="9"/>
        <v>192973</v>
      </c>
      <c r="AD75" s="195">
        <f t="shared" si="9"/>
        <v>0</v>
      </c>
      <c r="AE75" s="195">
        <f t="shared" si="9"/>
        <v>2877301</v>
      </c>
      <c r="AF75" s="195">
        <f t="shared" si="9"/>
        <v>0</v>
      </c>
      <c r="AG75" s="195">
        <f t="shared" si="9"/>
        <v>4013600</v>
      </c>
      <c r="AH75" s="195">
        <f t="shared" si="9"/>
        <v>600549</v>
      </c>
      <c r="AI75" s="195">
        <f t="shared" si="9"/>
        <v>941449</v>
      </c>
      <c r="AJ75" s="195">
        <f t="shared" si="9"/>
        <v>5280727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320794</v>
      </c>
      <c r="AV75" s="195">
        <f t="shared" si="9"/>
        <v>997444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44307496</v>
      </c>
      <c r="CF75" s="252"/>
    </row>
    <row r="76" spans="1:84" ht="12.6" customHeight="1" x14ac:dyDescent="0.25">
      <c r="A76" s="171" t="s">
        <v>248</v>
      </c>
      <c r="B76" s="175"/>
      <c r="C76" s="184"/>
      <c r="D76" s="184"/>
      <c r="E76" s="185">
        <v>2649</v>
      </c>
      <c r="F76" s="185"/>
      <c r="G76" s="184"/>
      <c r="H76" s="184"/>
      <c r="I76" s="185"/>
      <c r="J76" s="185">
        <v>167</v>
      </c>
      <c r="K76" s="185">
        <f>4153-1736</f>
        <v>2417</v>
      </c>
      <c r="L76" s="185">
        <v>1736</v>
      </c>
      <c r="M76" s="185"/>
      <c r="N76" s="185"/>
      <c r="O76" s="185">
        <v>526</v>
      </c>
      <c r="P76" s="185">
        <v>6021</v>
      </c>
      <c r="Q76" s="185"/>
      <c r="R76" s="185"/>
      <c r="S76" s="185">
        <v>1510</v>
      </c>
      <c r="T76" s="185"/>
      <c r="U76" s="185">
        <v>1260</v>
      </c>
      <c r="V76" s="185">
        <v>236</v>
      </c>
      <c r="W76" s="185"/>
      <c r="X76" s="185"/>
      <c r="Y76" s="185">
        <v>2491</v>
      </c>
      <c r="Z76" s="185"/>
      <c r="AA76" s="185"/>
      <c r="AB76" s="185">
        <v>394</v>
      </c>
      <c r="AC76" s="185">
        <v>752</v>
      </c>
      <c r="AD76" s="185"/>
      <c r="AE76" s="185">
        <v>2996</v>
      </c>
      <c r="AF76" s="185"/>
      <c r="AG76" s="185">
        <v>1577</v>
      </c>
      <c r="AH76" s="185">
        <v>1650</v>
      </c>
      <c r="AI76" s="185"/>
      <c r="AJ76" s="185">
        <v>12086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>
        <v>1910</v>
      </c>
      <c r="AV76" s="185">
        <v>902</v>
      </c>
      <c r="AW76" s="185"/>
      <c r="AX76" s="185"/>
      <c r="AY76" s="185">
        <v>1054</v>
      </c>
      <c r="AZ76" s="185">
        <v>736</v>
      </c>
      <c r="BA76" s="185">
        <v>747</v>
      </c>
      <c r="BB76" s="185">
        <v>100</v>
      </c>
      <c r="BC76" s="185"/>
      <c r="BD76" s="185">
        <v>100</v>
      </c>
      <c r="BE76" s="185">
        <v>1764</v>
      </c>
      <c r="BF76" s="185">
        <v>115</v>
      </c>
      <c r="BG76" s="185"/>
      <c r="BH76" s="185">
        <v>356</v>
      </c>
      <c r="BI76" s="185"/>
      <c r="BJ76" s="185"/>
      <c r="BK76" s="185">
        <v>1844</v>
      </c>
      <c r="BL76" s="185">
        <v>148</v>
      </c>
      <c r="BM76" s="185"/>
      <c r="BN76" s="185">
        <v>6685</v>
      </c>
      <c r="BO76" s="185"/>
      <c r="BP76" s="185"/>
      <c r="BQ76" s="185"/>
      <c r="BR76" s="185">
        <v>406</v>
      </c>
      <c r="BS76" s="185"/>
      <c r="BT76" s="185"/>
      <c r="BU76" s="185"/>
      <c r="BV76" s="185">
        <v>612</v>
      </c>
      <c r="BW76" s="185"/>
      <c r="BX76" s="185"/>
      <c r="BY76" s="185">
        <v>210</v>
      </c>
      <c r="BZ76" s="185"/>
      <c r="CA76" s="185"/>
      <c r="CB76" s="185"/>
      <c r="CC76" s="185"/>
      <c r="CD76" s="249" t="s">
        <v>221</v>
      </c>
      <c r="CE76" s="195">
        <f t="shared" si="8"/>
        <v>56157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/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>
        <v>145630</v>
      </c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145630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>
        <v>2649</v>
      </c>
      <c r="F78" s="184"/>
      <c r="G78" s="184"/>
      <c r="H78" s="184"/>
      <c r="I78" s="184"/>
      <c r="J78" s="184">
        <v>167</v>
      </c>
      <c r="K78" s="184">
        <v>2417</v>
      </c>
      <c r="L78" s="184">
        <v>1736</v>
      </c>
      <c r="M78" s="184"/>
      <c r="N78" s="184"/>
      <c r="O78" s="184">
        <v>526</v>
      </c>
      <c r="P78" s="184">
        <v>6021</v>
      </c>
      <c r="Q78" s="184"/>
      <c r="R78" s="184"/>
      <c r="S78" s="184">
        <v>1510</v>
      </c>
      <c r="T78" s="184"/>
      <c r="U78" s="184">
        <v>1260</v>
      </c>
      <c r="V78" s="184">
        <v>236</v>
      </c>
      <c r="W78" s="184"/>
      <c r="X78" s="184"/>
      <c r="Y78" s="184">
        <v>2491</v>
      </c>
      <c r="Z78" s="184"/>
      <c r="AA78" s="184"/>
      <c r="AB78" s="184">
        <v>394</v>
      </c>
      <c r="AC78" s="184">
        <v>752</v>
      </c>
      <c r="AD78" s="184"/>
      <c r="AE78" s="184">
        <v>2996</v>
      </c>
      <c r="AF78" s="184"/>
      <c r="AG78" s="184">
        <v>1577</v>
      </c>
      <c r="AH78" s="184">
        <v>1650</v>
      </c>
      <c r="AI78" s="184"/>
      <c r="AJ78" s="184">
        <v>12086</v>
      </c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>
        <v>1910</v>
      </c>
      <c r="AV78" s="184">
        <v>902</v>
      </c>
      <c r="AW78" s="184"/>
      <c r="AX78" s="249" t="s">
        <v>221</v>
      </c>
      <c r="AY78" s="249" t="s">
        <v>221</v>
      </c>
      <c r="AZ78" s="249" t="s">
        <v>221</v>
      </c>
      <c r="BA78" s="185">
        <v>747</v>
      </c>
      <c r="BB78" s="185">
        <v>100</v>
      </c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356</v>
      </c>
      <c r="BI78" s="184"/>
      <c r="BJ78" s="249" t="s">
        <v>221</v>
      </c>
      <c r="BK78" s="185">
        <v>1844</v>
      </c>
      <c r="BL78" s="185">
        <v>148</v>
      </c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5">
        <v>612</v>
      </c>
      <c r="BW78" s="185"/>
      <c r="BX78" s="185"/>
      <c r="BY78" s="185">
        <v>210</v>
      </c>
      <c r="BZ78" s="185"/>
      <c r="CA78" s="185"/>
      <c r="CB78" s="184"/>
      <c r="CC78" s="249" t="s">
        <v>221</v>
      </c>
      <c r="CD78" s="249" t="s">
        <v>221</v>
      </c>
      <c r="CE78" s="195">
        <f t="shared" si="8"/>
        <v>45297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>
        <v>1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f>6.86+0.03</f>
        <v>6.8900000000000006</v>
      </c>
      <c r="F80" s="187"/>
      <c r="G80" s="187"/>
      <c r="H80" s="187"/>
      <c r="I80" s="187"/>
      <c r="J80" s="187"/>
      <c r="K80" s="187">
        <f>4.15+0.6+0.07+0.06+1.12+0.67</f>
        <v>6.67</v>
      </c>
      <c r="L80" s="187">
        <f>0.05+4.3+0.41+0.08+0.55+0.36</f>
        <v>5.75</v>
      </c>
      <c r="M80" s="187"/>
      <c r="N80" s="187"/>
      <c r="O80" s="187">
        <v>0.24</v>
      </c>
      <c r="P80" s="187">
        <f>1.23+0.66+0.02</f>
        <v>1.9100000000000001</v>
      </c>
      <c r="Q80" s="187">
        <f>0.03</f>
        <v>0.03</v>
      </c>
      <c r="R80" s="187">
        <v>1.02</v>
      </c>
      <c r="S80" s="187">
        <f>1.11+0.01</f>
        <v>1.1200000000000001</v>
      </c>
      <c r="T80" s="187"/>
      <c r="U80" s="187"/>
      <c r="V80" s="187"/>
      <c r="W80" s="187"/>
      <c r="X80" s="187"/>
      <c r="Y80" s="187"/>
      <c r="Z80" s="187"/>
      <c r="AA80" s="187"/>
      <c r="AB80" s="187"/>
      <c r="AC80" s="187">
        <v>0.45</v>
      </c>
      <c r="AD80" s="187"/>
      <c r="AE80" s="187"/>
      <c r="AF80" s="187"/>
      <c r="AG80" s="187">
        <v>3.76</v>
      </c>
      <c r="AH80" s="187"/>
      <c r="AI80" s="187">
        <v>0.37</v>
      </c>
      <c r="AJ80" s="187">
        <f>0.27+3.23+2.02+0.74+0.75+1+0.75</f>
        <v>8.76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36.970000000000006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1271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1275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1277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268</v>
      </c>
      <c r="D111" s="174">
        <v>796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f>92+25+28</f>
        <v>145</v>
      </c>
      <c r="D112" s="174">
        <f>964+2836+4292</f>
        <v>8092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51</v>
      </c>
      <c r="D114" s="174">
        <v>84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17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12</v>
      </c>
      <c r="D123" s="175"/>
      <c r="E123" s="175"/>
    </row>
    <row r="124" spans="1:5" ht="12.6" customHeight="1" x14ac:dyDescent="0.25">
      <c r="A124" s="173" t="s">
        <v>289</v>
      </c>
      <c r="B124" s="172"/>
      <c r="C124" s="189">
        <v>8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37</v>
      </c>
    </row>
    <row r="128" spans="1:5" ht="12.6" customHeight="1" x14ac:dyDescent="0.25">
      <c r="A128" s="173" t="s">
        <v>292</v>
      </c>
      <c r="B128" s="172" t="s">
        <v>256</v>
      </c>
      <c r="C128" s="189"/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155</v>
      </c>
      <c r="C138" s="189">
        <v>46</v>
      </c>
      <c r="D138" s="174">
        <v>67</v>
      </c>
      <c r="E138" s="175">
        <f>SUM(B138:D138)</f>
        <v>268</v>
      </c>
    </row>
    <row r="139" spans="1:6" ht="12.6" customHeight="1" x14ac:dyDescent="0.25">
      <c r="A139" s="173" t="s">
        <v>215</v>
      </c>
      <c r="B139" s="174">
        <v>520</v>
      </c>
      <c r="C139" s="189">
        <v>120</v>
      </c>
      <c r="D139" s="174">
        <v>156</v>
      </c>
      <c r="E139" s="175">
        <f>SUM(B139:D139)</f>
        <v>796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3158325</v>
      </c>
      <c r="C141" s="189">
        <f>867772+331124</f>
        <v>1198896</v>
      </c>
      <c r="D141" s="174">
        <f>1197528-7491</f>
        <v>1190037</v>
      </c>
      <c r="E141" s="175">
        <f>SUM(B141:D141)</f>
        <v>5547258</v>
      </c>
      <c r="F141" s="199"/>
    </row>
    <row r="142" spans="1:6" ht="12.6" customHeight="1" x14ac:dyDescent="0.25">
      <c r="A142" s="173" t="s">
        <v>246</v>
      </c>
      <c r="B142" s="174">
        <f>9816549+1132474+246875</f>
        <v>11195898</v>
      </c>
      <c r="C142" s="189">
        <f>5801638+3074166+610407+1201173+72964+84955+132372</f>
        <v>10977675</v>
      </c>
      <c r="D142" s="174">
        <f>10472298+1708448+223432+136870+67266.18+7491</f>
        <v>12615805.18</v>
      </c>
      <c r="E142" s="175">
        <f>SUM(B142:D142)</f>
        <v>34789378.18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f>79+0+0</f>
        <v>79</v>
      </c>
      <c r="C144" s="189">
        <f>7+25+16</f>
        <v>48</v>
      </c>
      <c r="D144" s="174">
        <f>6+12</f>
        <v>18</v>
      </c>
      <c r="E144" s="175">
        <f>SUM(B144:D144)</f>
        <v>145</v>
      </c>
    </row>
    <row r="145" spans="1:5" ht="12.6" customHeight="1" x14ac:dyDescent="0.25">
      <c r="A145" s="173" t="s">
        <v>215</v>
      </c>
      <c r="B145" s="174">
        <f>862</f>
        <v>862</v>
      </c>
      <c r="C145" s="189">
        <f>33+2836+2369</f>
        <v>5238</v>
      </c>
      <c r="D145" s="174">
        <f>69+1923</f>
        <v>1992</v>
      </c>
      <c r="E145" s="175">
        <f>SUM(B145:D145)</f>
        <v>8092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>
        <v>2175461</v>
      </c>
      <c r="C147" s="189">
        <f>668749+20440+530656</f>
        <v>1219845</v>
      </c>
      <c r="D147" s="174">
        <f>32393+117859+14680+410622</f>
        <v>575554</v>
      </c>
      <c r="E147" s="175">
        <f>SUM(B147:D147)</f>
        <v>3970860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193192.65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67774.81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277782.84000000003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2601048.92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f>16478.31+0</f>
        <v>16478.310000000001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f>384000+604157.58+3117.01</f>
        <v>991274.59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f>6620.01+106367.6+330</f>
        <v>113317.61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4260869.7299999995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/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62499.34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62499.34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f>288431.09</f>
        <v>288431.09000000003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/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288431.09000000003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36604.620000000003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234496.22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271100.84000000003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11113.37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331213.8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342327.17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303084</v>
      </c>
      <c r="C195" s="189"/>
      <c r="D195" s="174"/>
      <c r="E195" s="175">
        <f t="shared" ref="E195:E203" si="10">SUM(B195:C195)-D195</f>
        <v>303084</v>
      </c>
    </row>
    <row r="196" spans="1:8" ht="12.6" customHeight="1" x14ac:dyDescent="0.25">
      <c r="A196" s="173" t="s">
        <v>333</v>
      </c>
      <c r="B196" s="174">
        <v>935266</v>
      </c>
      <c r="C196" s="189"/>
      <c r="D196" s="174"/>
      <c r="E196" s="175">
        <f t="shared" si="10"/>
        <v>935266</v>
      </c>
    </row>
    <row r="197" spans="1:8" ht="12.6" customHeight="1" x14ac:dyDescent="0.25">
      <c r="A197" s="173" t="s">
        <v>334</v>
      </c>
      <c r="B197" s="174">
        <v>14905835</v>
      </c>
      <c r="C197" s="189">
        <v>259517.51</v>
      </c>
      <c r="D197" s="174"/>
      <c r="E197" s="175">
        <f t="shared" si="10"/>
        <v>15165352.51</v>
      </c>
    </row>
    <row r="198" spans="1:8" ht="12.6" customHeight="1" x14ac:dyDescent="0.2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13349638</v>
      </c>
      <c r="C199" s="189">
        <v>532446.18999999994</v>
      </c>
      <c r="D199" s="174"/>
      <c r="E199" s="175">
        <f t="shared" si="10"/>
        <v>13882084.189999999</v>
      </c>
    </row>
    <row r="200" spans="1:8" ht="12.6" customHeight="1" x14ac:dyDescent="0.25">
      <c r="A200" s="173" t="s">
        <v>337</v>
      </c>
      <c r="B200" s="174"/>
      <c r="C200" s="189"/>
      <c r="D200" s="174"/>
      <c r="E200" s="175">
        <f t="shared" si="10"/>
        <v>0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5130</v>
      </c>
      <c r="C203" s="189"/>
      <c r="D203" s="174">
        <v>5130</v>
      </c>
      <c r="E203" s="175">
        <f t="shared" si="10"/>
        <v>0</v>
      </c>
    </row>
    <row r="204" spans="1:8" ht="12.6" customHeight="1" x14ac:dyDescent="0.25">
      <c r="A204" s="173" t="s">
        <v>203</v>
      </c>
      <c r="B204" s="175">
        <f>SUM(B195:B203)</f>
        <v>29498953</v>
      </c>
      <c r="C204" s="191">
        <f>SUM(C195:C203)</f>
        <v>791963.7</v>
      </c>
      <c r="D204" s="175">
        <f>SUM(D195:D203)</f>
        <v>5130</v>
      </c>
      <c r="E204" s="175">
        <f>SUM(E195:E203)</f>
        <v>30285786.699999999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703625</v>
      </c>
      <c r="C209" s="189">
        <v>40934.400000000001</v>
      </c>
      <c r="D209" s="174"/>
      <c r="E209" s="175">
        <f t="shared" ref="E209:E216" si="11">SUM(B209:C209)-D209</f>
        <v>744559.4</v>
      </c>
      <c r="H209" s="259"/>
    </row>
    <row r="210" spans="1:8" ht="12.6" customHeight="1" x14ac:dyDescent="0.25">
      <c r="A210" s="173" t="s">
        <v>334</v>
      </c>
      <c r="B210" s="174">
        <v>10729239</v>
      </c>
      <c r="C210" s="189">
        <f>463828.67+4436.26</f>
        <v>468264.93</v>
      </c>
      <c r="D210" s="174"/>
      <c r="E210" s="175">
        <f t="shared" si="11"/>
        <v>11197503.93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11741689</v>
      </c>
      <c r="C212" s="189">
        <v>796837.47</v>
      </c>
      <c r="D212" s="174"/>
      <c r="E212" s="175">
        <f t="shared" si="11"/>
        <v>12538526.470000001</v>
      </c>
      <c r="H212" s="259"/>
    </row>
    <row r="213" spans="1:8" ht="12.6" customHeight="1" x14ac:dyDescent="0.25">
      <c r="A213" s="173" t="s">
        <v>337</v>
      </c>
      <c r="B213" s="174"/>
      <c r="C213" s="189"/>
      <c r="D213" s="174"/>
      <c r="E213" s="175">
        <f t="shared" si="11"/>
        <v>0</v>
      </c>
      <c r="H213" s="259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23174553</v>
      </c>
      <c r="C217" s="191">
        <f>SUM(C208:C216)</f>
        <v>1306036.8</v>
      </c>
      <c r="D217" s="175">
        <f>SUM(D208:D216)</f>
        <v>0</v>
      </c>
      <c r="E217" s="175">
        <f>SUM(E208:E216)</f>
        <v>24480589.800000001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687035.34</v>
      </c>
      <c r="D221" s="172">
        <f>C221</f>
        <v>687035.34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7693307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5369126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662899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f>3068126-14116+3.51</f>
        <v>3054013.51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16779345.509999998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f>113</f>
        <v>113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f>39566.04+23.86</f>
        <v>39589.9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f>442398.77-39566.04-23.86</f>
        <v>402808.87000000005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442398.77000000008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7127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475200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482327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18391106.619999997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f>4387022.81+9146.98</f>
        <v>4396169.79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6214723.04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3664335.71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1071502.06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120628.64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11431.36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554066.72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217645.45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8921831.3499999996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>
        <f>634107.92+234041.25+414476.88+2592</f>
        <v>1285218.05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1285218.05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303084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935266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15165352.27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13882083.779999999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/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/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30285786.049999997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24480589.289999999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5805196.7599999979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16012246.159999998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>
        <f>26928.6+9146.98+332803.73</f>
        <v>368879.31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355699.57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f>294046.92+111325.06+830602.98+74778.86</f>
        <v>1310753.82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157485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70719.520000000004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2263537.2200000002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185780.14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f>4285000+312035.36</f>
        <v>4597035.3600000003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207920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4990735.5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4990735.5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8757973.5199999996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16012246.24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16012246.159999998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9518118.25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f>24051807.77+10737570.16</f>
        <v>34789377.93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44307496.18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687035.34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f>17109538.79-330193</f>
        <v>16779345.789999999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442398.77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f>152133.61+330193</f>
        <v>482326.61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18391106.509999998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25916389.670000002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2405123.09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762139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3167262.09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29083651.760000002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13524335.59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4260869.7300000004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3206239.69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f>1890824.91+790650.74</f>
        <v>2681475.65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407766.32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1526936.12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f>1317150.17-11113</f>
        <v>1306037.17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62499.34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f>288431.09</f>
        <v>288431.09000000003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f>36604.62+234496.22</f>
        <v>271100.84000000003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f>331213.8+11113</f>
        <v>342326.8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932685.59-36604.62-234496.22-288431.09</f>
        <v>373153.66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28251172.000000004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832479.75999999791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f>56501.72+162.09+5159.52</f>
        <v>61823.33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894303.08999999787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894303.08999999787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Forks Community Hospital   H-0     FYE 12/31/2017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268</v>
      </c>
      <c r="C414" s="194">
        <f>E138</f>
        <v>268</v>
      </c>
      <c r="D414" s="179"/>
    </row>
    <row r="415" spans="1:5" ht="12.6" customHeight="1" x14ac:dyDescent="0.25">
      <c r="A415" s="179" t="s">
        <v>464</v>
      </c>
      <c r="B415" s="179">
        <f>D111</f>
        <v>796</v>
      </c>
      <c r="C415" s="179">
        <f>E139</f>
        <v>796</v>
      </c>
      <c r="D415" s="194">
        <f>SUM(C59:H59)+N59</f>
        <v>796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145</v>
      </c>
      <c r="C417" s="194">
        <f>E144</f>
        <v>145</v>
      </c>
      <c r="D417" s="179"/>
    </row>
    <row r="418" spans="1:7" ht="12.6" customHeight="1" x14ac:dyDescent="0.25">
      <c r="A418" s="179" t="s">
        <v>466</v>
      </c>
      <c r="B418" s="179">
        <f>D112</f>
        <v>8092</v>
      </c>
      <c r="C418" s="179">
        <f>E145</f>
        <v>8092</v>
      </c>
      <c r="D418" s="179">
        <f>K59+L59</f>
        <v>8092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51</v>
      </c>
    </row>
    <row r="424" spans="1:7" ht="12.6" customHeight="1" x14ac:dyDescent="0.25">
      <c r="A424" s="179" t="s">
        <v>1244</v>
      </c>
      <c r="B424" s="179">
        <f>D114</f>
        <v>84</v>
      </c>
      <c r="D424" s="179">
        <f>J59</f>
        <v>84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13524335.59</v>
      </c>
      <c r="C427" s="179">
        <f t="shared" ref="C427:C434" si="13">CE61</f>
        <v>13524337</v>
      </c>
      <c r="D427" s="179"/>
    </row>
    <row r="428" spans="1:7" ht="12.6" customHeight="1" x14ac:dyDescent="0.25">
      <c r="A428" s="179" t="s">
        <v>3</v>
      </c>
      <c r="B428" s="179">
        <f t="shared" si="12"/>
        <v>4260869.7300000004</v>
      </c>
      <c r="C428" s="179">
        <f t="shared" si="13"/>
        <v>4260871</v>
      </c>
      <c r="D428" s="179">
        <f>D173</f>
        <v>4260869.7299999995</v>
      </c>
    </row>
    <row r="429" spans="1:7" ht="12.6" customHeight="1" x14ac:dyDescent="0.25">
      <c r="A429" s="179" t="s">
        <v>236</v>
      </c>
      <c r="B429" s="179">
        <f t="shared" si="12"/>
        <v>3206239.69</v>
      </c>
      <c r="C429" s="179">
        <f t="shared" si="13"/>
        <v>3206240</v>
      </c>
      <c r="D429" s="179"/>
    </row>
    <row r="430" spans="1:7" ht="12.6" customHeight="1" x14ac:dyDescent="0.25">
      <c r="A430" s="179" t="s">
        <v>237</v>
      </c>
      <c r="B430" s="179">
        <f t="shared" si="12"/>
        <v>2681475.65</v>
      </c>
      <c r="C430" s="179">
        <f t="shared" si="13"/>
        <v>2681479</v>
      </c>
      <c r="D430" s="179"/>
    </row>
    <row r="431" spans="1:7" ht="12.6" customHeight="1" x14ac:dyDescent="0.25">
      <c r="A431" s="179" t="s">
        <v>444</v>
      </c>
      <c r="B431" s="179">
        <f t="shared" si="12"/>
        <v>407766.32</v>
      </c>
      <c r="C431" s="179">
        <f t="shared" si="13"/>
        <v>407765</v>
      </c>
      <c r="D431" s="179"/>
    </row>
    <row r="432" spans="1:7" ht="12.6" customHeight="1" x14ac:dyDescent="0.25">
      <c r="A432" s="179" t="s">
        <v>445</v>
      </c>
      <c r="B432" s="179">
        <f t="shared" si="12"/>
        <v>1526936.12</v>
      </c>
      <c r="C432" s="179">
        <f t="shared" si="13"/>
        <v>1526938</v>
      </c>
      <c r="D432" s="179"/>
    </row>
    <row r="433" spans="1:7" ht="12.6" customHeight="1" x14ac:dyDescent="0.25">
      <c r="A433" s="179" t="s">
        <v>6</v>
      </c>
      <c r="B433" s="179">
        <f t="shared" si="12"/>
        <v>1306037.17</v>
      </c>
      <c r="C433" s="179">
        <f t="shared" si="13"/>
        <v>1306037</v>
      </c>
      <c r="D433" s="179">
        <f>C217</f>
        <v>1306036.8</v>
      </c>
    </row>
    <row r="434" spans="1:7" ht="12.6" customHeight="1" x14ac:dyDescent="0.25">
      <c r="A434" s="179" t="s">
        <v>474</v>
      </c>
      <c r="B434" s="179">
        <f t="shared" si="12"/>
        <v>62499.34</v>
      </c>
      <c r="C434" s="179">
        <f t="shared" si="13"/>
        <v>62500</v>
      </c>
      <c r="D434" s="179">
        <f>D177</f>
        <v>62499.34</v>
      </c>
    </row>
    <row r="435" spans="1:7" ht="12.6" customHeight="1" x14ac:dyDescent="0.25">
      <c r="A435" s="179" t="s">
        <v>447</v>
      </c>
      <c r="B435" s="179">
        <f t="shared" si="12"/>
        <v>288431.09000000003</v>
      </c>
      <c r="C435" s="179"/>
      <c r="D435" s="179">
        <f>D181</f>
        <v>288431.09000000003</v>
      </c>
    </row>
    <row r="436" spans="1:7" ht="12.6" customHeight="1" x14ac:dyDescent="0.25">
      <c r="A436" s="179" t="s">
        <v>475</v>
      </c>
      <c r="B436" s="179">
        <f t="shared" si="12"/>
        <v>271100.84000000003</v>
      </c>
      <c r="C436" s="179"/>
      <c r="D436" s="179">
        <f>D186</f>
        <v>271100.84000000003</v>
      </c>
    </row>
    <row r="437" spans="1:7" ht="12.6" customHeight="1" x14ac:dyDescent="0.25">
      <c r="A437" s="194" t="s">
        <v>449</v>
      </c>
      <c r="B437" s="194">
        <f t="shared" si="12"/>
        <v>342326.8</v>
      </c>
      <c r="C437" s="194"/>
      <c r="D437" s="194">
        <f>D190</f>
        <v>342327.17</v>
      </c>
    </row>
    <row r="438" spans="1:7" ht="12.6" customHeight="1" x14ac:dyDescent="0.25">
      <c r="A438" s="194" t="s">
        <v>476</v>
      </c>
      <c r="B438" s="194">
        <f>C386+C387+C388</f>
        <v>901858.73</v>
      </c>
      <c r="C438" s="194">
        <f>CD69</f>
        <v>901859.10000000009</v>
      </c>
      <c r="D438" s="194">
        <f>D181+D186+D190</f>
        <v>901859.10000000009</v>
      </c>
    </row>
    <row r="439" spans="1:7" ht="12.6" customHeight="1" x14ac:dyDescent="0.25">
      <c r="A439" s="179" t="s">
        <v>451</v>
      </c>
      <c r="B439" s="194">
        <f>C389</f>
        <v>373153.66</v>
      </c>
      <c r="C439" s="194">
        <f>SUM(C69:CC69)</f>
        <v>373157.29</v>
      </c>
      <c r="D439" s="179"/>
    </row>
    <row r="440" spans="1:7" ht="12.6" customHeight="1" x14ac:dyDescent="0.25">
      <c r="A440" s="179" t="s">
        <v>477</v>
      </c>
      <c r="B440" s="194">
        <f>B438+B439</f>
        <v>1275012.3899999999</v>
      </c>
      <c r="C440" s="194">
        <f>CE69</f>
        <v>1275016.3900000001</v>
      </c>
      <c r="D440" s="179"/>
    </row>
    <row r="441" spans="1:7" ht="12.6" customHeight="1" x14ac:dyDescent="0.25">
      <c r="A441" s="179" t="s">
        <v>478</v>
      </c>
      <c r="B441" s="179">
        <f>D390</f>
        <v>28251172.000000004</v>
      </c>
      <c r="C441" s="179">
        <f>SUM(C427:C437)+C440</f>
        <v>28251183.390000001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687035.34</v>
      </c>
      <c r="C444" s="179">
        <f>C363</f>
        <v>687035.34</v>
      </c>
      <c r="D444" s="179"/>
    </row>
    <row r="445" spans="1:7" ht="12.6" customHeight="1" x14ac:dyDescent="0.25">
      <c r="A445" s="179" t="s">
        <v>343</v>
      </c>
      <c r="B445" s="179">
        <f>D229</f>
        <v>16779345.509999998</v>
      </c>
      <c r="C445" s="179">
        <f>C364</f>
        <v>16779345.789999999</v>
      </c>
      <c r="D445" s="179"/>
    </row>
    <row r="446" spans="1:7" ht="12.6" customHeight="1" x14ac:dyDescent="0.25">
      <c r="A446" s="179" t="s">
        <v>351</v>
      </c>
      <c r="B446" s="179">
        <f>D236</f>
        <v>442398.77000000008</v>
      </c>
      <c r="C446" s="179">
        <f>C365</f>
        <v>442398.77</v>
      </c>
      <c r="D446" s="179"/>
    </row>
    <row r="447" spans="1:7" ht="12.6" customHeight="1" x14ac:dyDescent="0.25">
      <c r="A447" s="179" t="s">
        <v>356</v>
      </c>
      <c r="B447" s="179">
        <f>D240</f>
        <v>482327</v>
      </c>
      <c r="C447" s="179">
        <f>C366</f>
        <v>482326.61</v>
      </c>
      <c r="D447" s="179"/>
    </row>
    <row r="448" spans="1:7" ht="12.6" customHeight="1" x14ac:dyDescent="0.25">
      <c r="A448" s="179" t="s">
        <v>358</v>
      </c>
      <c r="B448" s="179">
        <f>D242</f>
        <v>18391106.619999997</v>
      </c>
      <c r="C448" s="179">
        <f>D367</f>
        <v>18391106.509999998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113</v>
      </c>
    </row>
    <row r="454" spans="1:7" ht="12.6" customHeight="1" x14ac:dyDescent="0.25">
      <c r="A454" s="179" t="s">
        <v>168</v>
      </c>
      <c r="B454" s="179">
        <f>C233</f>
        <v>39589.9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402808.87000000005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2405123.09</v>
      </c>
      <c r="C458" s="194">
        <f>CE70</f>
        <v>2405123.09</v>
      </c>
      <c r="D458" s="194"/>
    </row>
    <row r="459" spans="1:7" ht="12.6" customHeight="1" x14ac:dyDescent="0.25">
      <c r="A459" s="179" t="s">
        <v>244</v>
      </c>
      <c r="B459" s="194">
        <f>C371</f>
        <v>762139</v>
      </c>
      <c r="C459" s="194">
        <f>CE72</f>
        <v>762139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9518118.25</v>
      </c>
      <c r="C463" s="194">
        <f>CE73</f>
        <v>9518118</v>
      </c>
      <c r="D463" s="194">
        <f>E141+E147+E153</f>
        <v>9518118</v>
      </c>
    </row>
    <row r="464" spans="1:7" ht="12.6" customHeight="1" x14ac:dyDescent="0.25">
      <c r="A464" s="179" t="s">
        <v>246</v>
      </c>
      <c r="B464" s="194">
        <f>C360</f>
        <v>34789377.93</v>
      </c>
      <c r="C464" s="194">
        <f>CE74</f>
        <v>34789378</v>
      </c>
      <c r="D464" s="194">
        <f>E142+E148+E154</f>
        <v>34789378.18</v>
      </c>
    </row>
    <row r="465" spans="1:7" ht="12.6" customHeight="1" x14ac:dyDescent="0.25">
      <c r="A465" s="179" t="s">
        <v>247</v>
      </c>
      <c r="B465" s="194">
        <f>D361</f>
        <v>44307496.18</v>
      </c>
      <c r="C465" s="194">
        <f>CE75</f>
        <v>44307496</v>
      </c>
      <c r="D465" s="194">
        <f>D463+D464</f>
        <v>44307496.18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303084</v>
      </c>
      <c r="C468" s="179">
        <f>E195</f>
        <v>303084</v>
      </c>
      <c r="D468" s="179"/>
    </row>
    <row r="469" spans="1:7" ht="12.6" customHeight="1" x14ac:dyDescent="0.25">
      <c r="A469" s="179" t="s">
        <v>333</v>
      </c>
      <c r="B469" s="179">
        <f t="shared" si="14"/>
        <v>935266</v>
      </c>
      <c r="C469" s="179">
        <f>E196</f>
        <v>935266</v>
      </c>
      <c r="D469" s="179"/>
    </row>
    <row r="470" spans="1:7" ht="12.6" customHeight="1" x14ac:dyDescent="0.25">
      <c r="A470" s="179" t="s">
        <v>334</v>
      </c>
      <c r="B470" s="179">
        <f t="shared" si="14"/>
        <v>15165352.27</v>
      </c>
      <c r="C470" s="179">
        <f>E197</f>
        <v>15165352.51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13882083.779999999</v>
      </c>
      <c r="C472" s="179">
        <f>E199</f>
        <v>13882084.189999999</v>
      </c>
      <c r="D472" s="179"/>
    </row>
    <row r="473" spans="1:7" ht="12.6" customHeight="1" x14ac:dyDescent="0.25">
      <c r="A473" s="179" t="s">
        <v>495</v>
      </c>
      <c r="B473" s="179">
        <f t="shared" si="14"/>
        <v>0</v>
      </c>
      <c r="C473" s="179">
        <f>SUM(E200:E201)</f>
        <v>0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30285786.049999997</v>
      </c>
      <c r="C476" s="179">
        <f>E204</f>
        <v>30285786.699999999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24480589.289999999</v>
      </c>
      <c r="C478" s="179">
        <f>E217</f>
        <v>24480589.800000001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16012246.159999998</v>
      </c>
    </row>
    <row r="482" spans="1:12" ht="12.6" customHeight="1" x14ac:dyDescent="0.25">
      <c r="A482" s="180" t="s">
        <v>499</v>
      </c>
      <c r="C482" s="180">
        <f>D339</f>
        <v>16012246.24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Forks Community Hospital   H-0     FYE 12/31/2017</v>
      </c>
      <c r="B493" s="261" t="s">
        <v>1266</v>
      </c>
      <c r="C493" s="261" t="str">
        <f>RIGHT(C82,4)</f>
        <v>2017</v>
      </c>
      <c r="D493" s="261" t="s">
        <v>1266</v>
      </c>
      <c r="E493" s="261" t="str">
        <f>RIGHT(C82,4)</f>
        <v>2017</v>
      </c>
      <c r="F493" s="261" t="s">
        <v>1266</v>
      </c>
      <c r="G493" s="261" t="str">
        <f>RIGHT(C82,4)</f>
        <v>2017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0</v>
      </c>
      <c r="C496" s="240">
        <f>C71</f>
        <v>0</v>
      </c>
      <c r="D496" s="240"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1203270</v>
      </c>
      <c r="C498" s="240">
        <f>E71</f>
        <v>1293200</v>
      </c>
      <c r="D498" s="240">
        <v>821</v>
      </c>
      <c r="E498" s="180">
        <f>E59</f>
        <v>796</v>
      </c>
      <c r="F498" s="263">
        <f t="shared" si="15"/>
        <v>1465.6151035322778</v>
      </c>
      <c r="G498" s="263">
        <f t="shared" si="15"/>
        <v>1624.6231155778894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6765</v>
      </c>
      <c r="C503" s="240">
        <f>J71</f>
        <v>5199</v>
      </c>
      <c r="D503" s="240">
        <v>127</v>
      </c>
      <c r="E503" s="180">
        <f>J59</f>
        <v>84</v>
      </c>
      <c r="F503" s="263">
        <f t="shared" si="15"/>
        <v>53.267716535433074</v>
      </c>
      <c r="G503" s="263">
        <f t="shared" si="15"/>
        <v>61.892857142857146</v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2069906</v>
      </c>
      <c r="C504" s="240">
        <f>K71</f>
        <v>1449966</v>
      </c>
      <c r="D504" s="240">
        <v>6681</v>
      </c>
      <c r="E504" s="180">
        <f>K59</f>
        <v>4292</v>
      </c>
      <c r="F504" s="263">
        <f t="shared" si="15"/>
        <v>309.8197874569675</v>
      </c>
      <c r="G504" s="263">
        <f t="shared" si="15"/>
        <v>337.82991612301959</v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343110</v>
      </c>
      <c r="C505" s="240">
        <f>L71</f>
        <v>1179711</v>
      </c>
      <c r="D505" s="240">
        <v>1090</v>
      </c>
      <c r="E505" s="180">
        <f>L59</f>
        <v>3800</v>
      </c>
      <c r="F505" s="263">
        <f t="shared" si="15"/>
        <v>314.77981651376149</v>
      </c>
      <c r="G505" s="263">
        <f t="shared" si="15"/>
        <v>310.45026315789471</v>
      </c>
      <c r="H505" s="265" t="str">
        <f t="shared" si="16"/>
        <v/>
      </c>
      <c r="I505" s="267" t="s">
        <v>1278</v>
      </c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49355</v>
      </c>
      <c r="C508" s="240">
        <f>O71</f>
        <v>49341</v>
      </c>
      <c r="D508" s="240">
        <v>73</v>
      </c>
      <c r="E508" s="180">
        <f>O59</f>
        <v>84</v>
      </c>
      <c r="F508" s="263">
        <f t="shared" si="15"/>
        <v>676.09589041095887</v>
      </c>
      <c r="G508" s="263">
        <f t="shared" si="15"/>
        <v>587.39285714285711</v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649838</v>
      </c>
      <c r="C509" s="240">
        <f>P71</f>
        <v>536479</v>
      </c>
      <c r="D509" s="240">
        <v>16785</v>
      </c>
      <c r="E509" s="180">
        <f>P59</f>
        <v>14341</v>
      </c>
      <c r="F509" s="263">
        <f t="shared" si="15"/>
        <v>38.71540065534704</v>
      </c>
      <c r="G509" s="263">
        <f t="shared" si="15"/>
        <v>37.408758106129277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12234</v>
      </c>
      <c r="C510" s="240">
        <f>Q71</f>
        <v>12709</v>
      </c>
      <c r="D510" s="240">
        <v>13982</v>
      </c>
      <c r="E510" s="180">
        <f>Q59</f>
        <v>11084</v>
      </c>
      <c r="F510" s="263">
        <f t="shared" si="15"/>
        <v>0.87498211986840224</v>
      </c>
      <c r="G510" s="263">
        <f t="shared" si="15"/>
        <v>1.1466077228437388</v>
      </c>
      <c r="H510" s="265">
        <f t="shared" si="16"/>
        <v>0.3104356041197609</v>
      </c>
      <c r="I510" s="267" t="s">
        <v>1279</v>
      </c>
      <c r="K510" s="261"/>
      <c r="L510" s="261"/>
    </row>
    <row r="511" spans="1:12" ht="12.6" customHeight="1" x14ac:dyDescent="0.25">
      <c r="A511" s="180" t="s">
        <v>527</v>
      </c>
      <c r="B511" s="240">
        <v>548938</v>
      </c>
      <c r="C511" s="240">
        <f>R71</f>
        <v>559009</v>
      </c>
      <c r="D511" s="240">
        <v>23358</v>
      </c>
      <c r="E511" s="180">
        <f>R59</f>
        <v>20788</v>
      </c>
      <c r="F511" s="263">
        <f t="shared" si="15"/>
        <v>23.501070297114477</v>
      </c>
      <c r="G511" s="263">
        <f t="shared" si="15"/>
        <v>26.890946700019242</v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211870</v>
      </c>
      <c r="C512" s="240">
        <f>S71</f>
        <v>220923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1136732</v>
      </c>
      <c r="C514" s="240">
        <f>U71</f>
        <v>1301686</v>
      </c>
      <c r="D514" s="240">
        <v>200007</v>
      </c>
      <c r="E514" s="180">
        <f>U59</f>
        <v>53118</v>
      </c>
      <c r="F514" s="263">
        <f t="shared" si="17"/>
        <v>5.6834610788622397</v>
      </c>
      <c r="G514" s="263">
        <f t="shared" si="17"/>
        <v>24.505553672954555</v>
      </c>
      <c r="H514" s="265">
        <f t="shared" si="16"/>
        <v>3.3117307100236655</v>
      </c>
      <c r="I514" s="267" t="s">
        <v>1280</v>
      </c>
      <c r="K514" s="261"/>
      <c r="L514" s="261"/>
    </row>
    <row r="515" spans="1:12" ht="12.6" customHeight="1" x14ac:dyDescent="0.25">
      <c r="A515" s="180" t="s">
        <v>531</v>
      </c>
      <c r="B515" s="240">
        <v>2314</v>
      </c>
      <c r="C515" s="240">
        <f>V71</f>
        <v>2140</v>
      </c>
      <c r="D515" s="240"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257967</v>
      </c>
      <c r="C516" s="240">
        <f>W71</f>
        <v>253509</v>
      </c>
      <c r="D516" s="240">
        <v>7397</v>
      </c>
      <c r="E516" s="180">
        <f>W59</f>
        <v>7298.43</v>
      </c>
      <c r="F516" s="263">
        <f t="shared" si="17"/>
        <v>34.874543733946197</v>
      </c>
      <c r="G516" s="263">
        <f t="shared" si="17"/>
        <v>34.734730620147069</v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82050</v>
      </c>
      <c r="C517" s="240">
        <f>X71</f>
        <v>96797</v>
      </c>
      <c r="D517" s="240">
        <v>9324</v>
      </c>
      <c r="E517" s="180">
        <f>X59</f>
        <v>10186.27</v>
      </c>
      <c r="F517" s="263">
        <f t="shared" si="17"/>
        <v>8.7998712998713007</v>
      </c>
      <c r="G517" s="263">
        <f t="shared" si="17"/>
        <v>9.5026933313175483</v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1495624</v>
      </c>
      <c r="C518" s="240">
        <f>Y71</f>
        <v>1502180</v>
      </c>
      <c r="D518" s="240">
        <v>7263</v>
      </c>
      <c r="E518" s="180">
        <f>Y59</f>
        <v>7522.2</v>
      </c>
      <c r="F518" s="263">
        <f t="shared" si="17"/>
        <v>205.92372297948506</v>
      </c>
      <c r="G518" s="263">
        <f t="shared" si="17"/>
        <v>199.69955598096303</v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0</v>
      </c>
      <c r="C519" s="240">
        <f>Z71</f>
        <v>0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45418</v>
      </c>
      <c r="C520" s="240">
        <f>AA71</f>
        <v>58421</v>
      </c>
      <c r="D520" s="240">
        <v>305</v>
      </c>
      <c r="E520" s="180">
        <f>AA59</f>
        <v>366.81</v>
      </c>
      <c r="F520" s="263">
        <f t="shared" si="17"/>
        <v>148.91147540983607</v>
      </c>
      <c r="G520" s="263">
        <f t="shared" si="17"/>
        <v>159.26774079223577</v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1459737</v>
      </c>
      <c r="C521" s="240">
        <f>AB71</f>
        <v>1452083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80963</v>
      </c>
      <c r="C522" s="240">
        <f>AC71</f>
        <v>123846</v>
      </c>
      <c r="D522" s="240">
        <v>1375</v>
      </c>
      <c r="E522" s="180">
        <f>AC59</f>
        <v>1263</v>
      </c>
      <c r="F522" s="263">
        <f t="shared" si="17"/>
        <v>58.88218181818182</v>
      </c>
      <c r="G522" s="263">
        <f t="shared" si="17"/>
        <v>98.057007125890735</v>
      </c>
      <c r="H522" s="265">
        <f t="shared" si="16"/>
        <v>0.66530865701740005</v>
      </c>
      <c r="I522" s="267" t="s">
        <v>1281</v>
      </c>
      <c r="K522" s="261"/>
      <c r="L522" s="261"/>
    </row>
    <row r="523" spans="1:12" ht="12.6" customHeight="1" x14ac:dyDescent="0.25">
      <c r="A523" s="180" t="s">
        <v>539</v>
      </c>
      <c r="B523" s="240">
        <v>0</v>
      </c>
      <c r="C523" s="240">
        <f>AD71</f>
        <v>0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626713</v>
      </c>
      <c r="C524" s="240">
        <f>AE71</f>
        <v>826844</v>
      </c>
      <c r="D524" s="240">
        <v>0</v>
      </c>
      <c r="E524" s="180">
        <f>AE59</f>
        <v>734522</v>
      </c>
      <c r="F524" s="263" t="str">
        <f t="shared" si="17"/>
        <v/>
      </c>
      <c r="G524" s="263">
        <f t="shared" si="17"/>
        <v>1.12568990445487</v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1670548</v>
      </c>
      <c r="C526" s="240">
        <f>AG71</f>
        <v>1744921</v>
      </c>
      <c r="D526" s="240">
        <v>5572</v>
      </c>
      <c r="E526" s="180">
        <f>AG59</f>
        <v>4759</v>
      </c>
      <c r="F526" s="263">
        <f t="shared" si="17"/>
        <v>299.81119885139987</v>
      </c>
      <c r="G526" s="263">
        <f t="shared" si="17"/>
        <v>366.65707081319607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345896</v>
      </c>
      <c r="C527" s="240">
        <f>AH71</f>
        <v>412576</v>
      </c>
      <c r="D527" s="240">
        <v>596</v>
      </c>
      <c r="E527" s="180">
        <f>AH59</f>
        <v>733</v>
      </c>
      <c r="F527" s="263">
        <f t="shared" si="17"/>
        <v>580.3624161073825</v>
      </c>
      <c r="G527" s="263">
        <f t="shared" si="17"/>
        <v>562.85948158253757</v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61507</v>
      </c>
      <c r="C528" s="240">
        <f>AI71</f>
        <v>56329</v>
      </c>
      <c r="D528" s="240">
        <v>219</v>
      </c>
      <c r="E528" s="180">
        <f>AI59</f>
        <v>232</v>
      </c>
      <c r="F528" s="263">
        <f t="shared" ref="F528:G540" si="18">IF(B528=0,"",IF(D528=0,"",B528/D528))</f>
        <v>280.85388127853884</v>
      </c>
      <c r="G528" s="263">
        <f t="shared" si="18"/>
        <v>242.79741379310346</v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5157542</v>
      </c>
      <c r="C529" s="240">
        <f>AJ71</f>
        <v>4892003</v>
      </c>
      <c r="D529" s="240">
        <v>24206</v>
      </c>
      <c r="E529" s="180">
        <f>AJ59</f>
        <v>19470</v>
      </c>
      <c r="F529" s="263">
        <f t="shared" si="18"/>
        <v>213.06874328678839</v>
      </c>
      <c r="G529" s="263">
        <f t="shared" si="18"/>
        <v>251.25850025680535</v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0</v>
      </c>
      <c r="C530" s="240">
        <f>AK71</f>
        <v>0</v>
      </c>
      <c r="D530" s="240"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0</v>
      </c>
      <c r="C531" s="240">
        <f>AL71</f>
        <v>0</v>
      </c>
      <c r="D531" s="240"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1504611</v>
      </c>
      <c r="C540" s="240">
        <f>AU71</f>
        <v>1484313</v>
      </c>
      <c r="D540" s="240">
        <v>30124</v>
      </c>
      <c r="E540" s="180">
        <f>AU59</f>
        <v>25438</v>
      </c>
      <c r="F540" s="263">
        <f t="shared" si="18"/>
        <v>49.947251361041033</v>
      </c>
      <c r="G540" s="263">
        <f t="shared" si="18"/>
        <v>58.350224074219675</v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471520</v>
      </c>
      <c r="C541" s="240">
        <f>AV71</f>
        <v>348847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849458</v>
      </c>
      <c r="C544" s="240">
        <f>AY71</f>
        <v>857705</v>
      </c>
      <c r="D544" s="240">
        <v>150970</v>
      </c>
      <c r="E544" s="180">
        <f>AY59</f>
        <v>145630</v>
      </c>
      <c r="F544" s="263">
        <f t="shared" ref="F544:G550" si="19">IF(B544=0,"",IF(D544=0,"",B544/D544))</f>
        <v>5.6266675498443401</v>
      </c>
      <c r="G544" s="263">
        <f t="shared" si="19"/>
        <v>5.8896175238618413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7218</v>
      </c>
      <c r="C545" s="240">
        <f>AZ71</f>
        <v>6674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168700</v>
      </c>
      <c r="C546" s="240">
        <f>BA71</f>
        <v>212110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190514</v>
      </c>
      <c r="C547" s="240">
        <f>BB71</f>
        <v>171262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95311</v>
      </c>
      <c r="C549" s="240">
        <f>BD71</f>
        <v>101056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959679</v>
      </c>
      <c r="C550" s="240">
        <f>BE71</f>
        <v>985801</v>
      </c>
      <c r="D550" s="240">
        <v>56157</v>
      </c>
      <c r="E550" s="180">
        <f>BE59</f>
        <v>56157</v>
      </c>
      <c r="F550" s="263">
        <f t="shared" si="19"/>
        <v>17.089214167423474</v>
      </c>
      <c r="G550" s="263">
        <f t="shared" si="19"/>
        <v>17.554374343358798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556793</v>
      </c>
      <c r="C551" s="240">
        <f>BF71</f>
        <v>573385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1061556</v>
      </c>
      <c r="C553" s="240">
        <f>BH71</f>
        <v>1072587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467907</v>
      </c>
      <c r="C555" s="240">
        <f>BJ71</f>
        <v>323021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708699</v>
      </c>
      <c r="C556" s="240">
        <f>BK71</f>
        <v>746780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300199</v>
      </c>
      <c r="C557" s="240">
        <f>BL71</f>
        <v>301992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984132</v>
      </c>
      <c r="C559" s="240">
        <f>BN71</f>
        <v>1033893.29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271155</v>
      </c>
      <c r="C563" s="240">
        <f>BR71</f>
        <v>258436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302201</v>
      </c>
      <c r="C567" s="240">
        <f>BV71</f>
        <v>296657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6850</v>
      </c>
      <c r="C569" s="240">
        <f>BX71</f>
        <v>201040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352177</v>
      </c>
      <c r="C570" s="240">
        <f>BY71</f>
        <v>239315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124752</v>
      </c>
      <c r="C572" s="240">
        <f>CA71</f>
        <v>91907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1529</v>
      </c>
      <c r="C573" s="240">
        <f>CB71</f>
        <v>502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4234</v>
      </c>
      <c r="C574" s="240">
        <f>CC71</f>
        <v>12169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-1849272.51</v>
      </c>
      <c r="C575" s="240">
        <f>CD71</f>
        <v>-1503263.9899999998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54393</v>
      </c>
      <c r="E612" s="180">
        <f>SUM(C624:D647)+SUM(C668:D713)</f>
        <v>24540072.165666174</v>
      </c>
      <c r="F612" s="180">
        <f>CE64-(AX64+BD64+BE64+BG64+BJ64+BN64+BP64+BQ64+CB64+CC64+CD64)</f>
        <v>2560093</v>
      </c>
      <c r="G612" s="180">
        <f>CE77-(AX77+AY77+BD77+BE77+BG77+BJ77+BN77+BP77+BQ77+CB77+CC77+CD77)</f>
        <v>145630</v>
      </c>
      <c r="H612" s="197">
        <f>CE60-(AX60+AY60+AZ60+BD60+BE60+BG60+BJ60+BN60+BO60+BP60+BQ60+BR60+CB60+CC60+CD60)</f>
        <v>185.21000000000004</v>
      </c>
      <c r="I612" s="180">
        <f>CE78-(AX78+AY78+AZ78+BD78+BE78+BF78+BG78+BJ78+BN78+BO78+BP78+BQ78+BR78+CB78+CC78+CD78)</f>
        <v>45297</v>
      </c>
      <c r="J612" s="180">
        <f>CE79-(AX79+AY79+AZ79+BA79+BD79+BE79+BF79+BG79+BJ79+BN79+BO79+BP79+BQ79+BR79+CB79+CC79+CD79)</f>
        <v>1</v>
      </c>
      <c r="K612" s="180">
        <f>CE75-(AW75+AX75+AY75+AZ75+BA75+BB75+BC75+BD75+BE75+BF75+BG75+BH75+BI75+BJ75+BK75+BL75+BM75+BN75+BO75+BP75+BQ75+BR75+BS75+BT75+BU75+BV75+BW75+BX75+CB75+CC75+CD75)</f>
        <v>44307496</v>
      </c>
      <c r="L612" s="197">
        <f>CE80-(AW80+AX80+AY80+AZ80+BA80+BB80+BC80+BD80+BE80+BF80+BG80+BH80+BI80+BJ80+BK80+BL80+BM80+BN80+BO80+BP80+BQ80+BR80+BS80+BT80+BU80+BV80+BW80+BX80+BY80+BZ80+CA80+CB80+CC80+CD80)</f>
        <v>36.970000000000006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985801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-1503263.9899999998</v>
      </c>
      <c r="D615" s="266">
        <f>SUM(C614:C615)</f>
        <v>-517462.98999999976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323021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1033893.29</v>
      </c>
      <c r="D619" s="180">
        <f>(D615/D612)*BN76</f>
        <v>-63597.155666170256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12169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502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1305988.1343338299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101056</v>
      </c>
      <c r="D624" s="180">
        <f>(D615/D612)*BD76</f>
        <v>-951.34114683874725</v>
      </c>
      <c r="E624" s="180">
        <f>(E623/E612)*SUM(C624:D624)</f>
        <v>5327.4291848528301</v>
      </c>
      <c r="F624" s="180">
        <f>SUM(C624:E624)</f>
        <v>105432.08803801407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857705</v>
      </c>
      <c r="D625" s="180">
        <f>(D615/D612)*AY76</f>
        <v>-10027.135687680397</v>
      </c>
      <c r="E625" s="180">
        <f>(E623/E612)*SUM(C625:D625)</f>
        <v>45112.224000637085</v>
      </c>
      <c r="F625" s="180">
        <f>(F624/F612)*AY64</f>
        <v>11992.629082233283</v>
      </c>
      <c r="G625" s="180">
        <f>SUM(C625:F625)</f>
        <v>904782.71739518992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258436</v>
      </c>
      <c r="D626" s="180">
        <f>(D615/D612)*BR76</f>
        <v>-3862.4450561653139</v>
      </c>
      <c r="E626" s="180">
        <f>(E623/E612)*SUM(C626:D626)</f>
        <v>13548.046632763602</v>
      </c>
      <c r="F626" s="180">
        <f>(F624/F612)*BR64</f>
        <v>119.47163145959105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6674</v>
      </c>
      <c r="D628" s="180">
        <f>(D615/D612)*AZ76</f>
        <v>-7001.8708407331796</v>
      </c>
      <c r="E628" s="180">
        <f>(E623/E612)*SUM(C628:D628)</f>
        <v>-17.448825117583578</v>
      </c>
      <c r="F628" s="180">
        <f>(F624/F612)*AZ64</f>
        <v>0</v>
      </c>
      <c r="G628" s="180">
        <f>(G625/G612)*AZ77</f>
        <v>904782.71739518992</v>
      </c>
      <c r="H628" s="180">
        <f>SUM(C626:G628)</f>
        <v>1172678.4709373971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573385</v>
      </c>
      <c r="D629" s="180">
        <f>(D615/D612)*BF76</f>
        <v>-1094.0423188645593</v>
      </c>
      <c r="E629" s="180">
        <f>(E623/E612)*SUM(C629:D629)</f>
        <v>30456.520057173901</v>
      </c>
      <c r="F629" s="180">
        <f>(F624/F612)*BF64</f>
        <v>2808.3452231962888</v>
      </c>
      <c r="G629" s="180">
        <f>(G625/G612)*BF77</f>
        <v>0</v>
      </c>
      <c r="H629" s="180">
        <f>(H628/H612)*BF60</f>
        <v>79651.72055716459</v>
      </c>
      <c r="I629" s="180">
        <f>SUM(C629:H629)</f>
        <v>685207.54351867025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212110</v>
      </c>
      <c r="D630" s="180">
        <f>(D615/D612)*BA76</f>
        <v>-7106.5183668854415</v>
      </c>
      <c r="E630" s="180">
        <f>(E623/E612)*SUM(C630:D630)</f>
        <v>10909.997032712594</v>
      </c>
      <c r="F630" s="180">
        <f>(F624/F612)*BA64</f>
        <v>608.27162932028955</v>
      </c>
      <c r="G630" s="180">
        <f>(G625/G612)*BA77</f>
        <v>0</v>
      </c>
      <c r="H630" s="180">
        <f>(H628/H612)*BA60</f>
        <v>4432.1307146275994</v>
      </c>
      <c r="I630" s="180">
        <f>(I629/I612)*BA78</f>
        <v>11299.866106109603</v>
      </c>
      <c r="J630" s="180">
        <f>SUM(C630:I630)</f>
        <v>232253.74711588465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171262</v>
      </c>
      <c r="D632" s="180">
        <f>(D615/D612)*BB76</f>
        <v>-951.34114683874725</v>
      </c>
      <c r="E632" s="180">
        <f>(E623/E612)*SUM(C632:D632)</f>
        <v>9063.6937866872595</v>
      </c>
      <c r="F632" s="180">
        <f>(F624/F612)*BB64</f>
        <v>26.645344899812276</v>
      </c>
      <c r="G632" s="180">
        <f>(G625/G612)*BB77</f>
        <v>0</v>
      </c>
      <c r="H632" s="180">
        <f>(H628/H612)*BB60</f>
        <v>10573.79756204013</v>
      </c>
      <c r="I632" s="180">
        <f>(I629/I612)*BB78</f>
        <v>1512.6996125983403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746780</v>
      </c>
      <c r="D635" s="180">
        <f>(D615/D612)*BK76</f>
        <v>-17542.730747706501</v>
      </c>
      <c r="E635" s="180">
        <f>(E623/E612)*SUM(C635:D635)</f>
        <v>38808.982073408915</v>
      </c>
      <c r="F635" s="180">
        <f>(F624/F612)*BK64</f>
        <v>620.75005204771321</v>
      </c>
      <c r="G635" s="180">
        <f>(G625/G612)*BK77</f>
        <v>0</v>
      </c>
      <c r="H635" s="180">
        <f>(H628/H612)*BK60</f>
        <v>78891.926720371281</v>
      </c>
      <c r="I635" s="180">
        <f>(I629/I612)*BK78</f>
        <v>27894.180856313396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1072587</v>
      </c>
      <c r="D636" s="180">
        <f>(D615/D612)*BH76</f>
        <v>-3386.7744827459401</v>
      </c>
      <c r="E636" s="180">
        <f>(E623/E612)*SUM(C636:D636)</f>
        <v>56901.332576610323</v>
      </c>
      <c r="F636" s="180">
        <f>(F624/F612)*BH64</f>
        <v>1026.484113798796</v>
      </c>
      <c r="G636" s="180">
        <f>(G625/G612)*BH77</f>
        <v>0</v>
      </c>
      <c r="H636" s="180">
        <f>(H628/H612)*BH60</f>
        <v>18171.735929973162</v>
      </c>
      <c r="I636" s="180">
        <f>(I629/I612)*BH78</f>
        <v>5385.2106208500918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301992</v>
      </c>
      <c r="D637" s="180">
        <f>(D615/D612)*BL76</f>
        <v>-1407.9848973213459</v>
      </c>
      <c r="E637" s="180">
        <f>(E623/E612)*SUM(C637:D637)</f>
        <v>15996.658626120325</v>
      </c>
      <c r="F637" s="180">
        <f>(F624/F612)*BL64</f>
        <v>242.48499346227928</v>
      </c>
      <c r="G637" s="180">
        <f>(G625/G612)*BL77</f>
        <v>0</v>
      </c>
      <c r="H637" s="180">
        <f>(H628/H612)*BL60</f>
        <v>32481.186522913697</v>
      </c>
      <c r="I637" s="180">
        <f>(I629/I612)*BL78</f>
        <v>2238.7954266455436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296657</v>
      </c>
      <c r="D642" s="180">
        <f>(D615/D612)*BV76</f>
        <v>-5822.2078186531335</v>
      </c>
      <c r="E642" s="180">
        <f>(E623/E612)*SUM(C642:D642)</f>
        <v>15477.81869083894</v>
      </c>
      <c r="F642" s="180">
        <f>(F624/F612)*BV64</f>
        <v>231.28324104690225</v>
      </c>
      <c r="G642" s="180">
        <f>(G625/G612)*BV77</f>
        <v>0</v>
      </c>
      <c r="H642" s="180">
        <f>(H628/H612)*BV60</f>
        <v>21400.859736344697</v>
      </c>
      <c r="I642" s="180">
        <f>(I629/I612)*BV78</f>
        <v>9257.7216291018431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201040</v>
      </c>
      <c r="D644" s="180">
        <f>(D615/D612)*BX76</f>
        <v>0</v>
      </c>
      <c r="E644" s="180">
        <f>(E623/E612)*SUM(C644:D644)</f>
        <v>10699.066113334949</v>
      </c>
      <c r="F644" s="180">
        <f>(F624/F612)*BX64</f>
        <v>65.357283394129965</v>
      </c>
      <c r="G644" s="180">
        <f>(G625/G612)*BX77</f>
        <v>0</v>
      </c>
      <c r="H644" s="180">
        <f>(H628/H612)*BX60</f>
        <v>8041.1514393957887</v>
      </c>
      <c r="I644" s="180">
        <f>(I629/I612)*BX78</f>
        <v>0</v>
      </c>
      <c r="J644" s="180">
        <f>(J630/J612)*BX79</f>
        <v>0</v>
      </c>
      <c r="K644" s="180">
        <f>SUM(C631:J644)</f>
        <v>3126216.7838589326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239315</v>
      </c>
      <c r="D645" s="180">
        <f>(D615/D612)*BY76</f>
        <v>-1997.8164083613692</v>
      </c>
      <c r="E645" s="180">
        <f>(E623/E612)*SUM(C645:D645)</f>
        <v>12629.686813954386</v>
      </c>
      <c r="F645" s="180">
        <f>(F624/F612)*BY64</f>
        <v>30.104709616325771</v>
      </c>
      <c r="G645" s="180">
        <f>(G625/G612)*BY77</f>
        <v>0</v>
      </c>
      <c r="H645" s="180">
        <f>(H628/H612)*BY60</f>
        <v>14246.13443987443</v>
      </c>
      <c r="I645" s="180">
        <f>(I629/I612)*BY78</f>
        <v>3176.6691864565146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91907</v>
      </c>
      <c r="D647" s="180">
        <f>(D615/D612)*CA76</f>
        <v>0</v>
      </c>
      <c r="E647" s="180">
        <f>(E623/E612)*SUM(C647:D647)</f>
        <v>4891.1613075918976</v>
      </c>
      <c r="F647" s="180">
        <f>(F624/F612)*CA64</f>
        <v>55.926396250301501</v>
      </c>
      <c r="G647" s="180">
        <f>(G625/G612)*CA77</f>
        <v>0</v>
      </c>
      <c r="H647" s="180">
        <f>(H628/H612)*CA60</f>
        <v>5318.5568575531197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369572.42330293567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5983028.3000000007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1293200</v>
      </c>
      <c r="D670" s="180">
        <f>(D615/D612)*E76</f>
        <v>-25201.026979758415</v>
      </c>
      <c r="E670" s="180">
        <f>(E623/E612)*SUM(C670:D670)</f>
        <v>67481.122383527574</v>
      </c>
      <c r="F670" s="180">
        <f>(F624/F612)*E64</f>
        <v>2766.0915541588738</v>
      </c>
      <c r="G670" s="180">
        <f>(G625/G612)*E77</f>
        <v>0</v>
      </c>
      <c r="H670" s="180">
        <f>(H628/H612)*E60</f>
        <v>69964.349138049976</v>
      </c>
      <c r="I670" s="180">
        <f>(I629/I612)*E78</f>
        <v>40071.412737730032</v>
      </c>
      <c r="J670" s="180">
        <f>(J630/J612)*E79</f>
        <v>232253.74711588465</v>
      </c>
      <c r="K670" s="180">
        <f>(K644/K612)*E75</f>
        <v>176935.52490188275</v>
      </c>
      <c r="L670" s="180">
        <f>(L647/L612)*E80</f>
        <v>68876.223872253904</v>
      </c>
      <c r="M670" s="180">
        <f t="shared" si="20"/>
        <v>633147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5199</v>
      </c>
      <c r="D675" s="180">
        <f>(D615/D612)*J76</f>
        <v>-1588.7397152207079</v>
      </c>
      <c r="E675" s="180">
        <f>(E623/E612)*SUM(C675:D675)</f>
        <v>192.13297589137042</v>
      </c>
      <c r="F675" s="180">
        <f>(F624/F612)*J64</f>
        <v>56.297042469927945</v>
      </c>
      <c r="G675" s="180">
        <f>(G625/G612)*J77</f>
        <v>0</v>
      </c>
      <c r="H675" s="180">
        <f>(H628/H612)*J60</f>
        <v>0</v>
      </c>
      <c r="I675" s="180">
        <f>(I629/I612)*J78</f>
        <v>2526.2083530392283</v>
      </c>
      <c r="J675" s="180">
        <f>(J630/J612)*J79</f>
        <v>0</v>
      </c>
      <c r="K675" s="180">
        <f>(K644/K612)*J75</f>
        <v>5244.9466077915486</v>
      </c>
      <c r="L675" s="180">
        <f>(L647/L612)*J80</f>
        <v>0</v>
      </c>
      <c r="M675" s="180">
        <f t="shared" si="20"/>
        <v>6431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1449966</v>
      </c>
      <c r="D676" s="180">
        <f>(D615/D612)*K76</f>
        <v>-22993.915519092519</v>
      </c>
      <c r="E676" s="180">
        <f>(E623/E612)*SUM(C676:D676)</f>
        <v>75941.447839955305</v>
      </c>
      <c r="F676" s="180">
        <f>(F624/F612)*K64</f>
        <v>2403.3112709711668</v>
      </c>
      <c r="G676" s="180">
        <f>(G625/G612)*K77</f>
        <v>0</v>
      </c>
      <c r="H676" s="180">
        <f>(H628/H612)*K60</f>
        <v>111626.37785554941</v>
      </c>
      <c r="I676" s="180">
        <f>(I629/I612)*K78</f>
        <v>36561.949636501886</v>
      </c>
      <c r="J676" s="180">
        <f>(J630/J612)*K79</f>
        <v>0</v>
      </c>
      <c r="K676" s="180">
        <f>(K644/K612)*K75</f>
        <v>68234.754362662425</v>
      </c>
      <c r="L676" s="180">
        <f>(L647/L612)*K80</f>
        <v>66676.983051949705</v>
      </c>
      <c r="M676" s="180">
        <f t="shared" si="20"/>
        <v>338451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1179711</v>
      </c>
      <c r="D677" s="180">
        <f>(D615/D612)*L76</f>
        <v>-16515.282309120652</v>
      </c>
      <c r="E677" s="180">
        <f>(E623/E612)*SUM(C677:D677)</f>
        <v>61903.640501008813</v>
      </c>
      <c r="F677" s="180">
        <f>(F624/F612)*L64</f>
        <v>1605.2687772021372</v>
      </c>
      <c r="G677" s="180">
        <f>(G625/G612)*L77</f>
        <v>0</v>
      </c>
      <c r="H677" s="180">
        <f>(H628/H612)*L60</f>
        <v>92948.112701047387</v>
      </c>
      <c r="I677" s="180">
        <f>(I629/I612)*L78</f>
        <v>26260.465274707189</v>
      </c>
      <c r="J677" s="180">
        <f>(J630/J612)*L79</f>
        <v>0</v>
      </c>
      <c r="K677" s="180">
        <f>(K644/K612)*L75</f>
        <v>151017.50439661084</v>
      </c>
      <c r="L677" s="180">
        <f>(L647/L612)*L80</f>
        <v>57480.157803404916</v>
      </c>
      <c r="M677" s="180">
        <f t="shared" si="20"/>
        <v>374700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49341</v>
      </c>
      <c r="D680" s="180">
        <f>(D615/D612)*O76</f>
        <v>-5004.0544323718104</v>
      </c>
      <c r="E680" s="180">
        <f>(E623/E612)*SUM(C680:D680)</f>
        <v>2359.5498999770539</v>
      </c>
      <c r="F680" s="180">
        <f>(F624/F612)*O64</f>
        <v>211.72135723328427</v>
      </c>
      <c r="G680" s="180">
        <f>(G625/G612)*O77</f>
        <v>0</v>
      </c>
      <c r="H680" s="180">
        <f>(H628/H612)*O60</f>
        <v>1772.8522858510403</v>
      </c>
      <c r="I680" s="180">
        <f>(I629/I612)*O78</f>
        <v>7956.7999622672705</v>
      </c>
      <c r="J680" s="180">
        <f>(J630/J612)*O79</f>
        <v>0</v>
      </c>
      <c r="K680" s="180">
        <f>(K644/K612)*O75</f>
        <v>11131.329526541891</v>
      </c>
      <c r="L680" s="180">
        <f>(L647/L612)*O80</f>
        <v>2399.171803968205</v>
      </c>
      <c r="M680" s="180">
        <f t="shared" si="20"/>
        <v>20827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536479</v>
      </c>
      <c r="D681" s="180">
        <f>(D615/D612)*P76</f>
        <v>-57280.250451160973</v>
      </c>
      <c r="E681" s="180">
        <f>(E623/E612)*SUM(C681:D681)</f>
        <v>25502.283639327823</v>
      </c>
      <c r="F681" s="180">
        <f>(F624/F612)*P64</f>
        <v>3498.7767645337735</v>
      </c>
      <c r="G681" s="180">
        <f>(G625/G612)*P77</f>
        <v>0</v>
      </c>
      <c r="H681" s="180">
        <f>(H628/H612)*P60</f>
        <v>22603.866644600759</v>
      </c>
      <c r="I681" s="180">
        <f>(I629/I612)*P78</f>
        <v>91079.643674546067</v>
      </c>
      <c r="J681" s="180">
        <f>(J630/J612)*P79</f>
        <v>0</v>
      </c>
      <c r="K681" s="180">
        <f>(K644/K612)*P75</f>
        <v>141758.6241958004</v>
      </c>
      <c r="L681" s="180">
        <f>(L647/L612)*P80</f>
        <v>19093.408939913636</v>
      </c>
      <c r="M681" s="180">
        <f t="shared" si="20"/>
        <v>246256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12709</v>
      </c>
      <c r="D682" s="180">
        <f>(D615/D612)*Q76</f>
        <v>0</v>
      </c>
      <c r="E682" s="180">
        <f>(E623/E612)*SUM(C682:D682)</f>
        <v>676.35510960193926</v>
      </c>
      <c r="F682" s="180">
        <f>(F624/F612)*Q64</f>
        <v>0</v>
      </c>
      <c r="G682" s="180">
        <f>(G625/G612)*Q77</f>
        <v>0</v>
      </c>
      <c r="H682" s="180">
        <f>(H628/H612)*Q60</f>
        <v>759.79383679330283</v>
      </c>
      <c r="I682" s="180">
        <f>(I629/I612)*Q78</f>
        <v>0</v>
      </c>
      <c r="J682" s="180">
        <f>(J630/J612)*Q79</f>
        <v>0</v>
      </c>
      <c r="K682" s="180">
        <f>(K644/K612)*Q75</f>
        <v>15342.964642309289</v>
      </c>
      <c r="L682" s="180">
        <f>(L647/L612)*Q80</f>
        <v>299.89647549602563</v>
      </c>
      <c r="M682" s="180">
        <f t="shared" si="20"/>
        <v>17079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559009</v>
      </c>
      <c r="D683" s="180">
        <f>(D615/D612)*R76</f>
        <v>0</v>
      </c>
      <c r="E683" s="180">
        <f>(E623/E612)*SUM(C683:D683)</f>
        <v>29749.672945430048</v>
      </c>
      <c r="F683" s="180">
        <f>(F624/F612)*R64</f>
        <v>1063.4251870215651</v>
      </c>
      <c r="G683" s="180">
        <f>(G625/G612)*R77</f>
        <v>0</v>
      </c>
      <c r="H683" s="180">
        <f>(H628/H612)*R60</f>
        <v>6458.2476127430746</v>
      </c>
      <c r="I683" s="180">
        <f>(I629/I612)*R78</f>
        <v>0</v>
      </c>
      <c r="J683" s="180">
        <f>(J630/J612)*R79</f>
        <v>0</v>
      </c>
      <c r="K683" s="180">
        <f>(K644/K612)*R75</f>
        <v>93837.031001303534</v>
      </c>
      <c r="L683" s="180">
        <f>(L647/L612)*R80</f>
        <v>10196.480166864872</v>
      </c>
      <c r="M683" s="180">
        <f t="shared" si="20"/>
        <v>141305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220923</v>
      </c>
      <c r="D684" s="180">
        <f>(D615/D612)*S76</f>
        <v>-14365.251317265083</v>
      </c>
      <c r="E684" s="180">
        <f>(E623/E612)*SUM(C684:D684)</f>
        <v>10992.712939605082</v>
      </c>
      <c r="F684" s="180">
        <f>(F624/F612)*S64</f>
        <v>5184.5993201347246</v>
      </c>
      <c r="G684" s="180">
        <f>(G625/G612)*S77</f>
        <v>0</v>
      </c>
      <c r="H684" s="180">
        <f>(H628/H612)*S60</f>
        <v>12726.546766287822</v>
      </c>
      <c r="I684" s="180">
        <f>(I629/I612)*S78</f>
        <v>22841.76415023494</v>
      </c>
      <c r="J684" s="180">
        <f>(J630/J612)*S79</f>
        <v>0</v>
      </c>
      <c r="K684" s="180">
        <f>(K644/K612)*S75</f>
        <v>47489.359244333667</v>
      </c>
      <c r="L684" s="180">
        <f>(L647/L612)*S80</f>
        <v>11196.13508518496</v>
      </c>
      <c r="M684" s="180">
        <f t="shared" si="20"/>
        <v>96066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1301686</v>
      </c>
      <c r="D686" s="180">
        <f>(D615/D612)*U76</f>
        <v>-11986.898450168215</v>
      </c>
      <c r="E686" s="180">
        <f>(E623/E612)*SUM(C686:D686)</f>
        <v>68635.972710855218</v>
      </c>
      <c r="F686" s="180">
        <f>(F624/F612)*U64</f>
        <v>15467.396208317921</v>
      </c>
      <c r="G686" s="180">
        <f>(G625/G612)*U77</f>
        <v>0</v>
      </c>
      <c r="H686" s="180">
        <f>(H628/H612)*U60</f>
        <v>45524.314054532064</v>
      </c>
      <c r="I686" s="180">
        <f>(I629/I612)*U78</f>
        <v>19060.015118739087</v>
      </c>
      <c r="J686" s="180">
        <f>(J630/J612)*U79</f>
        <v>0</v>
      </c>
      <c r="K686" s="180">
        <f>(K644/K612)*U75</f>
        <v>412011.10232447594</v>
      </c>
      <c r="L686" s="180">
        <f>(L647/L612)*U80</f>
        <v>0</v>
      </c>
      <c r="M686" s="180">
        <f t="shared" si="20"/>
        <v>548712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2140</v>
      </c>
      <c r="D687" s="180">
        <f>(D615/D612)*V76</f>
        <v>-2245.1651065394435</v>
      </c>
      <c r="E687" s="180">
        <f>(E623/E612)*SUM(C687:D687)</f>
        <v>-5.5967390951125138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3569.9710857320833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1319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253509</v>
      </c>
      <c r="D688" s="180">
        <f>(D615/D612)*W76</f>
        <v>0</v>
      </c>
      <c r="E688" s="180">
        <f>(E623/E612)*SUM(C688:D688)</f>
        <v>13491.392515546308</v>
      </c>
      <c r="F688" s="180">
        <f>(F624/F612)*W64</f>
        <v>226.58838893163392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129066.3557728399</v>
      </c>
      <c r="L688" s="180">
        <f>(L647/L612)*W80</f>
        <v>0</v>
      </c>
      <c r="M688" s="180">
        <f t="shared" si="20"/>
        <v>142784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96797</v>
      </c>
      <c r="D689" s="180">
        <f>(D615/D612)*X76</f>
        <v>0</v>
      </c>
      <c r="E689" s="180">
        <f>(E623/E612)*SUM(C689:D689)</f>
        <v>5151.4002316577953</v>
      </c>
      <c r="F689" s="180">
        <f>(F624/F612)*X64</f>
        <v>546.78553977559136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262711.45623420255</v>
      </c>
      <c r="L689" s="180">
        <f>(L647/L612)*X80</f>
        <v>0</v>
      </c>
      <c r="M689" s="180">
        <f t="shared" si="20"/>
        <v>268410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1502180</v>
      </c>
      <c r="D690" s="180">
        <f>(D615/D612)*Y76</f>
        <v>-23697.907967753195</v>
      </c>
      <c r="E690" s="180">
        <f>(E623/E612)*SUM(C690:D690)</f>
        <v>78682.738012508824</v>
      </c>
      <c r="F690" s="180">
        <f>(F624/F612)*Y64</f>
        <v>617.41423607107515</v>
      </c>
      <c r="G690" s="180">
        <f>(G625/G612)*Y77</f>
        <v>0</v>
      </c>
      <c r="H690" s="180">
        <f>(H628/H612)*Y60</f>
        <v>55844.847004307761</v>
      </c>
      <c r="I690" s="180">
        <f>(I629/I612)*Y78</f>
        <v>37681.34734982466</v>
      </c>
      <c r="J690" s="180">
        <f>(J630/J612)*Y79</f>
        <v>0</v>
      </c>
      <c r="K690" s="180">
        <f>(K644/K612)*Y75</f>
        <v>330249.52792890684</v>
      </c>
      <c r="L690" s="180">
        <f>(L647/L612)*Y80</f>
        <v>0</v>
      </c>
      <c r="M690" s="180">
        <f t="shared" si="20"/>
        <v>479378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58421</v>
      </c>
      <c r="D692" s="180">
        <f>(D615/D612)*AA76</f>
        <v>0</v>
      </c>
      <c r="E692" s="180">
        <f>(E623/E612)*SUM(C692:D692)</f>
        <v>3109.0834729762291</v>
      </c>
      <c r="F692" s="180">
        <f>(F624/F612)*AA64</f>
        <v>207.39715133764238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15834.960615944277</v>
      </c>
      <c r="L692" s="180">
        <f>(L647/L612)*AA80</f>
        <v>0</v>
      </c>
      <c r="M692" s="180">
        <f t="shared" si="20"/>
        <v>19151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1452083</v>
      </c>
      <c r="D693" s="180">
        <f>(D615/D612)*AB76</f>
        <v>-3748.2841185446641</v>
      </c>
      <c r="E693" s="180">
        <f>(E623/E612)*SUM(C693:D693)</f>
        <v>77078.337044637286</v>
      </c>
      <c r="F693" s="180">
        <f>(F624/F612)*AB64</f>
        <v>40674.510227239713</v>
      </c>
      <c r="G693" s="180">
        <f>(G625/G612)*AB77</f>
        <v>0</v>
      </c>
      <c r="H693" s="180">
        <f>(H628/H612)*AB60</f>
        <v>16968.729021717099</v>
      </c>
      <c r="I693" s="180">
        <f>(I629/I612)*AB78</f>
        <v>5960.0364736374613</v>
      </c>
      <c r="J693" s="180">
        <f>(J630/J612)*AB79</f>
        <v>0</v>
      </c>
      <c r="K693" s="180">
        <f>(K644/K612)*AB75</f>
        <v>191128.12351032643</v>
      </c>
      <c r="L693" s="180">
        <f>(L647/L612)*AB80</f>
        <v>0</v>
      </c>
      <c r="M693" s="180">
        <f t="shared" si="20"/>
        <v>328061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123846</v>
      </c>
      <c r="D694" s="180">
        <f>(D615/D612)*AC76</f>
        <v>-7154.085424227379</v>
      </c>
      <c r="E694" s="180">
        <f>(E623/E612)*SUM(C694:D694)</f>
        <v>6210.1796107134178</v>
      </c>
      <c r="F694" s="180">
        <f>(F624/F612)*AC64</f>
        <v>130.54983513509259</v>
      </c>
      <c r="G694" s="180">
        <f>(G625/G612)*AC77</f>
        <v>0</v>
      </c>
      <c r="H694" s="180">
        <f>(H628/H612)*AC60</f>
        <v>6711.5122250075092</v>
      </c>
      <c r="I694" s="180">
        <f>(I629/I612)*AC78</f>
        <v>11375.501086739519</v>
      </c>
      <c r="J694" s="180">
        <f>(J630/J612)*AC79</f>
        <v>0</v>
      </c>
      <c r="K694" s="180">
        <f>(K644/K612)*AC75</f>
        <v>13615.651659295072</v>
      </c>
      <c r="L694" s="180">
        <f>(L647/L612)*AC80</f>
        <v>4498.4471324403848</v>
      </c>
      <c r="M694" s="180">
        <f t="shared" si="20"/>
        <v>35388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826844</v>
      </c>
      <c r="D696" s="180">
        <f>(D615/D612)*AE76</f>
        <v>-28502.180759288869</v>
      </c>
      <c r="E696" s="180">
        <f>(E623/E612)*SUM(C696:D696)</f>
        <v>42486.629054399462</v>
      </c>
      <c r="F696" s="180">
        <f>(F624/F612)*AE64</f>
        <v>822.38159552449974</v>
      </c>
      <c r="G696" s="180">
        <f>(G625/G612)*AE77</f>
        <v>0</v>
      </c>
      <c r="H696" s="180">
        <f>(H628/H612)*AE60</f>
        <v>41978.609482829983</v>
      </c>
      <c r="I696" s="180">
        <f>(I629/I612)*AE78</f>
        <v>45320.480393446276</v>
      </c>
      <c r="J696" s="180">
        <f>(J630/J612)*AE79</f>
        <v>0</v>
      </c>
      <c r="K696" s="180">
        <f>(K644/K612)*AE75</f>
        <v>203014.55713981422</v>
      </c>
      <c r="L696" s="180">
        <f>(L647/L612)*AE80</f>
        <v>0</v>
      </c>
      <c r="M696" s="180">
        <f t="shared" si="20"/>
        <v>305120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1744921</v>
      </c>
      <c r="D698" s="180">
        <f>(D615/D612)*AG76</f>
        <v>-15002.649885647044</v>
      </c>
      <c r="E698" s="180">
        <f>(E623/E612)*SUM(C698:D698)</f>
        <v>92063.822117711796</v>
      </c>
      <c r="F698" s="180">
        <f>(F624/F612)*AG64</f>
        <v>2596.7474147028797</v>
      </c>
      <c r="G698" s="180">
        <f>(G625/G612)*AG77</f>
        <v>0</v>
      </c>
      <c r="H698" s="180">
        <f>(H628/H612)*AG60</f>
        <v>37546.478768202382</v>
      </c>
      <c r="I698" s="180">
        <f>(I629/I612)*AG78</f>
        <v>23855.272890675828</v>
      </c>
      <c r="J698" s="180">
        <f>(J630/J612)*AG79</f>
        <v>0</v>
      </c>
      <c r="K698" s="180">
        <f>(K644/K612)*AG75</f>
        <v>283188.73365572747</v>
      </c>
      <c r="L698" s="180">
        <f>(L647/L612)*AG80</f>
        <v>37587.024928835213</v>
      </c>
      <c r="M698" s="180">
        <f t="shared" si="20"/>
        <v>461835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412576</v>
      </c>
      <c r="D699" s="180">
        <f>(D615/D612)*AH76</f>
        <v>-15697.128922839329</v>
      </c>
      <c r="E699" s="180">
        <f>(E623/E612)*SUM(C699:D699)</f>
        <v>21121.33545881556</v>
      </c>
      <c r="F699" s="180">
        <f>(F624/F612)*AH64</f>
        <v>1940.868337617238</v>
      </c>
      <c r="G699" s="180">
        <f>(G625/G612)*AH77</f>
        <v>0</v>
      </c>
      <c r="H699" s="180">
        <f>(H628/H612)*AH60</f>
        <v>33810.825737301973</v>
      </c>
      <c r="I699" s="180">
        <f>(I629/I612)*AH78</f>
        <v>24959.543607872616</v>
      </c>
      <c r="J699" s="180">
        <f>(J630/J612)*AH79</f>
        <v>0</v>
      </c>
      <c r="K699" s="180">
        <f>(K644/K612)*AH75</f>
        <v>42373.109131007943</v>
      </c>
      <c r="L699" s="180">
        <f>(L647/L612)*AH80</f>
        <v>0</v>
      </c>
      <c r="M699" s="180">
        <f t="shared" si="20"/>
        <v>108509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56329</v>
      </c>
      <c r="D700" s="180">
        <f>(D615/D612)*AI76</f>
        <v>0</v>
      </c>
      <c r="E700" s="180">
        <f>(E623/E612)*SUM(C700:D700)</f>
        <v>2997.7501745823934</v>
      </c>
      <c r="F700" s="180">
        <f>(F624/F612)*AI64</f>
        <v>0</v>
      </c>
      <c r="G700" s="180">
        <f>(G625/G612)*AI77</f>
        <v>0</v>
      </c>
      <c r="H700" s="180">
        <f>(H628/H612)*AI60</f>
        <v>4178.8661023631657</v>
      </c>
      <c r="I700" s="180">
        <f>(I629/I612)*AI78</f>
        <v>0</v>
      </c>
      <c r="J700" s="180">
        <f>(J630/J612)*AI79</f>
        <v>0</v>
      </c>
      <c r="K700" s="180">
        <f>(K644/K612)*AI75</f>
        <v>66426.088825854837</v>
      </c>
      <c r="L700" s="180">
        <f>(L647/L612)*AI80</f>
        <v>3698.7231977843167</v>
      </c>
      <c r="M700" s="180">
        <f t="shared" si="20"/>
        <v>77301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4892003</v>
      </c>
      <c r="D701" s="180">
        <f>(D615/D612)*AJ76</f>
        <v>-114979.09100693099</v>
      </c>
      <c r="E701" s="180">
        <f>(E623/E612)*SUM(C701:D701)</f>
        <v>254226.49536061779</v>
      </c>
      <c r="F701" s="180">
        <f>(F624/F612)*AJ64</f>
        <v>6256.8376506007407</v>
      </c>
      <c r="G701" s="180">
        <f>(G625/G612)*AJ77</f>
        <v>0</v>
      </c>
      <c r="H701" s="180">
        <f>(H628/H612)*AJ60</f>
        <v>188682.13613700354</v>
      </c>
      <c r="I701" s="180">
        <f>(I629/I612)*AJ78</f>
        <v>182824.87517863541</v>
      </c>
      <c r="J701" s="180">
        <f>(J630/J612)*AJ79</f>
        <v>0</v>
      </c>
      <c r="K701" s="180">
        <f>(K644/K612)*AJ75</f>
        <v>372593.77912886406</v>
      </c>
      <c r="L701" s="180">
        <f>(L647/L612)*AJ80</f>
        <v>87569.770844839499</v>
      </c>
      <c r="M701" s="180">
        <f t="shared" si="20"/>
        <v>977175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1484313</v>
      </c>
      <c r="D712" s="180">
        <f>(D615/D612)*AU76</f>
        <v>-18170.615904620074</v>
      </c>
      <c r="E712" s="180">
        <f>(E623/E612)*SUM(C712:D712)</f>
        <v>78026.03610723732</v>
      </c>
      <c r="F712" s="180">
        <f>(F624/F612)*AU64</f>
        <v>858.54019339472416</v>
      </c>
      <c r="G712" s="180">
        <f>(G625/G612)*AU77</f>
        <v>0</v>
      </c>
      <c r="H712" s="180">
        <f>(H628/H612)*AU60</f>
        <v>133787.03142868742</v>
      </c>
      <c r="I712" s="180">
        <f>(I629/I612)*AU78</f>
        <v>28892.562600628302</v>
      </c>
      <c r="J712" s="180">
        <f>(J630/J612)*AU79</f>
        <v>0</v>
      </c>
      <c r="K712" s="180">
        <f>(K644/K612)*AU75</f>
        <v>22634.354849600219</v>
      </c>
      <c r="L712" s="180">
        <f>(L647/L612)*AU80</f>
        <v>0</v>
      </c>
      <c r="M712" s="180">
        <f t="shared" si="20"/>
        <v>246028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348847</v>
      </c>
      <c r="D713" s="180">
        <f>(D615/D612)*AV76</f>
        <v>-8581.0971444855004</v>
      </c>
      <c r="E713" s="180">
        <f>(E623/E612)*SUM(C713:D713)</f>
        <v>18108.472894770974</v>
      </c>
      <c r="F713" s="180">
        <f>(F624/F612)*AV64</f>
        <v>468.82628491416222</v>
      </c>
      <c r="G713" s="180">
        <f>(G625/G612)*AV77</f>
        <v>0</v>
      </c>
      <c r="H713" s="180">
        <f>(H628/H612)*AV60</f>
        <v>15575.773654262712</v>
      </c>
      <c r="I713" s="180">
        <f>(I629/I612)*AV78</f>
        <v>13644.550505637029</v>
      </c>
      <c r="J713" s="180">
        <f>(J630/J612)*AV79</f>
        <v>0</v>
      </c>
      <c r="K713" s="180">
        <f>(K644/K612)*AV75</f>
        <v>70376.94420283621</v>
      </c>
      <c r="L713" s="180">
        <f>(L647/L612)*AV80</f>
        <v>0</v>
      </c>
      <c r="M713" s="180">
        <f t="shared" si="20"/>
        <v>109593</v>
      </c>
      <c r="N713" s="199" t="s">
        <v>741</v>
      </c>
    </row>
    <row r="715" spans="1:83" ht="12.6" customHeight="1" x14ac:dyDescent="0.25">
      <c r="C715" s="180">
        <f>SUM(C614:C647)+SUM(C668:C713)</f>
        <v>25846060.300000001</v>
      </c>
      <c r="D715" s="180">
        <f>SUM(D616:D647)+SUM(D668:D713)</f>
        <v>-517462.98999999982</v>
      </c>
      <c r="E715" s="180">
        <f>SUM(E624:E647)+SUM(E668:E713)</f>
        <v>1305988.1343338296</v>
      </c>
      <c r="F715" s="180">
        <f>SUM(F625:F648)+SUM(F668:F713)</f>
        <v>105432.08803801412</v>
      </c>
      <c r="G715" s="180">
        <f>SUM(G626:G647)+SUM(G668:G713)</f>
        <v>904782.71739518992</v>
      </c>
      <c r="H715" s="180">
        <f>SUM(H629:H647)+SUM(H668:H713)</f>
        <v>1172678.4709373969</v>
      </c>
      <c r="I715" s="180">
        <f>SUM(I630:I647)+SUM(I668:I713)</f>
        <v>685207.54351867025</v>
      </c>
      <c r="J715" s="180">
        <f>SUM(J631:J647)+SUM(J668:J713)</f>
        <v>232253.74711588465</v>
      </c>
      <c r="K715" s="180">
        <f>SUM(K668:K713)</f>
        <v>3126216.7838589321</v>
      </c>
      <c r="L715" s="180">
        <f>SUM(L668:L713)</f>
        <v>369572.42330293567</v>
      </c>
      <c r="M715" s="180">
        <f>SUM(M668:M713)</f>
        <v>5983026</v>
      </c>
      <c r="N715" s="198" t="s">
        <v>742</v>
      </c>
    </row>
    <row r="716" spans="1:83" ht="12.6" customHeight="1" x14ac:dyDescent="0.25">
      <c r="C716" s="180">
        <f>CE71</f>
        <v>25846060.300000001</v>
      </c>
      <c r="D716" s="180">
        <f>D615</f>
        <v>-517462.98999999976</v>
      </c>
      <c r="E716" s="180">
        <f>E623</f>
        <v>1305988.1343338299</v>
      </c>
      <c r="F716" s="180">
        <f>F624</f>
        <v>105432.08803801407</v>
      </c>
      <c r="G716" s="180">
        <f>G625</f>
        <v>904782.71739518992</v>
      </c>
      <c r="H716" s="180">
        <f>H628</f>
        <v>1172678.4709373971</v>
      </c>
      <c r="I716" s="180">
        <f>I629</f>
        <v>685207.54351867025</v>
      </c>
      <c r="J716" s="180">
        <f>J630</f>
        <v>232253.74711588465</v>
      </c>
      <c r="K716" s="180">
        <f>K644</f>
        <v>3126216.7838589326</v>
      </c>
      <c r="L716" s="180">
        <f>L647</f>
        <v>369572.42330293567</v>
      </c>
      <c r="M716" s="180">
        <f>C648</f>
        <v>5983028.3000000007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054*2017*A</v>
      </c>
      <c r="B722" s="276">
        <f>ROUND(C165,0)</f>
        <v>193193</v>
      </c>
      <c r="C722" s="276">
        <f>ROUND(C166,0)</f>
        <v>67775</v>
      </c>
      <c r="D722" s="276">
        <f>ROUND(C167,0)</f>
        <v>277783</v>
      </c>
      <c r="E722" s="276">
        <f>ROUND(C168,0)</f>
        <v>2601049</v>
      </c>
      <c r="F722" s="276">
        <f>ROUND(C169,0)</f>
        <v>16478</v>
      </c>
      <c r="G722" s="276">
        <f>ROUND(C170,0)</f>
        <v>991275</v>
      </c>
      <c r="H722" s="276">
        <f>ROUND(C171+C172,0)</f>
        <v>113318</v>
      </c>
      <c r="I722" s="276">
        <f>ROUND(C175,0)</f>
        <v>0</v>
      </c>
      <c r="J722" s="276">
        <f>ROUND(C176,0)</f>
        <v>62499</v>
      </c>
      <c r="K722" s="276">
        <f>ROUND(C179,0)</f>
        <v>288431</v>
      </c>
      <c r="L722" s="276">
        <f>ROUND(C180,0)</f>
        <v>0</v>
      </c>
      <c r="M722" s="276">
        <f>ROUND(C183,0)</f>
        <v>36605</v>
      </c>
      <c r="N722" s="276">
        <f>ROUND(C184,0)</f>
        <v>234496</v>
      </c>
      <c r="O722" s="276">
        <f>ROUND(C185,0)</f>
        <v>0</v>
      </c>
      <c r="P722" s="276">
        <f>ROUND(C188,0)</f>
        <v>11113</v>
      </c>
      <c r="Q722" s="276">
        <f>ROUND(C189,0)</f>
        <v>331214</v>
      </c>
      <c r="R722" s="276">
        <f>ROUND(B195,0)</f>
        <v>303084</v>
      </c>
      <c r="S722" s="276">
        <f>ROUND(C195,0)</f>
        <v>0</v>
      </c>
      <c r="T722" s="276">
        <f>ROUND(D195,0)</f>
        <v>0</v>
      </c>
      <c r="U722" s="276">
        <f>ROUND(B196,0)</f>
        <v>935266</v>
      </c>
      <c r="V722" s="276">
        <f>ROUND(C196,0)</f>
        <v>0</v>
      </c>
      <c r="W722" s="276">
        <f>ROUND(D196,0)</f>
        <v>0</v>
      </c>
      <c r="X722" s="276">
        <f>ROUND(B197,0)</f>
        <v>14905835</v>
      </c>
      <c r="Y722" s="276">
        <f>ROUND(C197,0)</f>
        <v>259518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13349638</v>
      </c>
      <c r="AE722" s="276">
        <f>ROUND(C199,0)</f>
        <v>532446</v>
      </c>
      <c r="AF722" s="276">
        <f>ROUND(D199,0)</f>
        <v>0</v>
      </c>
      <c r="AG722" s="276">
        <f>ROUND(B200,0)</f>
        <v>0</v>
      </c>
      <c r="AH722" s="276">
        <f>ROUND(C200,0)</f>
        <v>0</v>
      </c>
      <c r="AI722" s="276">
        <f>ROUND(D200,0)</f>
        <v>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0</v>
      </c>
      <c r="AN722" s="276">
        <f>ROUND(C202,0)</f>
        <v>0</v>
      </c>
      <c r="AO722" s="276">
        <f>ROUND(D202,0)</f>
        <v>0</v>
      </c>
      <c r="AP722" s="276">
        <f>ROUND(B203,0)</f>
        <v>5130</v>
      </c>
      <c r="AQ722" s="276">
        <f>ROUND(C203,0)</f>
        <v>0</v>
      </c>
      <c r="AR722" s="276">
        <f>ROUND(D203,0)</f>
        <v>5130</v>
      </c>
      <c r="AS722" s="276"/>
      <c r="AT722" s="276"/>
      <c r="AU722" s="276"/>
      <c r="AV722" s="276">
        <f>ROUND(B209,0)</f>
        <v>703625</v>
      </c>
      <c r="AW722" s="276">
        <f>ROUND(C209,0)</f>
        <v>40934</v>
      </c>
      <c r="AX722" s="276">
        <f>ROUND(D209,0)</f>
        <v>0</v>
      </c>
      <c r="AY722" s="276">
        <f>ROUND(B210,0)</f>
        <v>10729239</v>
      </c>
      <c r="AZ722" s="276">
        <f>ROUND(C210,0)</f>
        <v>468265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11741689</v>
      </c>
      <c r="BF722" s="276">
        <f>ROUND(C212,0)</f>
        <v>796837</v>
      </c>
      <c r="BG722" s="276">
        <f>ROUND(D212,0)</f>
        <v>0</v>
      </c>
      <c r="BH722" s="276">
        <f>ROUND(B213,0)</f>
        <v>0</v>
      </c>
      <c r="BI722" s="276">
        <f>ROUND(C213,0)</f>
        <v>0</v>
      </c>
      <c r="BJ722" s="276">
        <f>ROUND(D213,0)</f>
        <v>0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7693307</v>
      </c>
      <c r="BU722" s="276">
        <f>ROUND(C224,0)</f>
        <v>5369126</v>
      </c>
      <c r="BV722" s="276">
        <f>ROUND(C225,0)</f>
        <v>662899</v>
      </c>
      <c r="BW722" s="276">
        <f>ROUND(C226,0)</f>
        <v>0</v>
      </c>
      <c r="BX722" s="276">
        <f>ROUND(C227,0)</f>
        <v>3054014</v>
      </c>
      <c r="BY722" s="276">
        <f>ROUND(C228,0)</f>
        <v>0</v>
      </c>
      <c r="BZ722" s="276">
        <f>ROUND(C231,0)</f>
        <v>113</v>
      </c>
      <c r="CA722" s="276">
        <f>ROUND(C233,0)</f>
        <v>39590</v>
      </c>
      <c r="CB722" s="276">
        <f>ROUND(C234,0)</f>
        <v>402809</v>
      </c>
      <c r="CC722" s="276">
        <f>ROUND(C238+C239,0)</f>
        <v>482327</v>
      </c>
      <c r="CD722" s="276">
        <f>D221</f>
        <v>687035.34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054*2017*A</v>
      </c>
      <c r="B726" s="276">
        <f>ROUND(C111,0)</f>
        <v>268</v>
      </c>
      <c r="C726" s="276">
        <f>ROUND(C112,0)</f>
        <v>145</v>
      </c>
      <c r="D726" s="276">
        <f>ROUND(C113,0)</f>
        <v>0</v>
      </c>
      <c r="E726" s="276">
        <f>ROUND(C114,0)</f>
        <v>51</v>
      </c>
      <c r="F726" s="276">
        <f>ROUND(D111,0)</f>
        <v>796</v>
      </c>
      <c r="G726" s="276">
        <f>ROUND(D112,0)</f>
        <v>8092</v>
      </c>
      <c r="H726" s="276">
        <f>ROUND(D113,0)</f>
        <v>0</v>
      </c>
      <c r="I726" s="276">
        <f>ROUND(D114,0)</f>
        <v>84</v>
      </c>
      <c r="J726" s="276">
        <f>ROUND(C116,0)</f>
        <v>0</v>
      </c>
      <c r="K726" s="276">
        <f>ROUND(C117,0)</f>
        <v>0</v>
      </c>
      <c r="L726" s="276">
        <f>ROUND(C118,0)</f>
        <v>17</v>
      </c>
      <c r="M726" s="276">
        <f>ROUND(C119,0)</f>
        <v>0</v>
      </c>
      <c r="N726" s="276">
        <f>ROUND(C120,0)</f>
        <v>0</v>
      </c>
      <c r="O726" s="276">
        <f>ROUND(C121,0)</f>
        <v>0</v>
      </c>
      <c r="P726" s="276">
        <f>ROUND(C122,0)</f>
        <v>0</v>
      </c>
      <c r="Q726" s="276">
        <f>ROUND(C123,0)</f>
        <v>12</v>
      </c>
      <c r="R726" s="276">
        <f>ROUND(C124,0)</f>
        <v>8</v>
      </c>
      <c r="S726" s="276">
        <f>ROUND(C125,0)</f>
        <v>0</v>
      </c>
      <c r="T726" s="276"/>
      <c r="U726" s="276">
        <f>ROUND(C126,0)</f>
        <v>0</v>
      </c>
      <c r="V726" s="276">
        <f>ROUND(C128,0)</f>
        <v>0</v>
      </c>
      <c r="W726" s="276">
        <f>ROUND(C129,0)</f>
        <v>0</v>
      </c>
      <c r="X726" s="276">
        <f>ROUND(B138,0)</f>
        <v>155</v>
      </c>
      <c r="Y726" s="276">
        <f>ROUND(B139,0)</f>
        <v>520</v>
      </c>
      <c r="Z726" s="276">
        <f>ROUND(B140,0)</f>
        <v>0</v>
      </c>
      <c r="AA726" s="276">
        <f>ROUND(B141,0)</f>
        <v>3158325</v>
      </c>
      <c r="AB726" s="276">
        <f>ROUND(B142,0)</f>
        <v>11195898</v>
      </c>
      <c r="AC726" s="276">
        <f>ROUND(C138,0)</f>
        <v>46</v>
      </c>
      <c r="AD726" s="276">
        <f>ROUND(C139,0)</f>
        <v>120</v>
      </c>
      <c r="AE726" s="276">
        <f>ROUND(C140,0)</f>
        <v>0</v>
      </c>
      <c r="AF726" s="276">
        <f>ROUND(C141,0)</f>
        <v>1198896</v>
      </c>
      <c r="AG726" s="276">
        <f>ROUND(C142,0)</f>
        <v>10977675</v>
      </c>
      <c r="AH726" s="276">
        <f>ROUND(D138,0)</f>
        <v>67</v>
      </c>
      <c r="AI726" s="276">
        <f>ROUND(D139,0)</f>
        <v>156</v>
      </c>
      <c r="AJ726" s="276">
        <f>ROUND(D140,0)</f>
        <v>0</v>
      </c>
      <c r="AK726" s="276">
        <f>ROUND(D141,0)</f>
        <v>1190037</v>
      </c>
      <c r="AL726" s="276">
        <f>ROUND(D142,0)</f>
        <v>12615805</v>
      </c>
      <c r="AM726" s="276">
        <f>ROUND(B144,0)</f>
        <v>79</v>
      </c>
      <c r="AN726" s="276">
        <f>ROUND(B145,0)</f>
        <v>862</v>
      </c>
      <c r="AO726" s="276">
        <f>ROUND(B146,0)</f>
        <v>0</v>
      </c>
      <c r="AP726" s="276">
        <f>ROUND(B147,0)</f>
        <v>2175461</v>
      </c>
      <c r="AQ726" s="276">
        <f>ROUND(B148,0)</f>
        <v>0</v>
      </c>
      <c r="AR726" s="276">
        <f>ROUND(C144,0)</f>
        <v>48</v>
      </c>
      <c r="AS726" s="276">
        <f>ROUND(C145,0)</f>
        <v>5238</v>
      </c>
      <c r="AT726" s="276">
        <f>ROUND(C146,0)</f>
        <v>0</v>
      </c>
      <c r="AU726" s="276">
        <f>ROUND(C147,0)</f>
        <v>1219845</v>
      </c>
      <c r="AV726" s="276">
        <f>ROUND(C148,0)</f>
        <v>0</v>
      </c>
      <c r="AW726" s="276">
        <f>ROUND(D144,0)</f>
        <v>18</v>
      </c>
      <c r="AX726" s="276">
        <f>ROUND(D145,0)</f>
        <v>1992</v>
      </c>
      <c r="AY726" s="276">
        <f>ROUND(D146,0)</f>
        <v>0</v>
      </c>
      <c r="AZ726" s="276">
        <f>ROUND(D147,0)</f>
        <v>575554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054*2017*A</v>
      </c>
      <c r="B730" s="276">
        <f>ROUND(C250,0)</f>
        <v>4396170</v>
      </c>
      <c r="C730" s="276">
        <f>ROUND(C251,0)</f>
        <v>0</v>
      </c>
      <c r="D730" s="276">
        <f>ROUND(C252,0)</f>
        <v>6214723</v>
      </c>
      <c r="E730" s="276">
        <f>ROUND(C253,0)</f>
        <v>3664336</v>
      </c>
      <c r="F730" s="276">
        <f>ROUND(C254,0)</f>
        <v>1071502</v>
      </c>
      <c r="G730" s="276">
        <f>ROUND(C255,0)</f>
        <v>120629</v>
      </c>
      <c r="H730" s="276">
        <f>ROUND(C256,0)</f>
        <v>11431</v>
      </c>
      <c r="I730" s="276">
        <f>ROUND(C257,0)</f>
        <v>554067</v>
      </c>
      <c r="J730" s="276">
        <f>ROUND(C258,0)</f>
        <v>217645</v>
      </c>
      <c r="K730" s="276">
        <f>ROUND(C259,0)</f>
        <v>0</v>
      </c>
      <c r="L730" s="276">
        <f>ROUND(C262,0)</f>
        <v>1285218</v>
      </c>
      <c r="M730" s="276">
        <f>ROUND(C263,0)</f>
        <v>0</v>
      </c>
      <c r="N730" s="276">
        <f>ROUND(C264,0)</f>
        <v>0</v>
      </c>
      <c r="O730" s="276">
        <f>ROUND(C267,0)</f>
        <v>303084</v>
      </c>
      <c r="P730" s="276">
        <f>ROUND(C268,0)</f>
        <v>935266</v>
      </c>
      <c r="Q730" s="276">
        <f>ROUND(C269,0)</f>
        <v>15165352</v>
      </c>
      <c r="R730" s="276">
        <f>ROUND(C270,0)</f>
        <v>0</v>
      </c>
      <c r="S730" s="276">
        <f>ROUND(C271,0)</f>
        <v>13882084</v>
      </c>
      <c r="T730" s="276">
        <f>ROUND(C272,0)</f>
        <v>0</v>
      </c>
      <c r="U730" s="276">
        <f>ROUND(C273,0)</f>
        <v>0</v>
      </c>
      <c r="V730" s="276">
        <f>ROUND(C274,0)</f>
        <v>0</v>
      </c>
      <c r="W730" s="276">
        <f>ROUND(C275,0)</f>
        <v>0</v>
      </c>
      <c r="X730" s="276">
        <f>ROUND(C276,0)</f>
        <v>24480589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0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368879</v>
      </c>
      <c r="AH730" s="276">
        <f>ROUND(C305,0)</f>
        <v>355700</v>
      </c>
      <c r="AI730" s="276">
        <f>ROUND(C306,0)</f>
        <v>1310754</v>
      </c>
      <c r="AJ730" s="276">
        <f>ROUND(C307,0)</f>
        <v>0</v>
      </c>
      <c r="AK730" s="276">
        <f>ROUND(C308,0)</f>
        <v>0</v>
      </c>
      <c r="AL730" s="276">
        <f>ROUND(C309,0)</f>
        <v>157485</v>
      </c>
      <c r="AM730" s="276">
        <f>ROUND(C310,0)</f>
        <v>0</v>
      </c>
      <c r="AN730" s="276">
        <f>ROUND(C311,0)</f>
        <v>0</v>
      </c>
      <c r="AO730" s="276">
        <f>ROUND(C312,0)</f>
        <v>70720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185780</v>
      </c>
      <c r="AX730" s="276">
        <f>ROUND(C325,0)</f>
        <v>4597035</v>
      </c>
      <c r="AY730" s="276">
        <f>ROUND(C326,0)</f>
        <v>0</v>
      </c>
      <c r="AZ730" s="276">
        <f>ROUND(C327,0)</f>
        <v>207920</v>
      </c>
      <c r="BA730" s="276">
        <f>ROUND(C328,0)</f>
        <v>0</v>
      </c>
      <c r="BB730" s="276">
        <f>ROUND(C332,0)</f>
        <v>8757974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213.44</v>
      </c>
      <c r="BJ730" s="276">
        <f>ROUND(C359,0)</f>
        <v>9518118</v>
      </c>
      <c r="BK730" s="276">
        <f>ROUND(C360,0)</f>
        <v>34789378</v>
      </c>
      <c r="BL730" s="276">
        <f>ROUND(C364,0)</f>
        <v>16779346</v>
      </c>
      <c r="BM730" s="276">
        <f>ROUND(C365,0)</f>
        <v>442399</v>
      </c>
      <c r="BN730" s="276">
        <f>ROUND(C366,0)</f>
        <v>482327</v>
      </c>
      <c r="BO730" s="276">
        <f>ROUND(C370,0)</f>
        <v>2405123</v>
      </c>
      <c r="BP730" s="276">
        <f>ROUND(C371,0)</f>
        <v>762139</v>
      </c>
      <c r="BQ730" s="276">
        <f>ROUND(C378,0)</f>
        <v>13524336</v>
      </c>
      <c r="BR730" s="276">
        <f>ROUND(C379,0)</f>
        <v>4260870</v>
      </c>
      <c r="BS730" s="276">
        <f>ROUND(C380,0)</f>
        <v>3206240</v>
      </c>
      <c r="BT730" s="276">
        <f>ROUND(C381,0)</f>
        <v>2681476</v>
      </c>
      <c r="BU730" s="276">
        <f>ROUND(C382,0)</f>
        <v>407766</v>
      </c>
      <c r="BV730" s="276">
        <f>ROUND(C383,0)</f>
        <v>1526936</v>
      </c>
      <c r="BW730" s="276">
        <f>ROUND(C384,0)</f>
        <v>1306037</v>
      </c>
      <c r="BX730" s="276">
        <f>ROUND(C385,0)</f>
        <v>62499</v>
      </c>
      <c r="BY730" s="276">
        <f>ROUND(C386,0)</f>
        <v>288431</v>
      </c>
      <c r="BZ730" s="276">
        <f>ROUND(C387,0)</f>
        <v>271101</v>
      </c>
      <c r="CA730" s="276">
        <f>ROUND(C388,0)</f>
        <v>342327</v>
      </c>
      <c r="CB730" s="276">
        <f>C363</f>
        <v>687035.34</v>
      </c>
      <c r="CC730" s="276">
        <f>ROUND(C389,0)</f>
        <v>373154</v>
      </c>
      <c r="CD730" s="276">
        <f>ROUND(C392,0)</f>
        <v>61823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054*2017*6010*A</v>
      </c>
      <c r="B734" s="276">
        <f>ROUND(C59,0)</f>
        <v>0</v>
      </c>
      <c r="C734" s="276">
        <f>ROUND(C60,2)</f>
        <v>0</v>
      </c>
      <c r="D734" s="276">
        <f>ROUND(C61,0)</f>
        <v>0</v>
      </c>
      <c r="E734" s="276">
        <f>ROUND(C62,0)</f>
        <v>0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0</v>
      </c>
      <c r="J734" s="276">
        <f>ROUND(C67,0)</f>
        <v>0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0</v>
      </c>
      <c r="O734" s="276">
        <f>ROUND(C73,0)</f>
        <v>0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0</v>
      </c>
      <c r="U734" s="276"/>
      <c r="V734" s="276"/>
      <c r="W734" s="276"/>
      <c r="X734" s="276"/>
      <c r="Y734" s="276">
        <f>IF(M668&lt;&gt;0,ROUND(M668,0),0)</f>
        <v>0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054*2017*6030*A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054*2017*6070*A</v>
      </c>
      <c r="B736" s="276">
        <f>ROUND(E59,0)</f>
        <v>796</v>
      </c>
      <c r="C736" s="278">
        <f>ROUND(E60,2)</f>
        <v>11.05</v>
      </c>
      <c r="D736" s="276">
        <f>ROUND(E61,0)</f>
        <v>871979</v>
      </c>
      <c r="E736" s="276">
        <f>ROUND(E62,0)</f>
        <v>274719</v>
      </c>
      <c r="F736" s="276">
        <f>ROUND(E63,0)</f>
        <v>1200</v>
      </c>
      <c r="G736" s="276">
        <f>ROUND(E64,0)</f>
        <v>67166</v>
      </c>
      <c r="H736" s="276">
        <f>ROUND(E65,0)</f>
        <v>0</v>
      </c>
      <c r="I736" s="276">
        <f>ROUND(E66,0)</f>
        <v>35052</v>
      </c>
      <c r="J736" s="276">
        <f>ROUND(E67,0)</f>
        <v>37426</v>
      </c>
      <c r="K736" s="276">
        <f>ROUND(E68,0)</f>
        <v>4857</v>
      </c>
      <c r="L736" s="276">
        <f>ROUND(E69,0)</f>
        <v>801</v>
      </c>
      <c r="M736" s="276">
        <f>ROUND(E70,0)</f>
        <v>0</v>
      </c>
      <c r="N736" s="276">
        <f>ROUND(E75,0)</f>
        <v>2507686</v>
      </c>
      <c r="O736" s="276">
        <f>ROUND(E73,0)</f>
        <v>2145026</v>
      </c>
      <c r="P736" s="276">
        <f>IF(E76&gt;0,ROUND(E76,0),0)</f>
        <v>2649</v>
      </c>
      <c r="Q736" s="276">
        <f>IF(E77&gt;0,ROUND(E77,0),0)</f>
        <v>0</v>
      </c>
      <c r="R736" s="276">
        <f>IF(E78&gt;0,ROUND(E78,0),0)</f>
        <v>2649</v>
      </c>
      <c r="S736" s="276">
        <f>IF(E79&gt;0,ROUND(E79,0),0)</f>
        <v>1</v>
      </c>
      <c r="T736" s="278">
        <f>IF(E80&gt;0,ROUND(E80,2),0)</f>
        <v>6.89</v>
      </c>
      <c r="U736" s="276"/>
      <c r="V736" s="277"/>
      <c r="W736" s="276"/>
      <c r="X736" s="276"/>
      <c r="Y736" s="276">
        <f t="shared" si="21"/>
        <v>633147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054*2017*6100*A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054*2017*6120*A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054*2017*6140*A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054*2017*6150*A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054*2017*6170*A</v>
      </c>
      <c r="B741" s="276">
        <f>ROUND(J59,0)</f>
        <v>84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1367</v>
      </c>
      <c r="H741" s="276">
        <f>ROUND(J65,0)</f>
        <v>0</v>
      </c>
      <c r="I741" s="276">
        <f>ROUND(J66,0)</f>
        <v>1140</v>
      </c>
      <c r="J741" s="276">
        <f>ROUND(J67,0)</f>
        <v>2692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74336</v>
      </c>
      <c r="O741" s="276">
        <f>ROUND(J73,0)</f>
        <v>73895</v>
      </c>
      <c r="P741" s="276">
        <f>IF(J76&gt;0,ROUND(J76,0),0)</f>
        <v>167</v>
      </c>
      <c r="Q741" s="276">
        <f>IF(J77&gt;0,ROUND(J77,0),0)</f>
        <v>0</v>
      </c>
      <c r="R741" s="276">
        <f>IF(J78&gt;0,ROUND(J78,0),0)</f>
        <v>167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6431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054*2017*6200*A</v>
      </c>
      <c r="B742" s="276">
        <f>ROUND(K59,0)</f>
        <v>4292</v>
      </c>
      <c r="C742" s="278">
        <f>ROUND(K60,2)</f>
        <v>17.63</v>
      </c>
      <c r="D742" s="276">
        <f>ROUND(K61,0)</f>
        <v>974311</v>
      </c>
      <c r="E742" s="276">
        <f>ROUND(K62,0)</f>
        <v>306959</v>
      </c>
      <c r="F742" s="276">
        <f>ROUND(K63,0)</f>
        <v>54699</v>
      </c>
      <c r="G742" s="276">
        <f>ROUND(K64,0)</f>
        <v>58357</v>
      </c>
      <c r="H742" s="276">
        <f>ROUND(K65,0)</f>
        <v>128</v>
      </c>
      <c r="I742" s="276">
        <f>ROUND(K66,0)</f>
        <v>23477</v>
      </c>
      <c r="J742" s="276">
        <f>ROUND(K67,0)</f>
        <v>27271</v>
      </c>
      <c r="K742" s="276">
        <f>ROUND(K68,0)</f>
        <v>1944</v>
      </c>
      <c r="L742" s="276">
        <f>ROUND(K69,0)</f>
        <v>2820</v>
      </c>
      <c r="M742" s="276">
        <f>ROUND(K70,0)</f>
        <v>0</v>
      </c>
      <c r="N742" s="276">
        <f>ROUND(K75,0)</f>
        <v>967083</v>
      </c>
      <c r="O742" s="276">
        <f>ROUND(K73,0)</f>
        <v>941278</v>
      </c>
      <c r="P742" s="276">
        <f>IF(K76&gt;0,ROUND(K76,0),0)</f>
        <v>2417</v>
      </c>
      <c r="Q742" s="276">
        <f>IF(K77&gt;0,ROUND(K77,0),0)</f>
        <v>0</v>
      </c>
      <c r="R742" s="276">
        <f>IF(K78&gt;0,ROUND(K78,0),0)</f>
        <v>2417</v>
      </c>
      <c r="S742" s="276">
        <f>IF(K79&gt;0,ROUND(K79,0),0)</f>
        <v>0</v>
      </c>
      <c r="T742" s="278">
        <f>IF(K80&gt;0,ROUND(K80,2),0)</f>
        <v>6.67</v>
      </c>
      <c r="U742" s="276"/>
      <c r="V742" s="277"/>
      <c r="W742" s="276"/>
      <c r="X742" s="276"/>
      <c r="Y742" s="276">
        <f t="shared" si="21"/>
        <v>338451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054*2017*6210*A</v>
      </c>
      <c r="B743" s="276">
        <f>ROUND(L59,0)</f>
        <v>3800</v>
      </c>
      <c r="C743" s="278">
        <f>ROUND(L60,2)</f>
        <v>14.68</v>
      </c>
      <c r="D743" s="276">
        <f>ROUND(L61,0)</f>
        <v>810244</v>
      </c>
      <c r="E743" s="276">
        <f>ROUND(L62,0)</f>
        <v>255269</v>
      </c>
      <c r="F743" s="276">
        <f>ROUND(L63,0)</f>
        <v>36466</v>
      </c>
      <c r="G743" s="276">
        <f>ROUND(L64,0)</f>
        <v>38979</v>
      </c>
      <c r="H743" s="276">
        <f>ROUND(L65,0)</f>
        <v>0</v>
      </c>
      <c r="I743" s="276">
        <f>ROUND(L66,0)</f>
        <v>15735</v>
      </c>
      <c r="J743" s="276">
        <f>ROUND(L67,0)</f>
        <v>19308</v>
      </c>
      <c r="K743" s="276">
        <f>ROUND(L68,0)</f>
        <v>1829</v>
      </c>
      <c r="L743" s="276">
        <f>ROUND(L69,0)</f>
        <v>1881</v>
      </c>
      <c r="M743" s="276">
        <f>ROUND(L70,0)</f>
        <v>0</v>
      </c>
      <c r="N743" s="276">
        <f>ROUND(L75,0)</f>
        <v>2140353</v>
      </c>
      <c r="O743" s="276">
        <f>ROUND(L73,0)</f>
        <v>2065240</v>
      </c>
      <c r="P743" s="276">
        <f>IF(L76&gt;0,ROUND(L76,0),0)</f>
        <v>1736</v>
      </c>
      <c r="Q743" s="276">
        <f>IF(L77&gt;0,ROUND(L77,0),0)</f>
        <v>0</v>
      </c>
      <c r="R743" s="276">
        <f>IF(L78&gt;0,ROUND(L78,0),0)</f>
        <v>1736</v>
      </c>
      <c r="S743" s="276">
        <f>IF(L79&gt;0,ROUND(L79,0),0)</f>
        <v>0</v>
      </c>
      <c r="T743" s="278">
        <f>IF(L80&gt;0,ROUND(L80,2),0)</f>
        <v>5.75</v>
      </c>
      <c r="U743" s="276"/>
      <c r="V743" s="277"/>
      <c r="W743" s="276"/>
      <c r="X743" s="276"/>
      <c r="Y743" s="276">
        <f t="shared" si="21"/>
        <v>374700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054*2017*6330*A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054*2017*6400*A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054*2017*7010*A</v>
      </c>
      <c r="B746" s="276">
        <f>ROUND(O59,0)</f>
        <v>84</v>
      </c>
      <c r="C746" s="278">
        <f>ROUND(O60,2)</f>
        <v>0.28000000000000003</v>
      </c>
      <c r="D746" s="276">
        <f>ROUND(O61,0)</f>
        <v>23936</v>
      </c>
      <c r="E746" s="276">
        <f>ROUND(O62,0)</f>
        <v>7541</v>
      </c>
      <c r="F746" s="276">
        <f>ROUND(O63,0)</f>
        <v>381</v>
      </c>
      <c r="G746" s="276">
        <f>ROUND(O64,0)</f>
        <v>5141</v>
      </c>
      <c r="H746" s="276">
        <f>ROUND(O65,0)</f>
        <v>0</v>
      </c>
      <c r="I746" s="276">
        <f>ROUND(O66,0)</f>
        <v>2789</v>
      </c>
      <c r="J746" s="276">
        <f>ROUND(O67,0)</f>
        <v>9553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157763</v>
      </c>
      <c r="O746" s="276">
        <f>ROUND(O73,0)</f>
        <v>140764</v>
      </c>
      <c r="P746" s="276">
        <f>IF(O76&gt;0,ROUND(O76,0),0)</f>
        <v>526</v>
      </c>
      <c r="Q746" s="276">
        <f>IF(O77&gt;0,ROUND(O77,0),0)</f>
        <v>0</v>
      </c>
      <c r="R746" s="276">
        <f>IF(O78&gt;0,ROUND(O78,0),0)</f>
        <v>526</v>
      </c>
      <c r="S746" s="276">
        <f>IF(O79&gt;0,ROUND(O79,0),0)</f>
        <v>0</v>
      </c>
      <c r="T746" s="278">
        <f>IF(O80&gt;0,ROUND(O80,2),0)</f>
        <v>0.24</v>
      </c>
      <c r="U746" s="276"/>
      <c r="V746" s="277"/>
      <c r="W746" s="276"/>
      <c r="X746" s="276"/>
      <c r="Y746" s="276">
        <f t="shared" si="21"/>
        <v>20827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054*2017*7020*A</v>
      </c>
      <c r="B747" s="276">
        <f>ROUND(P59,0)</f>
        <v>14341</v>
      </c>
      <c r="C747" s="278">
        <f>ROUND(P60,2)</f>
        <v>3.57</v>
      </c>
      <c r="D747" s="276">
        <f>ROUND(P61,0)</f>
        <v>268421</v>
      </c>
      <c r="E747" s="276">
        <f>ROUND(P62,0)</f>
        <v>84567</v>
      </c>
      <c r="F747" s="276">
        <f>ROUND(P63,0)</f>
        <v>300</v>
      </c>
      <c r="G747" s="276">
        <f>ROUND(P64,0)</f>
        <v>84957</v>
      </c>
      <c r="H747" s="276">
        <f>ROUND(P65,0)</f>
        <v>0</v>
      </c>
      <c r="I747" s="276">
        <f>ROUND(P66,0)</f>
        <v>9416</v>
      </c>
      <c r="J747" s="276">
        <f>ROUND(P67,0)</f>
        <v>85397</v>
      </c>
      <c r="K747" s="276">
        <f>ROUND(P68,0)</f>
        <v>-54</v>
      </c>
      <c r="L747" s="276">
        <f>ROUND(P69,0)</f>
        <v>3475</v>
      </c>
      <c r="M747" s="276">
        <f>ROUND(P70,0)</f>
        <v>0</v>
      </c>
      <c r="N747" s="276">
        <f>ROUND(P75,0)</f>
        <v>2009128</v>
      </c>
      <c r="O747" s="276">
        <f>ROUND(P73,0)</f>
        <v>531292</v>
      </c>
      <c r="P747" s="276">
        <f>IF(P76&gt;0,ROUND(P76,0),0)</f>
        <v>6021</v>
      </c>
      <c r="Q747" s="276">
        <f>IF(P77&gt;0,ROUND(P77,0),0)</f>
        <v>0</v>
      </c>
      <c r="R747" s="276">
        <f>IF(P78&gt;0,ROUND(P78,0),0)</f>
        <v>6021</v>
      </c>
      <c r="S747" s="276">
        <f>IF(P79&gt;0,ROUND(P79,0),0)</f>
        <v>0</v>
      </c>
      <c r="T747" s="278">
        <f>IF(P80&gt;0,ROUND(P80,2),0)</f>
        <v>1.91</v>
      </c>
      <c r="U747" s="276"/>
      <c r="V747" s="277"/>
      <c r="W747" s="276"/>
      <c r="X747" s="276"/>
      <c r="Y747" s="276">
        <f t="shared" si="21"/>
        <v>246256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054*2017*7030*A</v>
      </c>
      <c r="B748" s="276">
        <f>ROUND(Q59,0)</f>
        <v>11084</v>
      </c>
      <c r="C748" s="278">
        <f>ROUND(Q60,2)</f>
        <v>0.12</v>
      </c>
      <c r="D748" s="276">
        <f>ROUND(Q61,0)</f>
        <v>9664</v>
      </c>
      <c r="E748" s="276">
        <f>ROUND(Q62,0)</f>
        <v>3045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217454</v>
      </c>
      <c r="O748" s="276">
        <f>ROUND(Q73,0)</f>
        <v>20637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0.03</v>
      </c>
      <c r="U748" s="276"/>
      <c r="V748" s="277"/>
      <c r="W748" s="276"/>
      <c r="X748" s="276"/>
      <c r="Y748" s="276">
        <f t="shared" si="21"/>
        <v>17079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054*2017*7040*A</v>
      </c>
      <c r="B749" s="276">
        <f>ROUND(R59,0)</f>
        <v>20788</v>
      </c>
      <c r="C749" s="278">
        <f>ROUND(R60,2)</f>
        <v>1.02</v>
      </c>
      <c r="D749" s="276">
        <f>ROUND(R61,0)</f>
        <v>391257</v>
      </c>
      <c r="E749" s="276">
        <f>ROUND(R62,0)</f>
        <v>123266</v>
      </c>
      <c r="F749" s="276">
        <f>ROUND(R63,0)</f>
        <v>0</v>
      </c>
      <c r="G749" s="276">
        <f>ROUND(R64,0)</f>
        <v>25822</v>
      </c>
      <c r="H749" s="276">
        <f>ROUND(R65,0)</f>
        <v>0</v>
      </c>
      <c r="I749" s="276">
        <f>ROUND(R66,0)</f>
        <v>10749</v>
      </c>
      <c r="J749" s="276">
        <f>ROUND(R67,0)</f>
        <v>3701</v>
      </c>
      <c r="K749" s="276">
        <f>ROUND(R68,0)</f>
        <v>0</v>
      </c>
      <c r="L749" s="276">
        <f>ROUND(R69,0)</f>
        <v>4214</v>
      </c>
      <c r="M749" s="276">
        <f>ROUND(R70,0)</f>
        <v>0</v>
      </c>
      <c r="N749" s="276">
        <f>ROUND(R75,0)</f>
        <v>1329941</v>
      </c>
      <c r="O749" s="276">
        <f>ROUND(R73,0)</f>
        <v>322349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1.02</v>
      </c>
      <c r="U749" s="276"/>
      <c r="V749" s="277"/>
      <c r="W749" s="276"/>
      <c r="X749" s="276"/>
      <c r="Y749" s="276">
        <f t="shared" si="21"/>
        <v>141305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054*2017*7050*A</v>
      </c>
      <c r="B750" s="276"/>
      <c r="C750" s="278">
        <f>ROUND(S60,2)</f>
        <v>2.0099999999999998</v>
      </c>
      <c r="D750" s="276">
        <f>ROUND(S61,0)</f>
        <v>61205</v>
      </c>
      <c r="E750" s="276">
        <f>ROUND(S62,0)</f>
        <v>19283</v>
      </c>
      <c r="F750" s="276">
        <f>ROUND(S63,0)</f>
        <v>0</v>
      </c>
      <c r="G750" s="276">
        <f>ROUND(S64,0)</f>
        <v>125892</v>
      </c>
      <c r="H750" s="276">
        <f>ROUND(S65,0)</f>
        <v>0</v>
      </c>
      <c r="I750" s="276">
        <f>ROUND(S66,0)</f>
        <v>751</v>
      </c>
      <c r="J750" s="276">
        <f>ROUND(S67,0)</f>
        <v>13692</v>
      </c>
      <c r="K750" s="276">
        <f>ROUND(S68,0)</f>
        <v>0</v>
      </c>
      <c r="L750" s="276">
        <f>ROUND(S69,0)</f>
        <v>100</v>
      </c>
      <c r="M750" s="276">
        <f>ROUND(S70,0)</f>
        <v>0</v>
      </c>
      <c r="N750" s="276">
        <f>ROUND(S75,0)</f>
        <v>673061</v>
      </c>
      <c r="O750" s="276">
        <f>ROUND(S73,0)</f>
        <v>392313</v>
      </c>
      <c r="P750" s="276">
        <f>IF(S76&gt;0,ROUND(S76,0),0)</f>
        <v>1510</v>
      </c>
      <c r="Q750" s="276">
        <f>IF(S77&gt;0,ROUND(S77,0),0)</f>
        <v>0</v>
      </c>
      <c r="R750" s="276">
        <f>IF(S78&gt;0,ROUND(S78,0),0)</f>
        <v>1510</v>
      </c>
      <c r="S750" s="276">
        <f>IF(S79&gt;0,ROUND(S79,0),0)</f>
        <v>0</v>
      </c>
      <c r="T750" s="278">
        <f>IF(S80&gt;0,ROUND(S80,2),0)</f>
        <v>1.1200000000000001</v>
      </c>
      <c r="U750" s="276"/>
      <c r="V750" s="277"/>
      <c r="W750" s="276"/>
      <c r="X750" s="276"/>
      <c r="Y750" s="276">
        <f t="shared" si="21"/>
        <v>96066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054*2017*7060*A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054*2017*7070*A</v>
      </c>
      <c r="B752" s="276">
        <f>ROUND(U59,0)</f>
        <v>53118</v>
      </c>
      <c r="C752" s="278">
        <f>ROUND(U60,2)</f>
        <v>7.19</v>
      </c>
      <c r="D752" s="276">
        <f>ROUND(U61,0)</f>
        <v>549233</v>
      </c>
      <c r="E752" s="276">
        <f>ROUND(U62,0)</f>
        <v>173037</v>
      </c>
      <c r="F752" s="276">
        <f>ROUND(U63,0)</f>
        <v>94811</v>
      </c>
      <c r="G752" s="276">
        <f>ROUND(U64,0)</f>
        <v>375578</v>
      </c>
      <c r="H752" s="276">
        <f>ROUND(U65,0)</f>
        <v>0</v>
      </c>
      <c r="I752" s="276">
        <f>ROUND(U66,0)</f>
        <v>76254</v>
      </c>
      <c r="J752" s="276">
        <f>ROUND(U67,0)</f>
        <v>12728</v>
      </c>
      <c r="K752" s="276">
        <f>ROUND(U68,0)</f>
        <v>12212</v>
      </c>
      <c r="L752" s="276">
        <f>ROUND(U69,0)</f>
        <v>7833</v>
      </c>
      <c r="M752" s="276">
        <f>ROUND(U70,0)</f>
        <v>0</v>
      </c>
      <c r="N752" s="276">
        <f>ROUND(U75,0)</f>
        <v>5839384</v>
      </c>
      <c r="O752" s="276">
        <f>ROUND(U73,0)</f>
        <v>712781</v>
      </c>
      <c r="P752" s="276">
        <f>IF(U76&gt;0,ROUND(U76,0),0)</f>
        <v>1260</v>
      </c>
      <c r="Q752" s="276">
        <f>IF(U77&gt;0,ROUND(U77,0),0)</f>
        <v>0</v>
      </c>
      <c r="R752" s="276">
        <f>IF(U78&gt;0,ROUND(U78,0),0)</f>
        <v>1260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548712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054*2017*7110*A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2140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0</v>
      </c>
      <c r="O753" s="276">
        <f>ROUND(V73,0)</f>
        <v>0</v>
      </c>
      <c r="P753" s="276">
        <f>IF(V76&gt;0,ROUND(V76,0),0)</f>
        <v>236</v>
      </c>
      <c r="Q753" s="276">
        <f>IF(V77&gt;0,ROUND(V77,0),0)</f>
        <v>0</v>
      </c>
      <c r="R753" s="276">
        <f>IF(V78&gt;0,ROUND(V78,0),0)</f>
        <v>236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1319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054*2017*7120*A</v>
      </c>
      <c r="B754" s="276">
        <f>ROUND(W59,0)</f>
        <v>7298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248007</v>
      </c>
      <c r="G754" s="276">
        <f>ROUND(W64,0)</f>
        <v>5502</v>
      </c>
      <c r="H754" s="276">
        <f>ROUND(W65,0)</f>
        <v>0</v>
      </c>
      <c r="I754" s="276">
        <f>ROUND(W66,0)</f>
        <v>0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1829242</v>
      </c>
      <c r="O754" s="276">
        <f>ROUND(W73,0)</f>
        <v>23350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142784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054*2017*7130*A</v>
      </c>
      <c r="B755" s="276">
        <f>ROUND(X59,0)</f>
        <v>10186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0</v>
      </c>
      <c r="G755" s="276">
        <f>ROUND(X64,0)</f>
        <v>13277</v>
      </c>
      <c r="H755" s="276">
        <f>ROUND(X65,0)</f>
        <v>1226</v>
      </c>
      <c r="I755" s="276">
        <f>ROUND(X66,0)</f>
        <v>82294</v>
      </c>
      <c r="J755" s="276">
        <f>ROUND(X67,0)</f>
        <v>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3723378</v>
      </c>
      <c r="O755" s="276">
        <f>ROUND(X73,0)</f>
        <v>348666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268410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054*2017*7140*A</v>
      </c>
      <c r="B756" s="276">
        <f>ROUND(Y59,0)</f>
        <v>7522</v>
      </c>
      <c r="C756" s="278">
        <f>ROUND(Y60,2)</f>
        <v>8.82</v>
      </c>
      <c r="D756" s="276">
        <f>ROUND(Y61,0)</f>
        <v>923358</v>
      </c>
      <c r="E756" s="276">
        <f>ROUND(Y62,0)</f>
        <v>290906</v>
      </c>
      <c r="F756" s="276">
        <f>ROUND(Y63,0)</f>
        <v>14950</v>
      </c>
      <c r="G756" s="276">
        <f>ROUND(Y64,0)</f>
        <v>14992</v>
      </c>
      <c r="H756" s="276">
        <f>ROUND(Y65,0)</f>
        <v>1105</v>
      </c>
      <c r="I756" s="276">
        <f>ROUND(Y66,0)</f>
        <v>134060</v>
      </c>
      <c r="J756" s="276">
        <f>ROUND(Y67,0)</f>
        <v>116979</v>
      </c>
      <c r="K756" s="276">
        <f>ROUND(Y68,0)</f>
        <v>0</v>
      </c>
      <c r="L756" s="276">
        <f>ROUND(Y69,0)</f>
        <v>5830</v>
      </c>
      <c r="M756" s="276">
        <f>ROUND(Y70,0)</f>
        <v>0</v>
      </c>
      <c r="N756" s="276">
        <f>ROUND(Y75,0)</f>
        <v>4680587</v>
      </c>
      <c r="O756" s="276">
        <f>ROUND(Y73,0)</f>
        <v>251515</v>
      </c>
      <c r="P756" s="276">
        <f>IF(Y76&gt;0,ROUND(Y76,0),0)</f>
        <v>2491</v>
      </c>
      <c r="Q756" s="276">
        <f>IF(Y77&gt;0,ROUND(Y77,0),0)</f>
        <v>0</v>
      </c>
      <c r="R756" s="276">
        <f>IF(Y78&gt;0,ROUND(Y78,0),0)</f>
        <v>2491</v>
      </c>
      <c r="S756" s="276">
        <f>IF(Y79&gt;0,ROUND(Y79,0),0)</f>
        <v>0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479378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054*2017*7150*A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054*2017*7160*A</v>
      </c>
      <c r="B758" s="276">
        <f>ROUND(AA59,0)</f>
        <v>367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53385</v>
      </c>
      <c r="G758" s="276">
        <f>ROUND(AA64,0)</f>
        <v>5036</v>
      </c>
      <c r="H758" s="276">
        <f>ROUND(AA65,0)</f>
        <v>0</v>
      </c>
      <c r="I758" s="276">
        <f>ROUND(AA66,0)</f>
        <v>0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224427</v>
      </c>
      <c r="O758" s="276">
        <f>ROUND(AA73,0)</f>
        <v>0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19151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054*2017*7170*A</v>
      </c>
      <c r="B759" s="276"/>
      <c r="C759" s="278">
        <f>ROUND(AB60,2)</f>
        <v>2.68</v>
      </c>
      <c r="D759" s="276">
        <f>ROUND(AB61,0)</f>
        <v>242174</v>
      </c>
      <c r="E759" s="276">
        <f>ROUND(AB62,0)</f>
        <v>76297</v>
      </c>
      <c r="F759" s="276">
        <f>ROUND(AB63,0)</f>
        <v>0</v>
      </c>
      <c r="G759" s="276">
        <f>ROUND(AB64,0)</f>
        <v>987655</v>
      </c>
      <c r="H759" s="276">
        <f>ROUND(AB65,0)</f>
        <v>0</v>
      </c>
      <c r="I759" s="276">
        <f>ROUND(AB66,0)</f>
        <v>115204</v>
      </c>
      <c r="J759" s="276">
        <f>ROUND(AB67,0)</f>
        <v>16030</v>
      </c>
      <c r="K759" s="276">
        <f>ROUND(AB68,0)</f>
        <v>0</v>
      </c>
      <c r="L759" s="276">
        <f>ROUND(AB69,0)</f>
        <v>14723</v>
      </c>
      <c r="M759" s="276">
        <f>ROUND(AB70,0)</f>
        <v>0</v>
      </c>
      <c r="N759" s="276">
        <f>ROUND(AB75,0)</f>
        <v>2708836</v>
      </c>
      <c r="O759" s="276">
        <f>ROUND(AB73,0)</f>
        <v>645863</v>
      </c>
      <c r="P759" s="276">
        <f>IF(AB76&gt;0,ROUND(AB76,0),0)</f>
        <v>394</v>
      </c>
      <c r="Q759" s="276">
        <f>IF(AB77&gt;0,ROUND(AB77,0),0)</f>
        <v>0</v>
      </c>
      <c r="R759" s="276">
        <f>IF(AB78&gt;0,ROUND(AB78,0),0)</f>
        <v>394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328061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054*2017*7180*A</v>
      </c>
      <c r="B760" s="276">
        <f>ROUND(AC59,0)</f>
        <v>1263</v>
      </c>
      <c r="C760" s="278">
        <f>ROUND(AC60,2)</f>
        <v>1.06</v>
      </c>
      <c r="D760" s="276">
        <f>ROUND(AC61,0)</f>
        <v>80980</v>
      </c>
      <c r="E760" s="276">
        <f>ROUND(AC62,0)</f>
        <v>25513</v>
      </c>
      <c r="F760" s="276">
        <f>ROUND(AC63,0)</f>
        <v>0</v>
      </c>
      <c r="G760" s="276">
        <f>ROUND(AC64,0)</f>
        <v>3170</v>
      </c>
      <c r="H760" s="276">
        <f>ROUND(AC65,0)</f>
        <v>0</v>
      </c>
      <c r="I760" s="276">
        <f>ROUND(AC66,0)</f>
        <v>1368</v>
      </c>
      <c r="J760" s="276">
        <f>ROUND(AC67,0)</f>
        <v>12780</v>
      </c>
      <c r="K760" s="276">
        <f>ROUND(AC68,0)</f>
        <v>0</v>
      </c>
      <c r="L760" s="276">
        <f>ROUND(AC69,0)</f>
        <v>35</v>
      </c>
      <c r="M760" s="276">
        <f>ROUND(AC70,0)</f>
        <v>0</v>
      </c>
      <c r="N760" s="276">
        <f>ROUND(AC75,0)</f>
        <v>192973</v>
      </c>
      <c r="O760" s="276">
        <f>ROUND(AC73,0)</f>
        <v>151212</v>
      </c>
      <c r="P760" s="276">
        <f>IF(AC76&gt;0,ROUND(AC76,0),0)</f>
        <v>752</v>
      </c>
      <c r="Q760" s="276">
        <f>IF(AC77&gt;0,ROUND(AC77,0),0)</f>
        <v>0</v>
      </c>
      <c r="R760" s="276">
        <f>IF(AC78&gt;0,ROUND(AC78,0),0)</f>
        <v>752</v>
      </c>
      <c r="S760" s="276">
        <f>IF(AC79&gt;0,ROUND(AC79,0),0)</f>
        <v>0</v>
      </c>
      <c r="T760" s="278">
        <f>IF(AC80&gt;0,ROUND(AC80,2),0)</f>
        <v>0.45</v>
      </c>
      <c r="U760" s="276"/>
      <c r="V760" s="277"/>
      <c r="W760" s="276"/>
      <c r="X760" s="276"/>
      <c r="Y760" s="276">
        <f t="shared" si="21"/>
        <v>35388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054*2017*7190*A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054*2017*7200*A</v>
      </c>
      <c r="B762" s="276">
        <f>ROUND(AE59,0)</f>
        <v>734522</v>
      </c>
      <c r="C762" s="278">
        <f>ROUND(AE60,2)</f>
        <v>6.63</v>
      </c>
      <c r="D762" s="276">
        <f>ROUND(AE61,0)</f>
        <v>402383</v>
      </c>
      <c r="E762" s="276">
        <f>ROUND(AE62,0)</f>
        <v>126772</v>
      </c>
      <c r="F762" s="276">
        <f>ROUND(AE63,0)</f>
        <v>244641</v>
      </c>
      <c r="G762" s="276">
        <f>ROUND(AE64,0)</f>
        <v>19969</v>
      </c>
      <c r="H762" s="276">
        <f>ROUND(AE65,0)</f>
        <v>0</v>
      </c>
      <c r="I762" s="276">
        <f>ROUND(AE66,0)</f>
        <v>962</v>
      </c>
      <c r="J762" s="276">
        <f>ROUND(AE67,0)</f>
        <v>28328</v>
      </c>
      <c r="K762" s="276">
        <f>ROUND(AE68,0)</f>
        <v>0</v>
      </c>
      <c r="L762" s="276">
        <f>ROUND(AE69,0)</f>
        <v>3789</v>
      </c>
      <c r="M762" s="276">
        <f>ROUND(AE70,0)</f>
        <v>0</v>
      </c>
      <c r="N762" s="276">
        <f>ROUND(AE75,0)</f>
        <v>2877301</v>
      </c>
      <c r="O762" s="276">
        <f>ROUND(AE73,0)</f>
        <v>461292</v>
      </c>
      <c r="P762" s="276">
        <f>IF(AE76&gt;0,ROUND(AE76,0),0)</f>
        <v>2996</v>
      </c>
      <c r="Q762" s="276">
        <f>IF(AE77&gt;0,ROUND(AE77,0),0)</f>
        <v>0</v>
      </c>
      <c r="R762" s="276">
        <f>IF(AE78&gt;0,ROUND(AE78,0),0)</f>
        <v>2996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305120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054*2017*7220*A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054*2017*7230*A</v>
      </c>
      <c r="B764" s="276">
        <f>ROUND(AG59,0)</f>
        <v>4759</v>
      </c>
      <c r="C764" s="278">
        <f>ROUND(AG60,2)</f>
        <v>5.93</v>
      </c>
      <c r="D764" s="276">
        <f>ROUND(AG61,0)</f>
        <v>707729</v>
      </c>
      <c r="E764" s="276">
        <f>ROUND(AG62,0)</f>
        <v>222971</v>
      </c>
      <c r="F764" s="276">
        <f>ROUND(AG63,0)</f>
        <v>699806</v>
      </c>
      <c r="G764" s="276">
        <f>ROUND(AG64,0)</f>
        <v>63054</v>
      </c>
      <c r="H764" s="276">
        <f>ROUND(AG65,0)</f>
        <v>0</v>
      </c>
      <c r="I764" s="276">
        <f>ROUND(AG66,0)</f>
        <v>4323</v>
      </c>
      <c r="J764" s="276">
        <f>ROUND(AG67,0)</f>
        <v>35035</v>
      </c>
      <c r="K764" s="276">
        <f>ROUND(AG68,0)</f>
        <v>0</v>
      </c>
      <c r="L764" s="276">
        <f>ROUND(AG69,0)</f>
        <v>12003</v>
      </c>
      <c r="M764" s="276">
        <f>ROUND(AG70,0)</f>
        <v>0</v>
      </c>
      <c r="N764" s="276">
        <f>ROUND(AG75,0)</f>
        <v>4013600</v>
      </c>
      <c r="O764" s="276">
        <f>ROUND(AG73,0)</f>
        <v>0</v>
      </c>
      <c r="P764" s="276">
        <f>IF(AG76&gt;0,ROUND(AG76,0),0)</f>
        <v>1577</v>
      </c>
      <c r="Q764" s="276">
        <f>IF(AG77&gt;0,ROUND(AG77,0),0)</f>
        <v>0</v>
      </c>
      <c r="R764" s="276">
        <f>IF(AG78&gt;0,ROUND(AG78,0),0)</f>
        <v>1577</v>
      </c>
      <c r="S764" s="276">
        <f>IF(AG79&gt;0,ROUND(AG79,0),0)</f>
        <v>0</v>
      </c>
      <c r="T764" s="278">
        <f>IF(AG80&gt;0,ROUND(AG80,2),0)</f>
        <v>3.76</v>
      </c>
      <c r="U764" s="276"/>
      <c r="V764" s="277"/>
      <c r="W764" s="276"/>
      <c r="X764" s="276"/>
      <c r="Y764" s="276">
        <f t="shared" si="21"/>
        <v>461835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054*2017*7240*A</v>
      </c>
      <c r="B765" s="276">
        <f>ROUND(AH59,0)</f>
        <v>733</v>
      </c>
      <c r="C765" s="278">
        <f>ROUND(AH60,2)</f>
        <v>5.34</v>
      </c>
      <c r="D765" s="276">
        <f>ROUND(AH61,0)</f>
        <v>198589</v>
      </c>
      <c r="E765" s="276">
        <f>ROUND(AH62,0)</f>
        <v>62566</v>
      </c>
      <c r="F765" s="276">
        <f>ROUND(AH63,0)</f>
        <v>0</v>
      </c>
      <c r="G765" s="276">
        <f>ROUND(AH64,0)</f>
        <v>47128</v>
      </c>
      <c r="H765" s="276">
        <f>ROUND(AH65,0)</f>
        <v>13120</v>
      </c>
      <c r="I765" s="276">
        <f>ROUND(AH66,0)</f>
        <v>36631</v>
      </c>
      <c r="J765" s="276">
        <f>ROUND(AH67,0)</f>
        <v>36633</v>
      </c>
      <c r="K765" s="276">
        <f>ROUND(AH68,0)</f>
        <v>4846</v>
      </c>
      <c r="L765" s="276">
        <f>ROUND(AH69,0)</f>
        <v>13063</v>
      </c>
      <c r="M765" s="276">
        <f>ROUND(AH70,0)</f>
        <v>0</v>
      </c>
      <c r="N765" s="276">
        <f>ROUND(AH75,0)</f>
        <v>600549</v>
      </c>
      <c r="O765" s="276">
        <f>ROUND(AH73,0)</f>
        <v>94956</v>
      </c>
      <c r="P765" s="276">
        <f>IF(AH76&gt;0,ROUND(AH76,0),0)</f>
        <v>1650</v>
      </c>
      <c r="Q765" s="276">
        <f>IF(AH77&gt;0,ROUND(AH77,0),0)</f>
        <v>0</v>
      </c>
      <c r="R765" s="276">
        <f>IF(AH78&gt;0,ROUND(AH78,0),0)</f>
        <v>1650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108509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054*2017*7250*A</v>
      </c>
      <c r="B766" s="276">
        <f>ROUND(AI59,0)</f>
        <v>232</v>
      </c>
      <c r="C766" s="278">
        <f>ROUND(AI60,2)</f>
        <v>0.66</v>
      </c>
      <c r="D766" s="276">
        <f>ROUND(AI61,0)</f>
        <v>42834</v>
      </c>
      <c r="E766" s="276">
        <f>ROUND(AI62,0)</f>
        <v>13495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941449</v>
      </c>
      <c r="O766" s="276">
        <f>ROUND(AI73,0)</f>
        <v>142973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0.37</v>
      </c>
      <c r="U766" s="276"/>
      <c r="V766" s="277"/>
      <c r="W766" s="276"/>
      <c r="X766" s="276"/>
      <c r="Y766" s="276">
        <f t="shared" si="21"/>
        <v>77301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054*2017*7260*A</v>
      </c>
      <c r="B767" s="276">
        <f>ROUND(AJ59,0)</f>
        <v>19470</v>
      </c>
      <c r="C767" s="278">
        <f>ROUND(AJ60,2)</f>
        <v>29.8</v>
      </c>
      <c r="D767" s="276">
        <f>ROUND(AJ61,0)</f>
        <v>2286072</v>
      </c>
      <c r="E767" s="276">
        <f>ROUND(AJ62,0)</f>
        <v>720232</v>
      </c>
      <c r="F767" s="276">
        <f>ROUND(AJ63,0)</f>
        <v>1354455</v>
      </c>
      <c r="G767" s="276">
        <f>ROUND(AJ64,0)</f>
        <v>151928</v>
      </c>
      <c r="H767" s="276">
        <f>ROUND(AJ65,0)</f>
        <v>42108</v>
      </c>
      <c r="I767" s="276">
        <f>ROUND(AJ66,0)</f>
        <v>60192</v>
      </c>
      <c r="J767" s="276">
        <f>ROUND(AJ67,0)</f>
        <v>219016</v>
      </c>
      <c r="K767" s="276">
        <f>ROUND(AJ68,0)</f>
        <v>3783</v>
      </c>
      <c r="L767" s="276">
        <f>ROUND(AJ69,0)</f>
        <v>54217</v>
      </c>
      <c r="M767" s="276">
        <f>ROUND(AJ70,0)</f>
        <v>0</v>
      </c>
      <c r="N767" s="276">
        <f>ROUND(AJ75,0)</f>
        <v>5280727</v>
      </c>
      <c r="O767" s="276">
        <f>ROUND(AJ73,0)</f>
        <v>0</v>
      </c>
      <c r="P767" s="276">
        <f>IF(AJ76&gt;0,ROUND(AJ76,0),0)</f>
        <v>12086</v>
      </c>
      <c r="Q767" s="276">
        <f>IF(AJ77&gt;0,ROUND(AJ77,0),0)</f>
        <v>0</v>
      </c>
      <c r="R767" s="276">
        <f>IF(AJ78&gt;0,ROUND(AJ78,0),0)</f>
        <v>12086</v>
      </c>
      <c r="S767" s="276">
        <f>IF(AJ79&gt;0,ROUND(AJ79,0),0)</f>
        <v>0</v>
      </c>
      <c r="T767" s="278">
        <f>IF(AJ80&gt;0,ROUND(AJ80,2),0)</f>
        <v>8.76</v>
      </c>
      <c r="U767" s="276"/>
      <c r="V767" s="277"/>
      <c r="W767" s="276"/>
      <c r="X767" s="276"/>
      <c r="Y767" s="276">
        <f t="shared" si="21"/>
        <v>977175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054*2017*7310*A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054*2017*7320*A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054*2017*7330*A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054*2017*7340*A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054*2017*7350*A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054*2017*7380*A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054*2017*7390*A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054*2017*7400*A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054*2017*7410*A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054*2017*7420*A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054*2017*7430*A</v>
      </c>
      <c r="B778" s="276">
        <f>ROUND(AU59,0)</f>
        <v>25438</v>
      </c>
      <c r="C778" s="278">
        <f>ROUND(AU60,2)</f>
        <v>21.13</v>
      </c>
      <c r="D778" s="276">
        <f>ROUND(AU61,0)</f>
        <v>1055330</v>
      </c>
      <c r="E778" s="276">
        <f>ROUND(AU62,0)</f>
        <v>332484</v>
      </c>
      <c r="F778" s="276">
        <f>ROUND(AU63,0)</f>
        <v>6499</v>
      </c>
      <c r="G778" s="276">
        <f>ROUND(AU64,0)</f>
        <v>20847</v>
      </c>
      <c r="H778" s="276">
        <f>ROUND(AU65,0)</f>
        <v>18037</v>
      </c>
      <c r="I778" s="276">
        <f>ROUND(AU66,0)</f>
        <v>14931</v>
      </c>
      <c r="J778" s="276">
        <f>ROUND(AU67,0)</f>
        <v>21661</v>
      </c>
      <c r="K778" s="276">
        <f>ROUND(AU68,0)</f>
        <v>0</v>
      </c>
      <c r="L778" s="276">
        <f>ROUND(AU69,0)</f>
        <v>14524</v>
      </c>
      <c r="M778" s="276">
        <f>ROUND(AU70,0)</f>
        <v>0</v>
      </c>
      <c r="N778" s="276">
        <f>ROUND(AU75,0)</f>
        <v>320794</v>
      </c>
      <c r="O778" s="276">
        <f>ROUND(AU73,0)</f>
        <v>0</v>
      </c>
      <c r="P778" s="276">
        <f>IF(AU76&gt;0,ROUND(AU76,0),0)</f>
        <v>1910</v>
      </c>
      <c r="Q778" s="276">
        <f>IF(AU77&gt;0,ROUND(AU77,0),0)</f>
        <v>0</v>
      </c>
      <c r="R778" s="276">
        <f>IF(AU78&gt;0,ROUND(AU78,0),0)</f>
        <v>1910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246028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054*2017*7490*A</v>
      </c>
      <c r="B779" s="276"/>
      <c r="C779" s="278">
        <f>ROUND(AV60,2)</f>
        <v>2.46</v>
      </c>
      <c r="D779" s="276">
        <f>ROUND(AV61,0)</f>
        <v>164196</v>
      </c>
      <c r="E779" s="276">
        <f>ROUND(AV62,0)</f>
        <v>51730</v>
      </c>
      <c r="F779" s="276">
        <f>ROUND(AV63,0)</f>
        <v>77211</v>
      </c>
      <c r="G779" s="276">
        <f>ROUND(AV64,0)</f>
        <v>11384</v>
      </c>
      <c r="H779" s="276">
        <f>ROUND(AV65,0)</f>
        <v>0</v>
      </c>
      <c r="I779" s="276">
        <f>ROUND(AV66,0)</f>
        <v>7253</v>
      </c>
      <c r="J779" s="276">
        <f>ROUND(AV67,0)</f>
        <v>30146</v>
      </c>
      <c r="K779" s="276">
        <f>ROUND(AV68,0)</f>
        <v>94</v>
      </c>
      <c r="L779" s="276">
        <f>ROUND(AV69,0)</f>
        <v>6833</v>
      </c>
      <c r="M779" s="276">
        <f>ROUND(AV70,0)</f>
        <v>0</v>
      </c>
      <c r="N779" s="276">
        <f>ROUND(AV75,0)</f>
        <v>997444</v>
      </c>
      <c r="O779" s="276">
        <f>ROUND(AV73,0)</f>
        <v>52716</v>
      </c>
      <c r="P779" s="276">
        <f>IF(AV76&gt;0,ROUND(AV76,0),0)</f>
        <v>902</v>
      </c>
      <c r="Q779" s="276">
        <f>IF(AV77&gt;0,ROUND(AV77,0),0)</f>
        <v>0</v>
      </c>
      <c r="R779" s="276">
        <f>IF(AV78&gt;0,ROUND(AV78,0),0)</f>
        <v>902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109593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054*2017*8200*A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054*2017*8310*A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054*2017*8320*A</v>
      </c>
      <c r="B782" s="276">
        <f>ROUND(AY59,0)</f>
        <v>145630</v>
      </c>
      <c r="C782" s="278">
        <f>ROUND(AY60,2)</f>
        <v>11.64</v>
      </c>
      <c r="D782" s="276">
        <f>ROUND(AY61,0)</f>
        <v>408422</v>
      </c>
      <c r="E782" s="276">
        <f>ROUND(AY62,0)</f>
        <v>128674</v>
      </c>
      <c r="F782" s="276">
        <f>ROUND(AY63,0)</f>
        <v>14272</v>
      </c>
      <c r="G782" s="276">
        <f>ROUND(AY64,0)</f>
        <v>291204</v>
      </c>
      <c r="H782" s="276">
        <f>ROUND(AY65,0)</f>
        <v>0</v>
      </c>
      <c r="I782" s="276">
        <f>ROUND(AY66,0)</f>
        <v>4141</v>
      </c>
      <c r="J782" s="276">
        <f>ROUND(AY67,0)</f>
        <v>9924</v>
      </c>
      <c r="K782" s="276">
        <f>ROUND(AY68,0)</f>
        <v>0</v>
      </c>
      <c r="L782" s="276">
        <f>ROUND(AY69,0)</f>
        <v>1068</v>
      </c>
      <c r="M782" s="276">
        <f>ROUND(AY70,0)</f>
        <v>0</v>
      </c>
      <c r="N782" s="276"/>
      <c r="O782" s="276"/>
      <c r="P782" s="276">
        <f>IF(AY76&gt;0,ROUND(AY76,0),0)</f>
        <v>1054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054*2017*8330*A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6674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736</v>
      </c>
      <c r="Q783" s="276">
        <f>IF(AZ77&gt;0,ROUND(AZ77,0),0)</f>
        <v>145630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054*2017*8350*A</v>
      </c>
      <c r="B784" s="276">
        <f>ROUND(BA59,0)</f>
        <v>0</v>
      </c>
      <c r="C784" s="278">
        <f>ROUND(BA60,2)</f>
        <v>0.7</v>
      </c>
      <c r="D784" s="276">
        <f>ROUND(BA61,0)</f>
        <v>17472</v>
      </c>
      <c r="E784" s="276">
        <f>ROUND(BA62,0)</f>
        <v>5505</v>
      </c>
      <c r="F784" s="276">
        <f>ROUND(BA63,0)</f>
        <v>0</v>
      </c>
      <c r="G784" s="276">
        <f>ROUND(BA64,0)</f>
        <v>14770</v>
      </c>
      <c r="H784" s="276">
        <f>ROUND(BA65,0)</f>
        <v>0</v>
      </c>
      <c r="I784" s="276">
        <f>ROUND(BA66,0)</f>
        <v>167590</v>
      </c>
      <c r="J784" s="276">
        <f>ROUND(BA67,0)</f>
        <v>6773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747</v>
      </c>
      <c r="Q784" s="276">
        <f>IF(BA77&gt;0,ROUND(BA77,0),0)</f>
        <v>0</v>
      </c>
      <c r="R784" s="276">
        <f>IF(BA78&gt;0,ROUND(BA78,0),0)</f>
        <v>747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054*2017*8360*A</v>
      </c>
      <c r="B785" s="276"/>
      <c r="C785" s="278">
        <f>ROUND(BB60,2)</f>
        <v>1.67</v>
      </c>
      <c r="D785" s="276">
        <f>ROUND(BB61,0)</f>
        <v>127164</v>
      </c>
      <c r="E785" s="276">
        <f>ROUND(BB62,0)</f>
        <v>40063</v>
      </c>
      <c r="F785" s="276">
        <f>ROUND(BB63,0)</f>
        <v>0</v>
      </c>
      <c r="G785" s="276">
        <f>ROUND(BB64,0)</f>
        <v>647</v>
      </c>
      <c r="H785" s="276">
        <f>ROUND(BB65,0)</f>
        <v>0</v>
      </c>
      <c r="I785" s="276">
        <f>ROUND(BB66,0)</f>
        <v>0</v>
      </c>
      <c r="J785" s="276">
        <f>ROUND(BB67,0)</f>
        <v>907</v>
      </c>
      <c r="K785" s="276">
        <f>ROUND(BB68,0)</f>
        <v>0</v>
      </c>
      <c r="L785" s="276">
        <f>ROUND(BB69,0)</f>
        <v>2481</v>
      </c>
      <c r="M785" s="276">
        <f>ROUND(BB70,0)</f>
        <v>0</v>
      </c>
      <c r="N785" s="276"/>
      <c r="O785" s="276"/>
      <c r="P785" s="276">
        <f>IF(BB76&gt;0,ROUND(BB76,0),0)</f>
        <v>100</v>
      </c>
      <c r="Q785" s="276">
        <f>IF(BB77&gt;0,ROUND(BB77,0),0)</f>
        <v>0</v>
      </c>
      <c r="R785" s="276">
        <f>IF(BB78&gt;0,ROUND(BB78,0),0)</f>
        <v>100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054*2017*8370*A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054*2017*8420*A</v>
      </c>
      <c r="B787" s="276"/>
      <c r="C787" s="278">
        <f>ROUND(BD60,2)</f>
        <v>1.92</v>
      </c>
      <c r="D787" s="276">
        <f>ROUND(BD61,0)</f>
        <v>95477</v>
      </c>
      <c r="E787" s="276">
        <f>ROUND(BD62,0)</f>
        <v>30080</v>
      </c>
      <c r="F787" s="276">
        <f>ROUND(BD63,0)</f>
        <v>0</v>
      </c>
      <c r="G787" s="276">
        <f>ROUND(BD64,0)</f>
        <v>2325</v>
      </c>
      <c r="H787" s="276">
        <f>ROUND(BD65,0)</f>
        <v>0</v>
      </c>
      <c r="I787" s="276">
        <f>ROUND(BD66,0)</f>
        <v>-28598</v>
      </c>
      <c r="J787" s="276">
        <f>ROUND(BD67,0)</f>
        <v>907</v>
      </c>
      <c r="K787" s="276">
        <f>ROUND(BD68,0)</f>
        <v>0</v>
      </c>
      <c r="L787" s="276">
        <f>ROUND(BD69,0)</f>
        <v>865</v>
      </c>
      <c r="M787" s="276">
        <f>ROUND(BD70,0)</f>
        <v>0</v>
      </c>
      <c r="N787" s="276"/>
      <c r="O787" s="276"/>
      <c r="P787" s="276">
        <f>IF(BD76&gt;0,ROUND(BD76,0),0)</f>
        <v>100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054*2017*8430*A</v>
      </c>
      <c r="B788" s="276">
        <f>ROUND(BE59,0)</f>
        <v>56157</v>
      </c>
      <c r="C788" s="278">
        <f>ROUND(BE60,2)</f>
        <v>5.0599999999999996</v>
      </c>
      <c r="D788" s="276">
        <f>ROUND(BE61,0)</f>
        <v>281992</v>
      </c>
      <c r="E788" s="276">
        <f>ROUND(BE62,0)</f>
        <v>88842</v>
      </c>
      <c r="F788" s="276">
        <f>ROUND(BE63,0)</f>
        <v>0</v>
      </c>
      <c r="G788" s="276">
        <f>ROUND(BE64,0)</f>
        <v>64627</v>
      </c>
      <c r="H788" s="276">
        <f>ROUND(BE65,0)</f>
        <v>296210</v>
      </c>
      <c r="I788" s="276">
        <f>ROUND(BE66,0)</f>
        <v>202956</v>
      </c>
      <c r="J788" s="276">
        <f>ROUND(BE67,0)</f>
        <v>22525</v>
      </c>
      <c r="K788" s="276">
        <f>ROUND(BE68,0)</f>
        <v>26361</v>
      </c>
      <c r="L788" s="276">
        <f>ROUND(BE69,0)</f>
        <v>2288</v>
      </c>
      <c r="M788" s="276">
        <f>ROUND(BE70,0)</f>
        <v>0</v>
      </c>
      <c r="N788" s="276"/>
      <c r="O788" s="276"/>
      <c r="P788" s="276">
        <f>IF(BE76&gt;0,ROUND(BE76,0),0)</f>
        <v>1764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054*2017*8460*A</v>
      </c>
      <c r="B789" s="276"/>
      <c r="C789" s="278">
        <f>ROUND(BF60,2)</f>
        <v>12.58</v>
      </c>
      <c r="D789" s="276">
        <f>ROUND(BF61,0)</f>
        <v>381495</v>
      </c>
      <c r="E789" s="276">
        <f>ROUND(BF62,0)</f>
        <v>120191</v>
      </c>
      <c r="F789" s="276">
        <f>ROUND(BF63,0)</f>
        <v>0</v>
      </c>
      <c r="G789" s="276">
        <f>ROUND(BF64,0)</f>
        <v>68192</v>
      </c>
      <c r="H789" s="276">
        <f>ROUND(BF65,0)</f>
        <v>0</v>
      </c>
      <c r="I789" s="276">
        <f>ROUND(BF66,0)</f>
        <v>1232</v>
      </c>
      <c r="J789" s="276">
        <f>ROUND(BF67,0)</f>
        <v>2187</v>
      </c>
      <c r="K789" s="276">
        <f>ROUND(BF68,0)</f>
        <v>0</v>
      </c>
      <c r="L789" s="276">
        <f>ROUND(BF69,0)</f>
        <v>88</v>
      </c>
      <c r="M789" s="276">
        <f>ROUND(BF70,0)</f>
        <v>0</v>
      </c>
      <c r="N789" s="276"/>
      <c r="O789" s="276"/>
      <c r="P789" s="276">
        <f>IF(BF76&gt;0,ROUND(BF76,0),0)</f>
        <v>115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054*2017*8470*A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054*2017*8480*A</v>
      </c>
      <c r="B791" s="276"/>
      <c r="C791" s="278">
        <f>ROUND(BH60,2)</f>
        <v>2.87</v>
      </c>
      <c r="D791" s="276">
        <f>ROUND(BH61,0)</f>
        <v>194368</v>
      </c>
      <c r="E791" s="276">
        <f>ROUND(BH62,0)</f>
        <v>61236</v>
      </c>
      <c r="F791" s="276">
        <f>ROUND(BH63,0)</f>
        <v>56777</v>
      </c>
      <c r="G791" s="276">
        <f>ROUND(BH64,0)</f>
        <v>24925</v>
      </c>
      <c r="H791" s="276">
        <f>ROUND(BH65,0)</f>
        <v>0</v>
      </c>
      <c r="I791" s="276">
        <f>ROUND(BH66,0)</f>
        <v>301141</v>
      </c>
      <c r="J791" s="276">
        <f>ROUND(BH67,0)</f>
        <v>421722</v>
      </c>
      <c r="K791" s="276">
        <f>ROUND(BH68,0)</f>
        <v>0</v>
      </c>
      <c r="L791" s="276">
        <f>ROUND(BH69,0)</f>
        <v>12418</v>
      </c>
      <c r="M791" s="276">
        <f>ROUND(BH70,0)</f>
        <v>0</v>
      </c>
      <c r="N791" s="276"/>
      <c r="O791" s="276"/>
      <c r="P791" s="276">
        <f>IF(BH76&gt;0,ROUND(BH76,0),0)</f>
        <v>356</v>
      </c>
      <c r="Q791" s="276">
        <f>IF(BH77&gt;0,ROUND(BH77,0),0)</f>
        <v>0</v>
      </c>
      <c r="R791" s="276">
        <f>IF(BH78&gt;0,ROUND(BH78,0),0)</f>
        <v>356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054*2017*8490*A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054*2017*8510*A</v>
      </c>
      <c r="B793" s="276"/>
      <c r="C793" s="278">
        <f>ROUND(BJ60,2)</f>
        <v>3.5</v>
      </c>
      <c r="D793" s="276">
        <f>ROUND(BJ61,0)</f>
        <v>172166</v>
      </c>
      <c r="E793" s="276">
        <f>ROUND(BJ62,0)</f>
        <v>54241</v>
      </c>
      <c r="F793" s="276">
        <f>ROUND(BJ63,0)</f>
        <v>75982</v>
      </c>
      <c r="G793" s="276">
        <f>ROUND(BJ64,0)</f>
        <v>4786</v>
      </c>
      <c r="H793" s="276">
        <f>ROUND(BJ65,0)</f>
        <v>0</v>
      </c>
      <c r="I793" s="276">
        <f>ROUND(BJ66,0)</f>
        <v>4551</v>
      </c>
      <c r="J793" s="276">
        <f>ROUND(BJ67,0)</f>
        <v>0</v>
      </c>
      <c r="K793" s="276">
        <f>ROUND(BJ68,0)</f>
        <v>0</v>
      </c>
      <c r="L793" s="276">
        <f>ROUND(BJ69,0)</f>
        <v>11295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054*2017*8530*A</v>
      </c>
      <c r="B794" s="276"/>
      <c r="C794" s="278">
        <f>ROUND(BK60,2)</f>
        <v>12.46</v>
      </c>
      <c r="D794" s="276">
        <f>ROUND(BK61,0)</f>
        <v>513777</v>
      </c>
      <c r="E794" s="276">
        <f>ROUND(BK62,0)</f>
        <v>161866</v>
      </c>
      <c r="F794" s="276">
        <f>ROUND(BK63,0)</f>
        <v>25</v>
      </c>
      <c r="G794" s="276">
        <f>ROUND(BK64,0)</f>
        <v>15073</v>
      </c>
      <c r="H794" s="276">
        <f>ROUND(BK65,0)</f>
        <v>0</v>
      </c>
      <c r="I794" s="276">
        <f>ROUND(BK66,0)</f>
        <v>37936</v>
      </c>
      <c r="J794" s="276">
        <f>ROUND(BK67,0)</f>
        <v>17213</v>
      </c>
      <c r="K794" s="276">
        <f>ROUND(BK68,0)</f>
        <v>0</v>
      </c>
      <c r="L794" s="276">
        <f>ROUND(BK69,0)</f>
        <v>890</v>
      </c>
      <c r="M794" s="276">
        <f>ROUND(BK70,0)</f>
        <v>0</v>
      </c>
      <c r="N794" s="276"/>
      <c r="O794" s="276"/>
      <c r="P794" s="276">
        <f>IF(BK76&gt;0,ROUND(BK76,0),0)</f>
        <v>1844</v>
      </c>
      <c r="Q794" s="276">
        <f>IF(BK77&gt;0,ROUND(BK77,0),0)</f>
        <v>0</v>
      </c>
      <c r="R794" s="276">
        <f>IF(BK78&gt;0,ROUND(BK78,0),0)</f>
        <v>1844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054*2017*8560*A</v>
      </c>
      <c r="B795" s="276"/>
      <c r="C795" s="278">
        <f>ROUND(BL60,2)</f>
        <v>5.13</v>
      </c>
      <c r="D795" s="276">
        <f>ROUND(BL61,0)</f>
        <v>192660</v>
      </c>
      <c r="E795" s="276">
        <f>ROUND(BL62,0)</f>
        <v>60698</v>
      </c>
      <c r="F795" s="276">
        <f>ROUND(BL63,0)</f>
        <v>58</v>
      </c>
      <c r="G795" s="276">
        <f>ROUND(BL64,0)</f>
        <v>5888</v>
      </c>
      <c r="H795" s="276">
        <f>ROUND(BL65,0)</f>
        <v>0</v>
      </c>
      <c r="I795" s="276">
        <f>ROUND(BL66,0)</f>
        <v>437</v>
      </c>
      <c r="J795" s="276">
        <f>ROUND(BL67,0)</f>
        <v>1363</v>
      </c>
      <c r="K795" s="276">
        <f>ROUND(BL68,0)</f>
        <v>5070</v>
      </c>
      <c r="L795" s="276">
        <f>ROUND(BL69,0)</f>
        <v>35818</v>
      </c>
      <c r="M795" s="276">
        <f>ROUND(BL70,0)</f>
        <v>0</v>
      </c>
      <c r="N795" s="276"/>
      <c r="O795" s="276"/>
      <c r="P795" s="276">
        <f>IF(BL76&gt;0,ROUND(BL76,0),0)</f>
        <v>148</v>
      </c>
      <c r="Q795" s="276">
        <f>IF(BL77&gt;0,ROUND(BL77,0),0)</f>
        <v>0</v>
      </c>
      <c r="R795" s="276">
        <f>IF(BL78&gt;0,ROUND(BL78,0),0)</f>
        <v>148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054*2017*8590*A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054*2017*8610*A</v>
      </c>
      <c r="B797" s="276"/>
      <c r="C797" s="278">
        <f>ROUND(BN60,2)</f>
        <v>4.07</v>
      </c>
      <c r="D797" s="276">
        <f>ROUND(BN61,0)</f>
        <v>442208</v>
      </c>
      <c r="E797" s="276">
        <f>ROUND(BN62,0)</f>
        <v>139319</v>
      </c>
      <c r="F797" s="276">
        <f>ROUND(BN63,0)</f>
        <v>105769</v>
      </c>
      <c r="G797" s="276">
        <f>ROUND(BN64,0)</f>
        <v>49648</v>
      </c>
      <c r="H797" s="276">
        <f>ROUND(BN65,0)</f>
        <v>35831</v>
      </c>
      <c r="I797" s="276">
        <f>ROUND(BN66,0)</f>
        <v>75857</v>
      </c>
      <c r="J797" s="276">
        <f>ROUND(BN67,0)</f>
        <v>67729</v>
      </c>
      <c r="K797" s="276">
        <f>ROUND(BN68,0)</f>
        <v>1558</v>
      </c>
      <c r="L797" s="276">
        <f>ROUND(BN69,0)</f>
        <v>115974</v>
      </c>
      <c r="M797" s="276">
        <f>ROUND(BN70,0)</f>
        <v>0</v>
      </c>
      <c r="N797" s="276"/>
      <c r="O797" s="276"/>
      <c r="P797" s="276">
        <f>IF(BN76&gt;0,ROUND(BN76,0),0)</f>
        <v>6685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054*2017*8620*A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054*2017*8630*A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054*2017*8640*A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054*2017*8650*A</v>
      </c>
      <c r="B801" s="276"/>
      <c r="C801" s="278">
        <f>ROUND(BR60,2)</f>
        <v>2.04</v>
      </c>
      <c r="D801" s="276">
        <f>ROUND(BR61,0)</f>
        <v>113028</v>
      </c>
      <c r="E801" s="276">
        <f>ROUND(BR62,0)</f>
        <v>35610</v>
      </c>
      <c r="F801" s="276">
        <f>ROUND(BR63,0)</f>
        <v>9440</v>
      </c>
      <c r="G801" s="276">
        <f>ROUND(BR64,0)</f>
        <v>2901</v>
      </c>
      <c r="H801" s="276">
        <f>ROUND(BR65,0)</f>
        <v>0</v>
      </c>
      <c r="I801" s="276">
        <f>ROUND(BR66,0)</f>
        <v>82771</v>
      </c>
      <c r="J801" s="276">
        <f>ROUND(BR67,0)</f>
        <v>8954</v>
      </c>
      <c r="K801" s="276">
        <f>ROUND(BR68,0)</f>
        <v>0</v>
      </c>
      <c r="L801" s="276">
        <f>ROUND(BR69,0)</f>
        <v>5732</v>
      </c>
      <c r="M801" s="276">
        <f>ROUND(BR70,0)</f>
        <v>0</v>
      </c>
      <c r="N801" s="276"/>
      <c r="O801" s="276"/>
      <c r="P801" s="276">
        <f>IF(BR76&gt;0,ROUND(BR76,0),0)</f>
        <v>406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054*2017*8660*A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054*2017*8670*A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054*2017*8680*A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054*2017*8690*A</v>
      </c>
      <c r="B805" s="276"/>
      <c r="C805" s="278">
        <f>ROUND(BV60,2)</f>
        <v>3.38</v>
      </c>
      <c r="D805" s="276">
        <f>ROUND(BV61,0)</f>
        <v>147631</v>
      </c>
      <c r="E805" s="276">
        <f>ROUND(BV62,0)</f>
        <v>46511</v>
      </c>
      <c r="F805" s="276">
        <f>ROUND(BV63,0)</f>
        <v>56717</v>
      </c>
      <c r="G805" s="276">
        <f>ROUND(BV64,0)</f>
        <v>5616</v>
      </c>
      <c r="H805" s="276">
        <f>ROUND(BV65,0)</f>
        <v>0</v>
      </c>
      <c r="I805" s="276">
        <f>ROUND(BV66,0)</f>
        <v>20162</v>
      </c>
      <c r="J805" s="276">
        <f>ROUND(BV67,0)</f>
        <v>5891</v>
      </c>
      <c r="K805" s="276">
        <f>ROUND(BV68,0)</f>
        <v>0</v>
      </c>
      <c r="L805" s="276">
        <f>ROUND(BV69,0)</f>
        <v>14129</v>
      </c>
      <c r="M805" s="276">
        <f>ROUND(BV70,0)</f>
        <v>0</v>
      </c>
      <c r="N805" s="276"/>
      <c r="O805" s="276"/>
      <c r="P805" s="276">
        <f>IF(BV76&gt;0,ROUND(BV76,0),0)</f>
        <v>612</v>
      </c>
      <c r="Q805" s="276">
        <f>IF(BV77&gt;0,ROUND(BV77,0),0)</f>
        <v>0</v>
      </c>
      <c r="R805" s="276">
        <f>IF(BV78&gt;0,ROUND(BV78,0),0)</f>
        <v>612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054*2017*8700*A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0</v>
      </c>
      <c r="G806" s="276">
        <f>ROUND(BW64,0)</f>
        <v>0</v>
      </c>
      <c r="H806" s="276">
        <f>ROUND(BW65,0)</f>
        <v>0</v>
      </c>
      <c r="I806" s="276">
        <f>ROUND(BW66,0)</f>
        <v>0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054*2017*8710*A</v>
      </c>
      <c r="B807" s="276"/>
      <c r="C807" s="278">
        <f>ROUND(BX60,2)</f>
        <v>1.27</v>
      </c>
      <c r="D807" s="276">
        <f>ROUND(BX61,0)</f>
        <v>139578</v>
      </c>
      <c r="E807" s="276">
        <f>ROUND(BX62,0)</f>
        <v>43974</v>
      </c>
      <c r="F807" s="276">
        <f>ROUND(BX63,0)</f>
        <v>333</v>
      </c>
      <c r="G807" s="276">
        <f>ROUND(BX64,0)</f>
        <v>1587</v>
      </c>
      <c r="H807" s="276">
        <f>ROUND(BX65,0)</f>
        <v>0</v>
      </c>
      <c r="I807" s="276">
        <f>ROUND(BX66,0)</f>
        <v>12071</v>
      </c>
      <c r="J807" s="276">
        <f>ROUND(BX67,0)</f>
        <v>0</v>
      </c>
      <c r="K807" s="276">
        <f>ROUND(BX68,0)</f>
        <v>0</v>
      </c>
      <c r="L807" s="276">
        <f>ROUND(BX69,0)</f>
        <v>3497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054*2017*8720*A</v>
      </c>
      <c r="B808" s="276"/>
      <c r="C808" s="278">
        <f>ROUND(BY60,2)</f>
        <v>2.25</v>
      </c>
      <c r="D808" s="276">
        <f>ROUND(BY61,0)</f>
        <v>176034</v>
      </c>
      <c r="E808" s="276">
        <f>ROUND(BY62,0)</f>
        <v>55460</v>
      </c>
      <c r="F808" s="276">
        <f>ROUND(BY63,0)</f>
        <v>0</v>
      </c>
      <c r="G808" s="276">
        <f>ROUND(BY64,0)</f>
        <v>731</v>
      </c>
      <c r="H808" s="276">
        <f>ROUND(BY65,0)</f>
        <v>0</v>
      </c>
      <c r="I808" s="276">
        <f>ROUND(BY66,0)</f>
        <v>30</v>
      </c>
      <c r="J808" s="276">
        <f>ROUND(BY67,0)</f>
        <v>1904</v>
      </c>
      <c r="K808" s="276">
        <f>ROUND(BY68,0)</f>
        <v>0</v>
      </c>
      <c r="L808" s="276">
        <f>ROUND(BY69,0)</f>
        <v>5156</v>
      </c>
      <c r="M808" s="276">
        <f>ROUND(BY70,0)</f>
        <v>0</v>
      </c>
      <c r="N808" s="276"/>
      <c r="O808" s="276"/>
      <c r="P808" s="276">
        <f>IF(BY76&gt;0,ROUND(BY76,0),0)</f>
        <v>210</v>
      </c>
      <c r="Q808" s="276">
        <f>IF(BY77&gt;0,ROUND(BY77,0),0)</f>
        <v>0</v>
      </c>
      <c r="R808" s="276">
        <f>IF(BY78&gt;0,ROUND(BY78,0),0)</f>
        <v>210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054*2017*8730*A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054*2017*8740*A</v>
      </c>
      <c r="B810" s="276"/>
      <c r="C810" s="278">
        <f>ROUND(CA60,2)</f>
        <v>0.84</v>
      </c>
      <c r="D810" s="276">
        <f>ROUND(CA61,0)</f>
        <v>56970</v>
      </c>
      <c r="E810" s="276">
        <f>ROUND(CA62,0)</f>
        <v>17949</v>
      </c>
      <c r="F810" s="276">
        <f>ROUND(CA63,0)</f>
        <v>0</v>
      </c>
      <c r="G810" s="276">
        <f>ROUND(CA64,0)</f>
        <v>1358</v>
      </c>
      <c r="H810" s="276">
        <f>ROUND(CA65,0)</f>
        <v>0</v>
      </c>
      <c r="I810" s="276">
        <f>ROUND(CA66,0)</f>
        <v>0</v>
      </c>
      <c r="J810" s="276">
        <f>ROUND(CA67,0)</f>
        <v>824</v>
      </c>
      <c r="K810" s="276">
        <f>ROUND(CA68,0)</f>
        <v>0</v>
      </c>
      <c r="L810" s="276">
        <f>ROUND(CA69,0)</f>
        <v>14806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054*2017*8770*A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56</v>
      </c>
      <c r="G811" s="276">
        <f>ROUND(CB64,0)</f>
        <v>0</v>
      </c>
      <c r="H811" s="276">
        <f>ROUND(CB65,0)</f>
        <v>0</v>
      </c>
      <c r="I811" s="276">
        <f>ROUND(CB66,0)</f>
        <v>24</v>
      </c>
      <c r="J811" s="276">
        <f>ROUND(CB67,0)</f>
        <v>24</v>
      </c>
      <c r="K811" s="276">
        <f>ROUND(CB68,0)</f>
        <v>0</v>
      </c>
      <c r="L811" s="276">
        <f>ROUND(CB69,0)</f>
        <v>398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054*2017*8790*A</v>
      </c>
      <c r="B812" s="276"/>
      <c r="C812" s="278">
        <f>ROUND(CC60,2)</f>
        <v>0</v>
      </c>
      <c r="D812" s="276">
        <f>ROUND(CC61,0)</f>
        <v>0</v>
      </c>
      <c r="E812" s="276">
        <f>ROUND(CC62,0)</f>
        <v>0</v>
      </c>
      <c r="F812" s="276">
        <f>ROUND(CC63,0)</f>
        <v>0</v>
      </c>
      <c r="G812" s="276">
        <f>ROUND(CC64,0)</f>
        <v>0</v>
      </c>
      <c r="H812" s="276">
        <f>ROUND(CC65,0)</f>
        <v>0</v>
      </c>
      <c r="I812" s="276">
        <f>ROUND(CC66,0)</f>
        <v>12056</v>
      </c>
      <c r="J812" s="276">
        <f>ROUND(CC67,0)</f>
        <v>0</v>
      </c>
      <c r="K812" s="276">
        <f>ROUND(CC68,0)</f>
        <v>0</v>
      </c>
      <c r="L812" s="276">
        <f>ROUND(CC69,0)</f>
        <v>113</v>
      </c>
      <c r="M812" s="276">
        <f>ROUND(CC70,0)</f>
        <v>0</v>
      </c>
      <c r="N812" s="276"/>
      <c r="O812" s="276"/>
      <c r="P812" s="276">
        <f>IF(CC76&gt;0,ROUND(CC76,0),0)</f>
        <v>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054*2017*9000*A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901859</v>
      </c>
      <c r="V813" s="277">
        <f>ROUND(CD70,0)</f>
        <v>2405123</v>
      </c>
      <c r="W813" s="276">
        <f>ROUND(CE72,0)</f>
        <v>762139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213.44000000000003</v>
      </c>
      <c r="D815" s="277">
        <f t="shared" si="22"/>
        <v>13524337</v>
      </c>
      <c r="E815" s="277">
        <f t="shared" si="22"/>
        <v>4260871</v>
      </c>
      <c r="F815" s="277">
        <f t="shared" si="22"/>
        <v>3206240</v>
      </c>
      <c r="G815" s="277">
        <f t="shared" si="22"/>
        <v>2681479</v>
      </c>
      <c r="H815" s="277">
        <f t="shared" si="22"/>
        <v>407765</v>
      </c>
      <c r="I815" s="277">
        <f t="shared" si="22"/>
        <v>1526938</v>
      </c>
      <c r="J815" s="277">
        <f t="shared" si="22"/>
        <v>1306037</v>
      </c>
      <c r="K815" s="277">
        <f t="shared" si="22"/>
        <v>62500</v>
      </c>
      <c r="L815" s="277">
        <f>SUM(L734:L813)+SUM(U734:U813)</f>
        <v>1275016</v>
      </c>
      <c r="M815" s="277">
        <f>SUM(M734:M813)+SUM(V734:V813)</f>
        <v>2405123</v>
      </c>
      <c r="N815" s="277">
        <f t="shared" ref="N815:Y815" si="23">SUM(N734:N813)</f>
        <v>44307496</v>
      </c>
      <c r="O815" s="277">
        <f t="shared" si="23"/>
        <v>9518118</v>
      </c>
      <c r="P815" s="277">
        <f t="shared" si="23"/>
        <v>56157</v>
      </c>
      <c r="Q815" s="277">
        <f t="shared" si="23"/>
        <v>145630</v>
      </c>
      <c r="R815" s="277">
        <f t="shared" si="23"/>
        <v>45297</v>
      </c>
      <c r="S815" s="277">
        <f t="shared" si="23"/>
        <v>1</v>
      </c>
      <c r="T815" s="281">
        <f t="shared" si="23"/>
        <v>36.97</v>
      </c>
      <c r="U815" s="277">
        <f t="shared" si="23"/>
        <v>901859</v>
      </c>
      <c r="V815" s="277">
        <f t="shared" si="23"/>
        <v>2405123</v>
      </c>
      <c r="W815" s="277">
        <f t="shared" si="23"/>
        <v>762139</v>
      </c>
      <c r="X815" s="277">
        <f t="shared" si="23"/>
        <v>0</v>
      </c>
      <c r="Y815" s="277">
        <f t="shared" si="23"/>
        <v>5983026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213.44000000000003</v>
      </c>
      <c r="D816" s="277">
        <f>CE61</f>
        <v>13524337</v>
      </c>
      <c r="E816" s="277">
        <f>CE62</f>
        <v>4260871</v>
      </c>
      <c r="F816" s="277">
        <f>CE63</f>
        <v>3206240</v>
      </c>
      <c r="G816" s="277">
        <f>CE64</f>
        <v>2681479</v>
      </c>
      <c r="H816" s="280">
        <f>CE65</f>
        <v>407765</v>
      </c>
      <c r="I816" s="280">
        <f>CE66</f>
        <v>1526938</v>
      </c>
      <c r="J816" s="280">
        <f>CE67</f>
        <v>1306037</v>
      </c>
      <c r="K816" s="280">
        <f>CE68</f>
        <v>62500</v>
      </c>
      <c r="L816" s="280">
        <f>CE69</f>
        <v>1275016.3900000001</v>
      </c>
      <c r="M816" s="280">
        <f>CE70</f>
        <v>2405123.09</v>
      </c>
      <c r="N816" s="277">
        <f>CE75</f>
        <v>44307496</v>
      </c>
      <c r="O816" s="277">
        <f>CE73</f>
        <v>9518118</v>
      </c>
      <c r="P816" s="277">
        <f>CE76</f>
        <v>56157</v>
      </c>
      <c r="Q816" s="277">
        <f>CE77</f>
        <v>145630</v>
      </c>
      <c r="R816" s="277">
        <f>CE78</f>
        <v>45297</v>
      </c>
      <c r="S816" s="277">
        <f>CE79</f>
        <v>1</v>
      </c>
      <c r="T816" s="281">
        <f>CE80</f>
        <v>36.970000000000006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5983028.3000000007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13524335.59</v>
      </c>
      <c r="E817" s="180">
        <f>C379</f>
        <v>4260869.7300000004</v>
      </c>
      <c r="F817" s="180">
        <f>C380</f>
        <v>3206239.69</v>
      </c>
      <c r="G817" s="240">
        <f>C381</f>
        <v>2681475.65</v>
      </c>
      <c r="H817" s="240">
        <f>C382</f>
        <v>407766.32</v>
      </c>
      <c r="I817" s="240">
        <f>C383</f>
        <v>1526936.12</v>
      </c>
      <c r="J817" s="240">
        <f>C384</f>
        <v>1306037.17</v>
      </c>
      <c r="K817" s="240">
        <f>C385</f>
        <v>62499.34</v>
      </c>
      <c r="L817" s="240">
        <f>C386+C387+C388+C389</f>
        <v>1275012.3899999999</v>
      </c>
      <c r="M817" s="240">
        <f>C370</f>
        <v>2405123.09</v>
      </c>
      <c r="N817" s="180">
        <f>D361</f>
        <v>44307496.18</v>
      </c>
      <c r="O817" s="180">
        <f>C359</f>
        <v>9518118.25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Forks Community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H-054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530 Bogachiel Way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530 Bogachiel Way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Forks, WA 98331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topLeftCell="A16" zoomScale="75" workbookViewId="0">
      <selection activeCell="K23" sqref="K23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H-54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Forks Community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Clallam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Tim Cournyer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Paul Babcock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Don Lawley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(360)374-6271 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(360)374-5220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206</v>
      </c>
      <c r="G23" s="21">
        <f>data!D111</f>
        <v>662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177</v>
      </c>
      <c r="G24" s="21">
        <f>data!D112</f>
        <v>8038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5</v>
      </c>
      <c r="G26" s="13">
        <f>data!D114</f>
        <v>12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12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8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17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37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0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Forks Community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127</v>
      </c>
      <c r="C7" s="48">
        <f>data!B139</f>
        <v>413</v>
      </c>
      <c r="D7" s="48">
        <f>data!B140</f>
        <v>0</v>
      </c>
      <c r="E7" s="48">
        <f>data!B141</f>
        <v>2222410.2400000002</v>
      </c>
      <c r="F7" s="48">
        <f>data!B142</f>
        <v>12294017.889999999</v>
      </c>
      <c r="G7" s="48">
        <f>data!B141+data!B142</f>
        <v>14516428.129999999</v>
      </c>
    </row>
    <row r="8" spans="1:13" ht="20.100000000000001" customHeight="1" x14ac:dyDescent="0.25">
      <c r="A8" s="23" t="s">
        <v>297</v>
      </c>
      <c r="B8" s="48">
        <f>data!C138</f>
        <v>35</v>
      </c>
      <c r="C8" s="48">
        <f>data!C139</f>
        <v>103</v>
      </c>
      <c r="D8" s="48">
        <f>data!C140</f>
        <v>0</v>
      </c>
      <c r="E8" s="48">
        <f>data!C141</f>
        <v>1708722</v>
      </c>
      <c r="F8" s="48">
        <f>data!C142</f>
        <v>10746095</v>
      </c>
      <c r="G8" s="48">
        <f>data!C141+data!C142</f>
        <v>12454817</v>
      </c>
    </row>
    <row r="9" spans="1:13" ht="20.100000000000001" customHeight="1" x14ac:dyDescent="0.25">
      <c r="A9" s="23" t="s">
        <v>1058</v>
      </c>
      <c r="B9" s="48">
        <f>data!D138</f>
        <v>44</v>
      </c>
      <c r="C9" s="48">
        <f>data!D139</f>
        <v>146</v>
      </c>
      <c r="D9" s="48">
        <f>data!D140</f>
        <v>0</v>
      </c>
      <c r="E9" s="48">
        <f>data!D141</f>
        <v>370084</v>
      </c>
      <c r="F9" s="48">
        <f>data!D142</f>
        <v>15001482</v>
      </c>
      <c r="G9" s="48">
        <f>data!D141+data!D142</f>
        <v>15371566</v>
      </c>
    </row>
    <row r="10" spans="1:13" ht="20.100000000000001" customHeight="1" x14ac:dyDescent="0.25">
      <c r="A10" s="111" t="s">
        <v>203</v>
      </c>
      <c r="B10" s="48">
        <f>data!E138</f>
        <v>206</v>
      </c>
      <c r="C10" s="48">
        <f>data!E139</f>
        <v>662</v>
      </c>
      <c r="D10" s="48">
        <f>data!E140</f>
        <v>0</v>
      </c>
      <c r="E10" s="48">
        <f>data!E141</f>
        <v>4301216.24</v>
      </c>
      <c r="F10" s="48">
        <f>data!E142</f>
        <v>38041594.890000001</v>
      </c>
      <c r="G10" s="48">
        <f>data!E141+data!E142</f>
        <v>42342811.130000003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73</v>
      </c>
      <c r="C16" s="48">
        <f>data!B145</f>
        <v>690</v>
      </c>
      <c r="D16" s="48">
        <f>data!B146</f>
        <v>0</v>
      </c>
      <c r="E16" s="48">
        <f>data!B147</f>
        <v>1957915.2200000002</v>
      </c>
      <c r="F16" s="48">
        <f>data!B148</f>
        <v>0</v>
      </c>
      <c r="G16" s="48">
        <f>data!B147+data!B148</f>
        <v>1957915.2200000002</v>
      </c>
    </row>
    <row r="17" spans="1:7" ht="20.100000000000001" customHeight="1" x14ac:dyDescent="0.25">
      <c r="A17" s="23" t="s">
        <v>297</v>
      </c>
      <c r="B17" s="48">
        <f>data!C144</f>
        <v>69</v>
      </c>
      <c r="C17" s="48">
        <f>data!C145</f>
        <v>5168</v>
      </c>
      <c r="D17" s="48">
        <f>data!C146</f>
        <v>0</v>
      </c>
      <c r="E17" s="48">
        <f>data!C147</f>
        <v>1504037</v>
      </c>
      <c r="F17" s="48">
        <f>data!C148</f>
        <v>0</v>
      </c>
      <c r="G17" s="48">
        <f>data!C147+data!C148</f>
        <v>1504037</v>
      </c>
    </row>
    <row r="18" spans="1:7" ht="20.100000000000001" customHeight="1" x14ac:dyDescent="0.25">
      <c r="A18" s="23" t="s">
        <v>1058</v>
      </c>
      <c r="B18" s="48">
        <f>data!D144</f>
        <v>35</v>
      </c>
      <c r="C18" s="48">
        <f>data!D145</f>
        <v>2180</v>
      </c>
      <c r="D18" s="48">
        <f>data!D146</f>
        <v>0</v>
      </c>
      <c r="E18" s="48">
        <f>data!D147</f>
        <v>562404</v>
      </c>
      <c r="F18" s="48">
        <f>data!D148</f>
        <v>0</v>
      </c>
      <c r="G18" s="48">
        <f>data!D147+data!D148</f>
        <v>562404</v>
      </c>
    </row>
    <row r="19" spans="1:7" ht="20.100000000000001" customHeight="1" x14ac:dyDescent="0.25">
      <c r="A19" s="111" t="s">
        <v>203</v>
      </c>
      <c r="B19" s="48">
        <f>data!E144</f>
        <v>177</v>
      </c>
      <c r="C19" s="48">
        <f>data!E145</f>
        <v>8038</v>
      </c>
      <c r="D19" s="48">
        <f>data!E146</f>
        <v>0</v>
      </c>
      <c r="E19" s="48">
        <f>data!E147</f>
        <v>4024356.22</v>
      </c>
      <c r="F19" s="48">
        <f>data!E148</f>
        <v>0</v>
      </c>
      <c r="G19" s="48">
        <f>data!E147+data!E148</f>
        <v>4024356.22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Forks Community Hospital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199065.92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8832.89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222087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2849942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1172474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125121.15000000002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511729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5089251.9600000009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0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72113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72113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253468.72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0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253468.72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16522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234262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250784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23222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321525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344747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Forks Community Hospital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326366</v>
      </c>
      <c r="D7" s="21">
        <f>data!C195</f>
        <v>52137</v>
      </c>
      <c r="E7" s="21">
        <f>data!D195</f>
        <v>0</v>
      </c>
      <c r="F7" s="21">
        <f>data!E195</f>
        <v>378503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935266</v>
      </c>
      <c r="D8" s="21">
        <f>data!C196</f>
        <v>0</v>
      </c>
      <c r="E8" s="21">
        <f>data!D196</f>
        <v>0</v>
      </c>
      <c r="F8" s="21">
        <f>data!E196</f>
        <v>935266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15142070</v>
      </c>
      <c r="D9" s="21">
        <f>data!C197</f>
        <v>324495</v>
      </c>
      <c r="E9" s="21">
        <f>data!D197</f>
        <v>0</v>
      </c>
      <c r="F9" s="21">
        <f>data!E197</f>
        <v>15466565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13815621</v>
      </c>
      <c r="D11" s="21">
        <f>data!C199</f>
        <v>873052</v>
      </c>
      <c r="E11" s="21">
        <f>data!D199</f>
        <v>20134</v>
      </c>
      <c r="F11" s="21">
        <f>data!E199</f>
        <v>14668539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0</v>
      </c>
      <c r="D12" s="21">
        <f>data!C200</f>
        <v>0</v>
      </c>
      <c r="E12" s="21">
        <f>data!D200</f>
        <v>0</v>
      </c>
      <c r="F12" s="21">
        <f>data!E200</f>
        <v>0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66463</v>
      </c>
      <c r="D15" s="21">
        <f>data!C203</f>
        <v>385411</v>
      </c>
      <c r="E15" s="21">
        <f>data!D203</f>
        <v>288497</v>
      </c>
      <c r="F15" s="21">
        <f>data!E203</f>
        <v>163377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30285786</v>
      </c>
      <c r="D16" s="21">
        <f>data!C204</f>
        <v>1635095</v>
      </c>
      <c r="E16" s="21">
        <f>data!D204</f>
        <v>308631</v>
      </c>
      <c r="F16" s="21">
        <f>data!E204</f>
        <v>31612250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744559</v>
      </c>
      <c r="D24" s="21">
        <f>data!C209</f>
        <v>38474</v>
      </c>
      <c r="E24" s="21">
        <f>data!D209</f>
        <v>0</v>
      </c>
      <c r="F24" s="21">
        <f>data!E209</f>
        <v>783033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11197504</v>
      </c>
      <c r="D25" s="21">
        <f>data!C210</f>
        <v>438265</v>
      </c>
      <c r="E25" s="21">
        <f>data!D210</f>
        <v>0</v>
      </c>
      <c r="F25" s="21">
        <f>data!E210</f>
        <v>11635769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12538526</v>
      </c>
      <c r="D27" s="21">
        <f>data!C212</f>
        <v>615814</v>
      </c>
      <c r="E27" s="21">
        <f>data!D212</f>
        <v>20134</v>
      </c>
      <c r="F27" s="21">
        <f>data!E212</f>
        <v>13134206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0</v>
      </c>
      <c r="D28" s="21">
        <f>data!C213</f>
        <v>0</v>
      </c>
      <c r="E28" s="21">
        <f>data!D213</f>
        <v>0</v>
      </c>
      <c r="F28" s="21">
        <f>data!E213</f>
        <v>0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24480589</v>
      </c>
      <c r="D32" s="21">
        <f>data!C217</f>
        <v>1092553</v>
      </c>
      <c r="E32" s="21">
        <f>data!D217</f>
        <v>20134</v>
      </c>
      <c r="F32" s="21">
        <f>data!E217</f>
        <v>25553008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Forks Community Hospital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786154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7510154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6480456.4100000001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941346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2977009.41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17908965.82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157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7500.25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641525.69999999995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649025.94999999995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8881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536681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19889707.77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Forks Community Hospital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4196840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7193047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4159210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1212037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19869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11431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502820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196526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9173360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1125484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1125484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378502.98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935266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15466565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14668539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0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163377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31612249.98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25553007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6059242.9800000004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211996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211996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16570082.98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Forks Community Hospital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407664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457828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1392018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204718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2462228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418412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4387753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5411054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10217219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10217219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3890636.1500000004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3890636.1500000004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16570083.15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Forks Community Hospital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8325572.1699999999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38041594.390000001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46367166.560000002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786154.06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17908966.300000001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649025.69999999995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545562.29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19889708.349999998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26477458.210000005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2457767.44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733259.81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3191027.25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29668485.460000005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14035228.779999999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5089252.25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3367300.83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2966101.2199999997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475959.06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1716104.44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1092551.95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72112.58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253468.72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250784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344747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453114.42000000004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30116725.249999996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-448239.78999999166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173395.93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-274843.85999999166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-274843.85999999166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topLeftCell="A154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Forks Community Hospital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662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11.73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1012228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367039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140052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76452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33096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39847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5487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1577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1675778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749211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2114963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377918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2492881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2649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5701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2649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1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7.13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Forks Community Hospital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12</v>
      </c>
      <c r="D41" s="14">
        <f>data!K59</f>
        <v>4303</v>
      </c>
      <c r="E41" s="14">
        <f>data!L59</f>
        <v>3735</v>
      </c>
      <c r="F41" s="14">
        <f>data!M59</f>
        <v>0</v>
      </c>
      <c r="G41" s="14">
        <f>data!N59</f>
        <v>0</v>
      </c>
      <c r="H41" s="14">
        <f>data!O59</f>
        <v>5</v>
      </c>
      <c r="I41" s="14">
        <f>data!P59</f>
        <v>10692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16.64</v>
      </c>
      <c r="E42" s="26">
        <f>data!L60</f>
        <v>16.440000000000001</v>
      </c>
      <c r="F42" s="26">
        <f>data!M60</f>
        <v>0</v>
      </c>
      <c r="G42" s="26">
        <f>data!N60</f>
        <v>0</v>
      </c>
      <c r="H42" s="26">
        <f>data!O60</f>
        <v>0.03</v>
      </c>
      <c r="I42" s="26">
        <f>data!P60</f>
        <v>3.18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965284</v>
      </c>
      <c r="E43" s="14">
        <f>data!L61</f>
        <v>961012</v>
      </c>
      <c r="F43" s="14">
        <f>data!M61</f>
        <v>0</v>
      </c>
      <c r="G43" s="14">
        <f>data!N61</f>
        <v>0</v>
      </c>
      <c r="H43" s="14">
        <f>data!O61</f>
        <v>2268</v>
      </c>
      <c r="I43" s="14">
        <f>data!P61</f>
        <v>335479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350017</v>
      </c>
      <c r="E44" s="14">
        <f>data!L62</f>
        <v>348468</v>
      </c>
      <c r="F44" s="14">
        <f>data!M62</f>
        <v>0</v>
      </c>
      <c r="G44" s="14">
        <f>data!N62</f>
        <v>0</v>
      </c>
      <c r="H44" s="14">
        <f>data!O62</f>
        <v>822</v>
      </c>
      <c r="I44" s="14">
        <f>data!P62</f>
        <v>121647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37997</v>
      </c>
      <c r="E45" s="14">
        <f>data!L63</f>
        <v>17212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259104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4777</v>
      </c>
      <c r="D46" s="14">
        <f>data!K64</f>
        <v>77455</v>
      </c>
      <c r="E46" s="14">
        <f>data!L64</f>
        <v>31467</v>
      </c>
      <c r="F46" s="14">
        <f>data!M64</f>
        <v>0</v>
      </c>
      <c r="G46" s="14">
        <f>data!N64</f>
        <v>0</v>
      </c>
      <c r="H46" s="14">
        <f>data!O64</f>
        <v>3388</v>
      </c>
      <c r="I46" s="14">
        <f>data!P64</f>
        <v>101868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56</v>
      </c>
      <c r="E47" s="14">
        <f>data!L65</f>
        <v>37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620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1847</v>
      </c>
      <c r="D48" s="14">
        <f>data!K66</f>
        <v>8458</v>
      </c>
      <c r="E48" s="14">
        <f>data!L66</f>
        <v>4362</v>
      </c>
      <c r="F48" s="14">
        <f>data!M66</f>
        <v>0</v>
      </c>
      <c r="G48" s="14">
        <f>data!N66</f>
        <v>0</v>
      </c>
      <c r="H48" s="14">
        <f>data!O66</f>
        <v>3456</v>
      </c>
      <c r="I48" s="14">
        <f>data!P66</f>
        <v>20504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1614</v>
      </c>
      <c r="D49" s="14">
        <f>data!K67</f>
        <v>27266</v>
      </c>
      <c r="E49" s="14">
        <f>data!L67</f>
        <v>17232</v>
      </c>
      <c r="F49" s="14">
        <f>data!M67</f>
        <v>0</v>
      </c>
      <c r="G49" s="14">
        <f>data!N67</f>
        <v>0</v>
      </c>
      <c r="H49" s="14">
        <f>data!O67</f>
        <v>9249</v>
      </c>
      <c r="I49" s="14">
        <f>data!P67</f>
        <v>109923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2736</v>
      </c>
      <c r="E50" s="14">
        <f>data!L68</f>
        <v>1584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250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384</v>
      </c>
      <c r="D51" s="14">
        <f>data!K69</f>
        <v>2292</v>
      </c>
      <c r="E51" s="14">
        <f>data!L69</f>
        <v>1551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5144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8622</v>
      </c>
      <c r="D53" s="14">
        <f>data!K71</f>
        <v>1471561</v>
      </c>
      <c r="E53" s="14">
        <f>data!L71</f>
        <v>1382925</v>
      </c>
      <c r="F53" s="14">
        <f>data!M71</f>
        <v>0</v>
      </c>
      <c r="G53" s="14">
        <f>data!N71</f>
        <v>0</v>
      </c>
      <c r="H53" s="14">
        <f>data!O71</f>
        <v>19183</v>
      </c>
      <c r="I53" s="14">
        <f>data!P71</f>
        <v>954539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2533</v>
      </c>
      <c r="D55" s="48">
        <f>+data!M676</f>
        <v>513936</v>
      </c>
      <c r="E55" s="48">
        <f>+data!M677</f>
        <v>415721</v>
      </c>
      <c r="F55" s="48">
        <f>+data!M678</f>
        <v>0</v>
      </c>
      <c r="G55" s="48">
        <f>+data!M679</f>
        <v>0</v>
      </c>
      <c r="H55" s="48">
        <f>+data!M680</f>
        <v>7384</v>
      </c>
      <c r="I55" s="48">
        <f>+data!M681</f>
        <v>268114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10992</v>
      </c>
      <c r="D56" s="14">
        <f>data!K73</f>
        <v>978208</v>
      </c>
      <c r="E56" s="14">
        <f>data!L73</f>
        <v>2084826</v>
      </c>
      <c r="F56" s="14">
        <f>data!M73</f>
        <v>0</v>
      </c>
      <c r="G56" s="14">
        <f>data!N73</f>
        <v>0</v>
      </c>
      <c r="H56" s="14">
        <f>data!O73</f>
        <v>18721</v>
      </c>
      <c r="I56" s="14">
        <f>data!P73</f>
        <v>289238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1728</v>
      </c>
      <c r="D57" s="14">
        <f>data!K74</f>
        <v>18376</v>
      </c>
      <c r="E57" s="14">
        <f>data!L74</f>
        <v>109629</v>
      </c>
      <c r="F57" s="14">
        <f>data!M74</f>
        <v>0</v>
      </c>
      <c r="G57" s="14">
        <f>data!N74</f>
        <v>0</v>
      </c>
      <c r="H57" s="14">
        <f>data!O74</f>
        <v>19023</v>
      </c>
      <c r="I57" s="14">
        <f>data!P74</f>
        <v>1707157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12720</v>
      </c>
      <c r="D58" s="14">
        <f>data!K75</f>
        <v>996584</v>
      </c>
      <c r="E58" s="14">
        <f>data!L75</f>
        <v>2194455</v>
      </c>
      <c r="F58" s="14">
        <f>data!M75</f>
        <v>0</v>
      </c>
      <c r="G58" s="14">
        <f>data!N75</f>
        <v>0</v>
      </c>
      <c r="H58" s="14">
        <f>data!O75</f>
        <v>37744</v>
      </c>
      <c r="I58" s="14">
        <f>data!P75</f>
        <v>1996395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167</v>
      </c>
      <c r="D60" s="14">
        <f>data!K76</f>
        <v>2417</v>
      </c>
      <c r="E60" s="14">
        <f>data!L76</f>
        <v>1736</v>
      </c>
      <c r="F60" s="14">
        <f>data!M76</f>
        <v>0</v>
      </c>
      <c r="G60" s="14">
        <f>data!N76</f>
        <v>0</v>
      </c>
      <c r="H60" s="14">
        <f>data!O76</f>
        <v>526</v>
      </c>
      <c r="I60" s="14">
        <f>data!P76</f>
        <v>6021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21807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167</v>
      </c>
      <c r="D62" s="14">
        <f>data!K78</f>
        <v>2417</v>
      </c>
      <c r="E62" s="14">
        <f>data!L78</f>
        <v>1736</v>
      </c>
      <c r="F62" s="14">
        <f>data!M78</f>
        <v>0</v>
      </c>
      <c r="G62" s="14">
        <f>data!N78</f>
        <v>0</v>
      </c>
      <c r="H62" s="14">
        <f>data!O78</f>
        <v>526</v>
      </c>
      <c r="I62" s="14">
        <f>data!P78</f>
        <v>6021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5.21</v>
      </c>
      <c r="E64" s="26">
        <f>data!L80</f>
        <v>6.1</v>
      </c>
      <c r="F64" s="26">
        <f>data!M80</f>
        <v>0</v>
      </c>
      <c r="G64" s="26">
        <f>data!N80</f>
        <v>0</v>
      </c>
      <c r="H64" s="26">
        <f>data!O80</f>
        <v>0.03</v>
      </c>
      <c r="I64" s="26">
        <f>data!P80</f>
        <v>1.3900000000000001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Forks Community Hospital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11831</v>
      </c>
      <c r="D73" s="48">
        <f>data!R59</f>
        <v>19080</v>
      </c>
      <c r="E73" s="212"/>
      <c r="F73" s="212"/>
      <c r="G73" s="14">
        <f>data!U59</f>
        <v>52574</v>
      </c>
      <c r="H73" s="14">
        <f>data!V59</f>
        <v>0</v>
      </c>
      <c r="I73" s="14">
        <f>data!W59</f>
        <v>6536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0.09</v>
      </c>
      <c r="D74" s="26">
        <f>data!R60</f>
        <v>0.82</v>
      </c>
      <c r="E74" s="26">
        <f>data!S60</f>
        <v>2.0699999999999998</v>
      </c>
      <c r="F74" s="26">
        <f>data!T60</f>
        <v>0</v>
      </c>
      <c r="G74" s="26">
        <f>data!U60</f>
        <v>7.38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8548</v>
      </c>
      <c r="D75" s="14">
        <f>data!R61</f>
        <v>356412</v>
      </c>
      <c r="E75" s="14">
        <f>data!S61</f>
        <v>62901</v>
      </c>
      <c r="F75" s="14">
        <f>data!T61</f>
        <v>0</v>
      </c>
      <c r="G75" s="14">
        <f>data!U61</f>
        <v>544984</v>
      </c>
      <c r="H75" s="14">
        <f>data!V61</f>
        <v>0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3100</v>
      </c>
      <c r="D76" s="14">
        <f>data!R62</f>
        <v>129237</v>
      </c>
      <c r="E76" s="14">
        <f>data!S62</f>
        <v>22808</v>
      </c>
      <c r="F76" s="14">
        <f>data!T62</f>
        <v>0</v>
      </c>
      <c r="G76" s="14">
        <f>data!U62</f>
        <v>197614</v>
      </c>
      <c r="H76" s="14">
        <f>data!V62</f>
        <v>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114000</v>
      </c>
      <c r="E77" s="14">
        <f>data!S63</f>
        <v>0</v>
      </c>
      <c r="F77" s="14">
        <f>data!T63</f>
        <v>0</v>
      </c>
      <c r="G77" s="14">
        <f>data!U63</f>
        <v>114187</v>
      </c>
      <c r="H77" s="14">
        <f>data!V63</f>
        <v>0</v>
      </c>
      <c r="I77" s="14">
        <f>data!W63</f>
        <v>236020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20056</v>
      </c>
      <c r="E78" s="14">
        <f>data!S64</f>
        <v>108007</v>
      </c>
      <c r="F78" s="14">
        <f>data!T64</f>
        <v>0</v>
      </c>
      <c r="G78" s="14">
        <f>data!U64</f>
        <v>493322</v>
      </c>
      <c r="H78" s="14">
        <f>data!V64</f>
        <v>0</v>
      </c>
      <c r="I78" s="14">
        <f>data!W64</f>
        <v>2379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7645</v>
      </c>
      <c r="E80" s="14">
        <f>data!S66</f>
        <v>0</v>
      </c>
      <c r="F80" s="14">
        <f>data!T66</f>
        <v>0</v>
      </c>
      <c r="G80" s="14">
        <f>data!U66</f>
        <v>79510</v>
      </c>
      <c r="H80" s="14">
        <f>data!V66</f>
        <v>0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2931</v>
      </c>
      <c r="E81" s="14">
        <f>data!S67</f>
        <v>12819</v>
      </c>
      <c r="F81" s="14">
        <f>data!T67</f>
        <v>0</v>
      </c>
      <c r="G81" s="14">
        <f>data!U67</f>
        <v>23431</v>
      </c>
      <c r="H81" s="14">
        <f>data!V67</f>
        <v>2003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14011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10126</v>
      </c>
      <c r="E83" s="14">
        <f>data!S69</f>
        <v>107</v>
      </c>
      <c r="F83" s="14">
        <f>data!T69</f>
        <v>0</v>
      </c>
      <c r="G83" s="14">
        <f>data!U69</f>
        <v>4951</v>
      </c>
      <c r="H83" s="14">
        <f>data!V69</f>
        <v>0</v>
      </c>
      <c r="I83" s="14">
        <f>data!W69</f>
        <v>17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11648</v>
      </c>
      <c r="D85" s="14">
        <f>data!R71</f>
        <v>640407</v>
      </c>
      <c r="E85" s="14">
        <f>data!S71</f>
        <v>206642</v>
      </c>
      <c r="F85" s="14">
        <f>data!T71</f>
        <v>0</v>
      </c>
      <c r="G85" s="14">
        <f>data!U71</f>
        <v>1472010</v>
      </c>
      <c r="H85" s="14">
        <f>data!V71</f>
        <v>2003</v>
      </c>
      <c r="I85" s="14">
        <f>data!W71</f>
        <v>238416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18781</v>
      </c>
      <c r="D87" s="48">
        <f>+data!M683</f>
        <v>136477</v>
      </c>
      <c r="E87" s="48">
        <f>+data!M684</f>
        <v>72387</v>
      </c>
      <c r="F87" s="48">
        <f>+data!M685</f>
        <v>0</v>
      </c>
      <c r="G87" s="48">
        <f>+data!M686</f>
        <v>575239</v>
      </c>
      <c r="H87" s="48">
        <f>+data!M687</f>
        <v>1445</v>
      </c>
      <c r="I87" s="48">
        <f>+data!M688</f>
        <v>142600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7376</v>
      </c>
      <c r="D88" s="14">
        <f>data!R73</f>
        <v>244783</v>
      </c>
      <c r="E88" s="14">
        <f>data!S73</f>
        <v>208783</v>
      </c>
      <c r="F88" s="14">
        <f>data!T73</f>
        <v>0</v>
      </c>
      <c r="G88" s="14">
        <f>data!U73</f>
        <v>610892</v>
      </c>
      <c r="H88" s="14">
        <f>data!V73</f>
        <v>0</v>
      </c>
      <c r="I88" s="14">
        <f>data!W73</f>
        <v>15160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234344</v>
      </c>
      <c r="D89" s="14">
        <f>data!R74</f>
        <v>926757</v>
      </c>
      <c r="E89" s="14">
        <f>data!S74</f>
        <v>294276</v>
      </c>
      <c r="F89" s="14">
        <f>data!T74</f>
        <v>0</v>
      </c>
      <c r="G89" s="14">
        <f>data!U74</f>
        <v>5413106</v>
      </c>
      <c r="H89" s="14">
        <f>data!V74</f>
        <v>0</v>
      </c>
      <c r="I89" s="14">
        <f>data!W74</f>
        <v>1843440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241720</v>
      </c>
      <c r="D90" s="14">
        <f>data!R75</f>
        <v>1171540</v>
      </c>
      <c r="E90" s="14">
        <f>data!S75</f>
        <v>503059</v>
      </c>
      <c r="F90" s="14">
        <f>data!T75</f>
        <v>0</v>
      </c>
      <c r="G90" s="14">
        <f>data!U75</f>
        <v>6023998</v>
      </c>
      <c r="H90" s="14">
        <f>data!V75</f>
        <v>0</v>
      </c>
      <c r="I90" s="14">
        <f>data!W75</f>
        <v>1858600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1510</v>
      </c>
      <c r="F92" s="14">
        <f>data!T76</f>
        <v>0</v>
      </c>
      <c r="G92" s="14">
        <f>data!U76</f>
        <v>1260</v>
      </c>
      <c r="H92" s="14">
        <f>data!V76</f>
        <v>236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1510</v>
      </c>
      <c r="F94" s="14">
        <f>data!T78</f>
        <v>0</v>
      </c>
      <c r="G94" s="14">
        <f>data!U78</f>
        <v>1260</v>
      </c>
      <c r="H94" s="14">
        <f>data!V78</f>
        <v>236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7.0000000000000007E-2</v>
      </c>
      <c r="D96" s="84">
        <f>data!R80</f>
        <v>1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Forks Community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10370</v>
      </c>
      <c r="D105" s="14">
        <f>data!Y59</f>
        <v>6862</v>
      </c>
      <c r="E105" s="14">
        <f>data!Z59</f>
        <v>0</v>
      </c>
      <c r="F105" s="14">
        <f>data!AA59</f>
        <v>527</v>
      </c>
      <c r="G105" s="212"/>
      <c r="H105" s="14">
        <f>data!AC59</f>
        <v>472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9.0500000000000007</v>
      </c>
      <c r="E106" s="26">
        <f>data!Z60</f>
        <v>0</v>
      </c>
      <c r="F106" s="26">
        <f>data!AA60</f>
        <v>0</v>
      </c>
      <c r="G106" s="26">
        <f>data!AB60</f>
        <v>2.12</v>
      </c>
      <c r="H106" s="26">
        <f>data!AC60</f>
        <v>0.49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952519</v>
      </c>
      <c r="E107" s="14">
        <f>data!Z61</f>
        <v>0</v>
      </c>
      <c r="F107" s="14">
        <f>data!AA61</f>
        <v>0</v>
      </c>
      <c r="G107" s="14">
        <f>data!AB61</f>
        <v>224937</v>
      </c>
      <c r="H107" s="14">
        <f>data!AC61</f>
        <v>46483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345389</v>
      </c>
      <c r="E108" s="14">
        <f>data!Z62</f>
        <v>0</v>
      </c>
      <c r="F108" s="14">
        <f>data!AA62</f>
        <v>0</v>
      </c>
      <c r="G108" s="14">
        <f>data!AB62</f>
        <v>81563</v>
      </c>
      <c r="H108" s="14">
        <f>data!AC62</f>
        <v>16855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13125</v>
      </c>
      <c r="E109" s="14">
        <f>data!Z63</f>
        <v>0</v>
      </c>
      <c r="F109" s="14">
        <f>data!AA63</f>
        <v>61960</v>
      </c>
      <c r="G109" s="14">
        <f>data!AB63</f>
        <v>17282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12219</v>
      </c>
      <c r="D110" s="14">
        <f>data!Y64</f>
        <v>12822</v>
      </c>
      <c r="E110" s="14">
        <f>data!Z64</f>
        <v>0</v>
      </c>
      <c r="F110" s="14">
        <f>data!AA64</f>
        <v>8784</v>
      </c>
      <c r="G110" s="14">
        <f>data!AB64</f>
        <v>1132095</v>
      </c>
      <c r="H110" s="14">
        <f>data!AC64</f>
        <v>3046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1143</v>
      </c>
      <c r="D111" s="14">
        <f>data!Y65</f>
        <v>714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72811</v>
      </c>
      <c r="D112" s="14">
        <f>data!Y66</f>
        <v>154666</v>
      </c>
      <c r="E112" s="14">
        <f>data!Z66</f>
        <v>0</v>
      </c>
      <c r="F112" s="14">
        <f>data!AA66</f>
        <v>0</v>
      </c>
      <c r="G112" s="14">
        <f>data!AB66</f>
        <v>86446</v>
      </c>
      <c r="H112" s="14">
        <f>data!AC66</f>
        <v>542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128754</v>
      </c>
      <c r="E113" s="14">
        <f>data!Z67</f>
        <v>0</v>
      </c>
      <c r="F113" s="14">
        <f>data!AA67</f>
        <v>0</v>
      </c>
      <c r="G113" s="14">
        <f>data!AB67</f>
        <v>15798</v>
      </c>
      <c r="H113" s="14">
        <f>data!AC67</f>
        <v>13053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51</v>
      </c>
      <c r="D115" s="14">
        <f>data!Y69</f>
        <v>9315</v>
      </c>
      <c r="E115" s="14">
        <f>data!Z69</f>
        <v>0</v>
      </c>
      <c r="F115" s="14">
        <f>data!AA69</f>
        <v>0</v>
      </c>
      <c r="G115" s="14">
        <f>data!AB69</f>
        <v>9891</v>
      </c>
      <c r="H115" s="14">
        <f>data!AC69</f>
        <v>0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86224</v>
      </c>
      <c r="D117" s="14">
        <f>data!Y71</f>
        <v>1617304</v>
      </c>
      <c r="E117" s="14">
        <f>data!Z71</f>
        <v>0</v>
      </c>
      <c r="F117" s="14">
        <f>data!AA71</f>
        <v>70744</v>
      </c>
      <c r="G117" s="14">
        <f>data!AB71</f>
        <v>1568012</v>
      </c>
      <c r="H117" s="14">
        <f>data!AC71</f>
        <v>79979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300153</v>
      </c>
      <c r="D119" s="48">
        <f>+data!M690</f>
        <v>499615</v>
      </c>
      <c r="E119" s="48">
        <f>+data!M691</f>
        <v>0</v>
      </c>
      <c r="F119" s="48">
        <f>+data!M692</f>
        <v>28305</v>
      </c>
      <c r="G119" s="48">
        <f>+data!M693</f>
        <v>381041</v>
      </c>
      <c r="H119" s="48">
        <f>+data!M694</f>
        <v>24889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183752</v>
      </c>
      <c r="D120" s="14">
        <f>data!Y73</f>
        <v>233744</v>
      </c>
      <c r="E120" s="14">
        <f>data!Z73</f>
        <v>0</v>
      </c>
      <c r="F120" s="14">
        <f>data!AA73</f>
        <v>0</v>
      </c>
      <c r="G120" s="14">
        <f>data!AB73</f>
        <v>636241</v>
      </c>
      <c r="H120" s="14">
        <f>data!AC73</f>
        <v>67604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4076621</v>
      </c>
      <c r="D121" s="14">
        <f>data!Y74</f>
        <v>4631773</v>
      </c>
      <c r="E121" s="14">
        <f>data!Z74</f>
        <v>0</v>
      </c>
      <c r="F121" s="14">
        <f>data!AA74</f>
        <v>343808</v>
      </c>
      <c r="G121" s="14">
        <f>data!AB74</f>
        <v>2617798</v>
      </c>
      <c r="H121" s="14">
        <f>data!AC74</f>
        <v>34971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4260373</v>
      </c>
      <c r="D122" s="14">
        <f>data!Y75</f>
        <v>4865517</v>
      </c>
      <c r="E122" s="14">
        <f>data!Z75</f>
        <v>0</v>
      </c>
      <c r="F122" s="14">
        <f>data!AA75</f>
        <v>343808</v>
      </c>
      <c r="G122" s="14">
        <f>data!AB75</f>
        <v>3254039</v>
      </c>
      <c r="H122" s="14">
        <f>data!AC75</f>
        <v>102575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0</v>
      </c>
      <c r="D124" s="14">
        <f>data!Y76</f>
        <v>2491</v>
      </c>
      <c r="E124" s="14">
        <f>data!Z76</f>
        <v>0</v>
      </c>
      <c r="F124" s="14">
        <f>data!AA76</f>
        <v>0</v>
      </c>
      <c r="G124" s="14">
        <f>data!AB76</f>
        <v>394</v>
      </c>
      <c r="H124" s="14">
        <f>data!AC76</f>
        <v>752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2491</v>
      </c>
      <c r="E126" s="14">
        <f>data!Z78</f>
        <v>0</v>
      </c>
      <c r="F126" s="14">
        <f>data!AA78</f>
        <v>0</v>
      </c>
      <c r="G126" s="14">
        <f>data!AB78</f>
        <v>394</v>
      </c>
      <c r="H126" s="14">
        <f>data!AC78</f>
        <v>752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0.48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Forks Community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6329</v>
      </c>
      <c r="D137" s="14">
        <f>data!AF59</f>
        <v>0</v>
      </c>
      <c r="E137" s="14">
        <f>data!AG59</f>
        <v>5585</v>
      </c>
      <c r="F137" s="14">
        <f>data!AH59</f>
        <v>791</v>
      </c>
      <c r="G137" s="14">
        <f>data!AI59</f>
        <v>360</v>
      </c>
      <c r="H137" s="14">
        <f>data!AJ59</f>
        <v>17082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6.1</v>
      </c>
      <c r="D138" s="26">
        <f>data!AF60</f>
        <v>0</v>
      </c>
      <c r="E138" s="26">
        <f>data!AG60</f>
        <v>6.1400000000000006</v>
      </c>
      <c r="F138" s="26">
        <f>data!AH60</f>
        <v>4.8600000000000003</v>
      </c>
      <c r="G138" s="26">
        <f>data!AI60</f>
        <v>0.56999999999999995</v>
      </c>
      <c r="H138" s="26">
        <f>data!AJ60</f>
        <v>30.709999999999997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376442</v>
      </c>
      <c r="D139" s="14">
        <f>data!AF61</f>
        <v>0</v>
      </c>
      <c r="E139" s="14">
        <f>data!AG61</f>
        <v>869590</v>
      </c>
      <c r="F139" s="14">
        <f>data!AH61</f>
        <v>218528</v>
      </c>
      <c r="G139" s="14">
        <f>data!AI61</f>
        <v>41439</v>
      </c>
      <c r="H139" s="14">
        <f>data!AJ61</f>
        <v>2177182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136500</v>
      </c>
      <c r="D140" s="14">
        <f>data!AF62</f>
        <v>0</v>
      </c>
      <c r="E140" s="14">
        <f>data!AG62</f>
        <v>315318</v>
      </c>
      <c r="F140" s="14">
        <f>data!AH62</f>
        <v>79239</v>
      </c>
      <c r="G140" s="14">
        <f>data!AI62</f>
        <v>15026</v>
      </c>
      <c r="H140" s="14">
        <f>data!AJ62</f>
        <v>789458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271803</v>
      </c>
      <c r="D141" s="14">
        <f>data!AF63</f>
        <v>0</v>
      </c>
      <c r="E141" s="14">
        <f>data!AG63</f>
        <v>544101</v>
      </c>
      <c r="F141" s="14">
        <f>data!AH63</f>
        <v>0</v>
      </c>
      <c r="G141" s="14">
        <f>data!AI63</f>
        <v>0</v>
      </c>
      <c r="H141" s="14">
        <f>data!AJ63</f>
        <v>1246781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9381</v>
      </c>
      <c r="D142" s="14">
        <f>data!AF64</f>
        <v>0</v>
      </c>
      <c r="E142" s="14">
        <f>data!AG64</f>
        <v>50012</v>
      </c>
      <c r="F142" s="14">
        <f>data!AH64</f>
        <v>43682</v>
      </c>
      <c r="G142" s="14">
        <f>data!AI64</f>
        <v>0</v>
      </c>
      <c r="H142" s="14">
        <f>data!AJ64</f>
        <v>164018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54</v>
      </c>
      <c r="F143" s="14">
        <f>data!AH65</f>
        <v>19519</v>
      </c>
      <c r="G143" s="14">
        <f>data!AI65</f>
        <v>0</v>
      </c>
      <c r="H143" s="14">
        <f>data!AJ65</f>
        <v>54055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7891</v>
      </c>
      <c r="D144" s="14">
        <f>data!AF66</f>
        <v>0</v>
      </c>
      <c r="E144" s="14">
        <f>data!AG66</f>
        <v>18513</v>
      </c>
      <c r="F144" s="14">
        <f>data!AH66</f>
        <v>26482</v>
      </c>
      <c r="G144" s="14">
        <f>data!AI66</f>
        <v>0</v>
      </c>
      <c r="H144" s="14">
        <f>data!AJ66</f>
        <v>58785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25434</v>
      </c>
      <c r="D145" s="14">
        <f>data!AF67</f>
        <v>0</v>
      </c>
      <c r="E145" s="14">
        <f>data!AG67</f>
        <v>42695</v>
      </c>
      <c r="F145" s="14">
        <f>data!AH67</f>
        <v>85127</v>
      </c>
      <c r="G145" s="14">
        <f>data!AI67</f>
        <v>0</v>
      </c>
      <c r="H145" s="14">
        <f>data!AJ67</f>
        <v>148216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3690</v>
      </c>
      <c r="G146" s="14">
        <f>data!AI68</f>
        <v>0</v>
      </c>
      <c r="H146" s="14">
        <f>data!AJ68</f>
        <v>3845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3054</v>
      </c>
      <c r="D147" s="14">
        <f>data!AF69</f>
        <v>0</v>
      </c>
      <c r="E147" s="14">
        <f>data!AG69</f>
        <v>7967</v>
      </c>
      <c r="F147" s="14">
        <f>data!AH69</f>
        <v>8721</v>
      </c>
      <c r="G147" s="14">
        <f>data!AI69</f>
        <v>0</v>
      </c>
      <c r="H147" s="14">
        <f>data!AJ69</f>
        <v>23427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830505</v>
      </c>
      <c r="D149" s="14">
        <f>data!AF71</f>
        <v>0</v>
      </c>
      <c r="E149" s="14">
        <f>data!AG71</f>
        <v>1848250</v>
      </c>
      <c r="F149" s="14">
        <f>data!AH71</f>
        <v>484988</v>
      </c>
      <c r="G149" s="14">
        <f>data!AI71</f>
        <v>56465</v>
      </c>
      <c r="H149" s="14">
        <f>data!AJ71</f>
        <v>4665767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339992</v>
      </c>
      <c r="D151" s="48">
        <f>+data!M697</f>
        <v>0</v>
      </c>
      <c r="E151" s="48">
        <f>+data!M698</f>
        <v>533114</v>
      </c>
      <c r="F151" s="48">
        <f>+data!M699</f>
        <v>110449</v>
      </c>
      <c r="G151" s="48">
        <f>+data!M700</f>
        <v>90732</v>
      </c>
      <c r="H151" s="48">
        <f>+data!M701</f>
        <v>953246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420135</v>
      </c>
      <c r="D152" s="14">
        <f>data!AF73</f>
        <v>0</v>
      </c>
      <c r="E152" s="14">
        <f>data!AG73</f>
        <v>0</v>
      </c>
      <c r="F152" s="14">
        <f>data!AH73</f>
        <v>47492</v>
      </c>
      <c r="G152" s="14">
        <f>data!AI73</f>
        <v>97906</v>
      </c>
      <c r="H152" s="14">
        <f>data!AJ73</f>
        <v>0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3018961</v>
      </c>
      <c r="D153" s="14">
        <f>data!AF74</f>
        <v>0</v>
      </c>
      <c r="E153" s="14">
        <f>data!AG74</f>
        <v>4836260</v>
      </c>
      <c r="F153" s="14">
        <f>data!AH74</f>
        <v>559313</v>
      </c>
      <c r="G153" s="14">
        <f>data!AI74</f>
        <v>1052513</v>
      </c>
      <c r="H153" s="14">
        <f>data!AJ74</f>
        <v>4634454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3439096</v>
      </c>
      <c r="D154" s="14">
        <f>data!AF75</f>
        <v>0</v>
      </c>
      <c r="E154" s="14">
        <f>data!AG75</f>
        <v>4836260</v>
      </c>
      <c r="F154" s="14">
        <f>data!AH75</f>
        <v>606805</v>
      </c>
      <c r="G154" s="14">
        <f>data!AI75</f>
        <v>1150419</v>
      </c>
      <c r="H154" s="14">
        <f>data!AJ75</f>
        <v>4634454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2996</v>
      </c>
      <c r="D156" s="14">
        <f>data!AF76</f>
        <v>0</v>
      </c>
      <c r="E156" s="14">
        <f>data!AG76</f>
        <v>1577</v>
      </c>
      <c r="F156" s="14">
        <f>data!AH76</f>
        <v>1650</v>
      </c>
      <c r="G156" s="14">
        <f>data!AI76</f>
        <v>0</v>
      </c>
      <c r="H156" s="14">
        <f>data!AJ76</f>
        <v>12086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2996</v>
      </c>
      <c r="D158" s="14">
        <f>data!AF78</f>
        <v>0</v>
      </c>
      <c r="E158" s="14">
        <f>data!AG78</f>
        <v>1577</v>
      </c>
      <c r="F158" s="14">
        <f>data!AH78</f>
        <v>1650</v>
      </c>
      <c r="G158" s="14">
        <f>data!AI78</f>
        <v>0</v>
      </c>
      <c r="H158" s="14">
        <f>data!AJ78</f>
        <v>12086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3.5199999999999996</v>
      </c>
      <c r="F160" s="26">
        <f>data!AH80</f>
        <v>0</v>
      </c>
      <c r="G160" s="26">
        <f>data!AI80</f>
        <v>0.37000000000000005</v>
      </c>
      <c r="H160" s="26">
        <f>data!AJ80</f>
        <v>8.36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Forks Community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Forks Community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11353</v>
      </c>
      <c r="F201" s="212"/>
      <c r="G201" s="212"/>
      <c r="H201" s="212"/>
      <c r="I201" s="14">
        <f>data!AY59</f>
        <v>117889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17.920000000000002</v>
      </c>
      <c r="F202" s="26">
        <f>data!AV60</f>
        <v>2.2599999999999998</v>
      </c>
      <c r="G202" s="26">
        <f>data!AW60</f>
        <v>0</v>
      </c>
      <c r="H202" s="26">
        <f>data!AX60</f>
        <v>0</v>
      </c>
      <c r="I202" s="26">
        <f>data!AY60</f>
        <v>11.94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951128</v>
      </c>
      <c r="F203" s="14">
        <f>data!AV61</f>
        <v>132794</v>
      </c>
      <c r="G203" s="14">
        <f>data!AW61</f>
        <v>0</v>
      </c>
      <c r="H203" s="14">
        <f>data!AX61</f>
        <v>0</v>
      </c>
      <c r="I203" s="14">
        <f>data!AY61</f>
        <v>423424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344884</v>
      </c>
      <c r="F204" s="14">
        <f>data!AV62</f>
        <v>48152</v>
      </c>
      <c r="G204" s="14">
        <f>data!AW62</f>
        <v>0</v>
      </c>
      <c r="H204" s="14">
        <f>data!AX62</f>
        <v>0</v>
      </c>
      <c r="I204" s="14">
        <f>data!AY62</f>
        <v>153536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90982</v>
      </c>
      <c r="G205" s="14">
        <f>data!AW63</f>
        <v>0</v>
      </c>
      <c r="H205" s="14">
        <f>data!AX63</f>
        <v>0</v>
      </c>
      <c r="I205" s="14">
        <f>data!AY63</f>
        <v>15267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18240</v>
      </c>
      <c r="F206" s="14">
        <f>data!AV64</f>
        <v>9681</v>
      </c>
      <c r="G206" s="14">
        <f>data!AW64</f>
        <v>0</v>
      </c>
      <c r="H206" s="14">
        <f>data!AX64</f>
        <v>0</v>
      </c>
      <c r="I206" s="14">
        <f>data!AY64</f>
        <v>311328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19763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53917</v>
      </c>
      <c r="F208" s="14">
        <f>data!AV66</f>
        <v>14196</v>
      </c>
      <c r="G208" s="14">
        <f>data!AW66</f>
        <v>0</v>
      </c>
      <c r="H208" s="14">
        <f>data!AX66</f>
        <v>0</v>
      </c>
      <c r="I208" s="14">
        <f>data!AY66</f>
        <v>284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20779</v>
      </c>
      <c r="F209" s="14">
        <f>data!AV67</f>
        <v>34427</v>
      </c>
      <c r="G209" s="14">
        <f>data!AW67</f>
        <v>0</v>
      </c>
      <c r="H209" s="14">
        <f>data!AX67</f>
        <v>0</v>
      </c>
      <c r="I209" s="14">
        <f>data!AY67</f>
        <v>9970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247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24403.46</v>
      </c>
      <c r="F211" s="14">
        <f>data!AV69</f>
        <v>4509</v>
      </c>
      <c r="G211" s="14">
        <f>data!AW69</f>
        <v>0</v>
      </c>
      <c r="H211" s="14">
        <f>data!AX69</f>
        <v>0</v>
      </c>
      <c r="I211" s="14">
        <f>data!AY69</f>
        <v>1163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1433114.46</v>
      </c>
      <c r="F213" s="14">
        <f>data!AV71</f>
        <v>334988</v>
      </c>
      <c r="G213" s="14">
        <f>data!AW71</f>
        <v>0</v>
      </c>
      <c r="H213" s="14">
        <f>data!AX71</f>
        <v>0</v>
      </c>
      <c r="I213" s="14">
        <f>data!AY71</f>
        <v>914972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221252</v>
      </c>
      <c r="F215" s="48">
        <f>+data!M713</f>
        <v>112275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54756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278115</v>
      </c>
      <c r="F217" s="14">
        <f>data!AV74</f>
        <v>1011255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278115</v>
      </c>
      <c r="F218" s="14">
        <f>data!AV75</f>
        <v>1066011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1910</v>
      </c>
      <c r="F220" s="14">
        <f>data!AV76</f>
        <v>902</v>
      </c>
      <c r="G220" s="14">
        <f>data!AW76</f>
        <v>0</v>
      </c>
      <c r="H220" s="14">
        <f>data!AX76</f>
        <v>0</v>
      </c>
      <c r="I220" s="85">
        <f>data!AY76</f>
        <v>1054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1910</v>
      </c>
      <c r="F222" s="14">
        <f>data!AV78</f>
        <v>902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Forks Community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56157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0.66</v>
      </c>
      <c r="E234" s="26">
        <f>data!BB60</f>
        <v>1.88</v>
      </c>
      <c r="F234" s="26">
        <f>data!BC60</f>
        <v>0</v>
      </c>
      <c r="G234" s="26">
        <f>data!BD60</f>
        <v>2.02</v>
      </c>
      <c r="H234" s="26">
        <f>data!BE60</f>
        <v>5.31</v>
      </c>
      <c r="I234" s="26">
        <f>data!BF60</f>
        <v>12.52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17610</v>
      </c>
      <c r="E235" s="14">
        <f>data!BB61</f>
        <v>146344</v>
      </c>
      <c r="F235" s="14">
        <f>data!BC61</f>
        <v>0</v>
      </c>
      <c r="G235" s="14">
        <f>data!BD61</f>
        <v>103760</v>
      </c>
      <c r="H235" s="14">
        <f>data!BE61</f>
        <v>297704</v>
      </c>
      <c r="I235" s="14">
        <f>data!BF61</f>
        <v>389301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6385</v>
      </c>
      <c r="E236" s="14">
        <f>data!BB62</f>
        <v>53065</v>
      </c>
      <c r="F236" s="14">
        <f>data!BC62</f>
        <v>0</v>
      </c>
      <c r="G236" s="14">
        <f>data!BD62</f>
        <v>37624</v>
      </c>
      <c r="H236" s="14">
        <f>data!BE62</f>
        <v>107949</v>
      </c>
      <c r="I236" s="14">
        <f>data!BF62</f>
        <v>141163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12468</v>
      </c>
      <c r="E238" s="14">
        <f>data!BB64</f>
        <v>837</v>
      </c>
      <c r="F238" s="14">
        <f>data!BC64</f>
        <v>0</v>
      </c>
      <c r="G238" s="14">
        <f>data!BD64</f>
        <v>1993</v>
      </c>
      <c r="H238" s="14">
        <f>data!BE64</f>
        <v>60119</v>
      </c>
      <c r="I238" s="14">
        <f>data!BF64</f>
        <v>86952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344018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191824</v>
      </c>
      <c r="E240" s="14">
        <f>data!BB66</f>
        <v>0</v>
      </c>
      <c r="F240" s="14">
        <f>data!BC66</f>
        <v>0</v>
      </c>
      <c r="G240" s="14">
        <f>data!BD66</f>
        <v>-26556</v>
      </c>
      <c r="H240" s="14">
        <f>data!BE66</f>
        <v>205439</v>
      </c>
      <c r="I240" s="14">
        <f>data!BF66</f>
        <v>151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6248</v>
      </c>
      <c r="D241" s="14">
        <f>data!BA67</f>
        <v>6342</v>
      </c>
      <c r="E241" s="14">
        <f>data!BB67</f>
        <v>849</v>
      </c>
      <c r="F241" s="14">
        <f>data!BC67</f>
        <v>0</v>
      </c>
      <c r="G241" s="14">
        <f>data!BD67</f>
        <v>849</v>
      </c>
      <c r="H241" s="14">
        <f>data!BE67</f>
        <v>20713</v>
      </c>
      <c r="I241" s="14">
        <f>data!BF67</f>
        <v>2560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24726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786</v>
      </c>
      <c r="H243" s="14">
        <f>data!BE69</f>
        <v>5160</v>
      </c>
      <c r="I243" s="14">
        <f>data!BF69</f>
        <v>48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6248</v>
      </c>
      <c r="D245" s="14">
        <f>data!BA71</f>
        <v>234629</v>
      </c>
      <c r="E245" s="14">
        <f>data!BB71</f>
        <v>201095</v>
      </c>
      <c r="F245" s="14">
        <f>data!BC71</f>
        <v>0</v>
      </c>
      <c r="G245" s="14">
        <f>data!BD71</f>
        <v>118456</v>
      </c>
      <c r="H245" s="14">
        <f>data!BE71</f>
        <v>1065828</v>
      </c>
      <c r="I245" s="14">
        <f>data!BF71</f>
        <v>620175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736</v>
      </c>
      <c r="D252" s="85">
        <f>data!BA76</f>
        <v>747</v>
      </c>
      <c r="E252" s="85">
        <f>data!BB76</f>
        <v>100</v>
      </c>
      <c r="F252" s="85">
        <f>data!BC76</f>
        <v>0</v>
      </c>
      <c r="G252" s="85">
        <f>data!BD76</f>
        <v>100</v>
      </c>
      <c r="H252" s="85">
        <f>data!BE76</f>
        <v>1764</v>
      </c>
      <c r="I252" s="85">
        <f>data!BF76</f>
        <v>115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90381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747</v>
      </c>
      <c r="E254" s="85">
        <f>data!BB78</f>
        <v>100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Forks Community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3.25</v>
      </c>
      <c r="E266" s="26">
        <f>data!BI60</f>
        <v>0</v>
      </c>
      <c r="F266" s="26">
        <f>data!BJ60</f>
        <v>3.42</v>
      </c>
      <c r="G266" s="26">
        <f>data!BK60</f>
        <v>12.47</v>
      </c>
      <c r="H266" s="26">
        <f>data!BL60</f>
        <v>5.43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239736</v>
      </c>
      <c r="E267" s="14">
        <f>data!BI61</f>
        <v>0</v>
      </c>
      <c r="F267" s="14">
        <f>data!BJ61</f>
        <v>162071</v>
      </c>
      <c r="G267" s="14">
        <f>data!BK61</f>
        <v>525866</v>
      </c>
      <c r="H267" s="14">
        <f>data!BL61</f>
        <v>212265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86930</v>
      </c>
      <c r="E268" s="14">
        <f>data!BI62</f>
        <v>0</v>
      </c>
      <c r="F268" s="14">
        <f>data!BJ62</f>
        <v>58768</v>
      </c>
      <c r="G268" s="14">
        <f>data!BK62</f>
        <v>190682</v>
      </c>
      <c r="H268" s="14">
        <f>data!BL62</f>
        <v>76968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95117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14258</v>
      </c>
      <c r="E270" s="14">
        <f>data!BI64</f>
        <v>0</v>
      </c>
      <c r="F270" s="14">
        <f>data!BJ64</f>
        <v>11272</v>
      </c>
      <c r="G270" s="14">
        <f>data!BK64</f>
        <v>20760</v>
      </c>
      <c r="H270" s="14">
        <f>data!BL64</f>
        <v>7604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310464</v>
      </c>
      <c r="E272" s="14">
        <f>data!BI66</f>
        <v>0</v>
      </c>
      <c r="F272" s="14">
        <f>data!BJ66</f>
        <v>28111</v>
      </c>
      <c r="G272" s="14">
        <f>data!BK66</f>
        <v>35906</v>
      </c>
      <c r="H272" s="14">
        <f>data!BL66</f>
        <v>4412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190068</v>
      </c>
      <c r="E273" s="14">
        <f>data!BI67</f>
        <v>0</v>
      </c>
      <c r="F273" s="14">
        <f>data!BJ67</f>
        <v>0</v>
      </c>
      <c r="G273" s="14">
        <f>data!BK67</f>
        <v>15695</v>
      </c>
      <c r="H273" s="14">
        <f>data!BL67</f>
        <v>1261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3228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12517</v>
      </c>
      <c r="E275" s="14">
        <f>data!BI69</f>
        <v>0</v>
      </c>
      <c r="F275" s="14">
        <f>data!BJ69</f>
        <v>18799</v>
      </c>
      <c r="G275" s="14">
        <f>data!BK69</f>
        <v>4363</v>
      </c>
      <c r="H275" s="14">
        <f>data!BL69</f>
        <v>35906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853973</v>
      </c>
      <c r="E277" s="14">
        <f>data!BI71</f>
        <v>0</v>
      </c>
      <c r="F277" s="14">
        <f>data!BJ71</f>
        <v>374138</v>
      </c>
      <c r="G277" s="14">
        <f>data!BK71</f>
        <v>793272</v>
      </c>
      <c r="H277" s="14">
        <f>data!BL71</f>
        <v>341644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356</v>
      </c>
      <c r="E284" s="85">
        <f>data!BI76</f>
        <v>0</v>
      </c>
      <c r="F284" s="85">
        <f>data!BJ76</f>
        <v>0</v>
      </c>
      <c r="G284" s="85">
        <f>data!BK76</f>
        <v>1844</v>
      </c>
      <c r="H284" s="85">
        <f>data!BL76</f>
        <v>148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356</v>
      </c>
      <c r="E286" s="85">
        <f>data!BI78</f>
        <v>0</v>
      </c>
      <c r="F286" s="213" t="str">
        <f>IF(data!BJ78&gt;0,data!BJ78,"")</f>
        <v>x</v>
      </c>
      <c r="G286" s="85">
        <f>data!BK78</f>
        <v>1844</v>
      </c>
      <c r="H286" s="85">
        <f>data!BL78</f>
        <v>148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Forks Community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4.6399999999999997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2.08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498711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152876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180835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55434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39490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7247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25191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4713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35980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104214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92888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62992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6582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12309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199532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13434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1159254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333174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6685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406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Forks Community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3.33</v>
      </c>
      <c r="E330" s="26">
        <f>data!BW60</f>
        <v>0</v>
      </c>
      <c r="F330" s="26">
        <f>data!BX60</f>
        <v>2.85</v>
      </c>
      <c r="G330" s="26">
        <f>data!BY60</f>
        <v>1.93</v>
      </c>
      <c r="H330" s="26">
        <f>data!BZ60</f>
        <v>0</v>
      </c>
      <c r="I330" s="26">
        <f>data!CA60</f>
        <v>1.04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146617</v>
      </c>
      <c r="E331" s="86">
        <f>data!BW61</f>
        <v>0</v>
      </c>
      <c r="F331" s="86">
        <f>data!BX61</f>
        <v>224998</v>
      </c>
      <c r="G331" s="86">
        <f>data!BY61</f>
        <v>180733</v>
      </c>
      <c r="H331" s="86">
        <f>data!BZ61</f>
        <v>0</v>
      </c>
      <c r="I331" s="86">
        <f>data!CA61</f>
        <v>73058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53164</v>
      </c>
      <c r="E332" s="86">
        <f>data!BW62</f>
        <v>0</v>
      </c>
      <c r="F332" s="86">
        <f>data!BX62</f>
        <v>81586</v>
      </c>
      <c r="G332" s="86">
        <f>data!BY62</f>
        <v>65535</v>
      </c>
      <c r="H332" s="86">
        <f>data!BZ62</f>
        <v>0</v>
      </c>
      <c r="I332" s="86">
        <f>data!CA62</f>
        <v>26491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45573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7102</v>
      </c>
      <c r="E334" s="86">
        <f>data!BW64</f>
        <v>0</v>
      </c>
      <c r="F334" s="86">
        <f>data!BX64</f>
        <v>4983</v>
      </c>
      <c r="G334" s="86">
        <f>data!BY64</f>
        <v>5589</v>
      </c>
      <c r="H334" s="86">
        <f>data!BZ64</f>
        <v>0</v>
      </c>
      <c r="I334" s="86">
        <f>data!CA64</f>
        <v>192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16817</v>
      </c>
      <c r="E336" s="86">
        <f>data!BW66</f>
        <v>0</v>
      </c>
      <c r="F336" s="86">
        <f>data!BX66</f>
        <v>49618</v>
      </c>
      <c r="G336" s="86">
        <f>data!BY66</f>
        <v>212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5220</v>
      </c>
      <c r="E337" s="86">
        <f>data!BW67</f>
        <v>0</v>
      </c>
      <c r="F337" s="86">
        <f>data!BX67</f>
        <v>0</v>
      </c>
      <c r="G337" s="86">
        <f>data!BY67</f>
        <v>1783</v>
      </c>
      <c r="H337" s="86">
        <f>data!BZ67</f>
        <v>0</v>
      </c>
      <c r="I337" s="86">
        <f>data!CA67</f>
        <v>824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14074</v>
      </c>
      <c r="E339" s="86">
        <f>data!BW69</f>
        <v>0</v>
      </c>
      <c r="F339" s="86">
        <f>data!BX69</f>
        <v>6026</v>
      </c>
      <c r="G339" s="86">
        <f>data!BY69</f>
        <v>6570</v>
      </c>
      <c r="H339" s="86">
        <f>data!BZ69</f>
        <v>0</v>
      </c>
      <c r="I339" s="86">
        <f>data!CA69</f>
        <v>7271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288567</v>
      </c>
      <c r="E341" s="14">
        <f>data!BW71</f>
        <v>0</v>
      </c>
      <c r="F341" s="14">
        <f>data!BX71</f>
        <v>367211</v>
      </c>
      <c r="G341" s="14">
        <f>data!BY71</f>
        <v>260422</v>
      </c>
      <c r="H341" s="14">
        <f>data!BZ71</f>
        <v>0</v>
      </c>
      <c r="I341" s="14">
        <f>data!CA71</f>
        <v>107836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612</v>
      </c>
      <c r="E348" s="85">
        <f>data!BW76</f>
        <v>0</v>
      </c>
      <c r="F348" s="85">
        <f>data!BX76</f>
        <v>0</v>
      </c>
      <c r="G348" s="85">
        <f>data!BY76</f>
        <v>210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612</v>
      </c>
      <c r="E350" s="85">
        <f>data!BW78</f>
        <v>0</v>
      </c>
      <c r="F350" s="85">
        <f>data!BX78</f>
        <v>0</v>
      </c>
      <c r="G350" s="85">
        <f>data!BY78</f>
        <v>210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Forks Community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213.36999999999998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14035232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5089251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3367300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7589</v>
      </c>
      <c r="E366" s="218"/>
      <c r="F366" s="219"/>
      <c r="G366" s="219"/>
      <c r="H366" s="219"/>
      <c r="I366" s="86">
        <f>data!CE64</f>
        <v>2966101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475959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49194</v>
      </c>
      <c r="E368" s="218"/>
      <c r="F368" s="219"/>
      <c r="G368" s="219"/>
      <c r="H368" s="219"/>
      <c r="I368" s="86">
        <f>data!CE66</f>
        <v>1716105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1092554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72113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9978</v>
      </c>
      <c r="E371" s="86">
        <f>data!CD69</f>
        <v>849000</v>
      </c>
      <c r="F371" s="219"/>
      <c r="G371" s="219"/>
      <c r="H371" s="219"/>
      <c r="I371" s="86">
        <f>data!CE69</f>
        <v>1302114.46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2457767.44</v>
      </c>
      <c r="F372" s="220"/>
      <c r="G372" s="220"/>
      <c r="H372" s="220"/>
      <c r="I372" s="14">
        <f>-data!CE70</f>
        <v>-2457767.44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66761</v>
      </c>
      <c r="E373" s="86">
        <f>data!CD71</f>
        <v>-1608767.44</v>
      </c>
      <c r="F373" s="219"/>
      <c r="G373" s="219"/>
      <c r="H373" s="219"/>
      <c r="I373" s="14">
        <f>data!CE71</f>
        <v>27658962.02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-733260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8325572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38041596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46367168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56157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117889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45297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33.659999999999997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Forks Community Hospital Year End Report</dc:title>
  <dc:subject>2018 Forks Community Hospital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2019-07-02T20:45:42Z</dcterms:modified>
</cp:coreProperties>
</file>