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Year'!$DR$821:$DR$866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Year'!$A$412:$E$479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Year'!$A$412:$E$479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D368" i="10" l="1"/>
  <c r="D222" i="10"/>
  <c r="U64" i="10"/>
  <c r="AZ59" i="10"/>
  <c r="AY59" i="10"/>
  <c r="Y59" i="10"/>
  <c r="Y59" i="1" l="1"/>
  <c r="CC63" i="1" l="1"/>
  <c r="Q63" i="1"/>
  <c r="BJ63" i="1"/>
  <c r="BV63" i="1"/>
  <c r="BW63" i="1"/>
  <c r="BR63" i="1"/>
  <c r="BP63" i="1"/>
  <c r="BN63" i="1"/>
  <c r="BM63" i="1"/>
  <c r="BK63" i="1"/>
  <c r="BH63" i="1"/>
  <c r="BE63" i="1"/>
  <c r="BB63" i="1"/>
  <c r="AY63" i="1"/>
  <c r="AP63" i="1"/>
  <c r="AJ63" i="1"/>
  <c r="AB63" i="1"/>
  <c r="AA63" i="1"/>
  <c r="Y63" i="1"/>
  <c r="W63" i="1"/>
  <c r="U63" i="1"/>
  <c r="R63" i="1"/>
  <c r="P63" i="1"/>
  <c r="AG63" i="1"/>
  <c r="E63" i="1"/>
  <c r="BE66" i="1" l="1"/>
  <c r="BE65" i="1"/>
  <c r="CC61" i="1" l="1"/>
  <c r="BW61" i="1"/>
  <c r="BR61" i="1"/>
  <c r="BN61" i="1"/>
  <c r="BJ61" i="1"/>
  <c r="BF61" i="1"/>
  <c r="BE61" i="1"/>
  <c r="BB61" i="1"/>
  <c r="AY61" i="1"/>
  <c r="AJ61" i="1"/>
  <c r="AG61" i="1"/>
  <c r="AC61" i="1"/>
  <c r="Y61" i="1"/>
  <c r="U61" i="1"/>
  <c r="S61" i="1"/>
  <c r="F61" i="1"/>
  <c r="E61" i="1"/>
  <c r="CB61" i="1"/>
  <c r="CA61" i="1"/>
  <c r="BZ61" i="1"/>
  <c r="BY61" i="1"/>
  <c r="BV61" i="1"/>
  <c r="BS61" i="1"/>
  <c r="BP61" i="1"/>
  <c r="BO61" i="1"/>
  <c r="BM61" i="1"/>
  <c r="BL61" i="1"/>
  <c r="BK61" i="1"/>
  <c r="BH61" i="1"/>
  <c r="BD61" i="1"/>
  <c r="AV61" i="1"/>
  <c r="AP61" i="1"/>
  <c r="AL61" i="1"/>
  <c r="AK61" i="1"/>
  <c r="AI61" i="1"/>
  <c r="AE61" i="1"/>
  <c r="AB61" i="1"/>
  <c r="AA61" i="1"/>
  <c r="X61" i="1"/>
  <c r="W61" i="1"/>
  <c r="R61" i="1"/>
  <c r="Q61" i="1"/>
  <c r="P61" i="1"/>
  <c r="CD69" i="1" l="1"/>
  <c r="BN69" i="1"/>
  <c r="AB69" i="1"/>
  <c r="CC69" i="1"/>
  <c r="CB69" i="1"/>
  <c r="CA69" i="1"/>
  <c r="BY69" i="1"/>
  <c r="BW69" i="1"/>
  <c r="BV69" i="1"/>
  <c r="BQ69" i="1"/>
  <c r="BP69" i="1"/>
  <c r="BM69" i="1"/>
  <c r="BL69" i="1"/>
  <c r="BK69" i="1"/>
  <c r="BF69" i="1"/>
  <c r="BE69" i="1"/>
  <c r="BD69" i="1"/>
  <c r="BB69" i="1"/>
  <c r="AY69" i="1"/>
  <c r="AV69" i="1"/>
  <c r="AP69" i="1"/>
  <c r="AI69" i="1"/>
  <c r="AG69" i="1"/>
  <c r="AE69" i="1"/>
  <c r="AC69" i="1"/>
  <c r="Y69" i="1"/>
  <c r="U69" i="1"/>
  <c r="S69" i="1"/>
  <c r="R69" i="1"/>
  <c r="F69" i="1"/>
  <c r="E69" i="1"/>
  <c r="BE68" i="1"/>
  <c r="AJ68" i="1"/>
  <c r="E68" i="1"/>
  <c r="AJ74" i="1"/>
  <c r="Y74" i="1"/>
  <c r="AG74" i="1"/>
  <c r="U74" i="1"/>
  <c r="R74" i="1"/>
  <c r="E74" i="1"/>
  <c r="AG73" i="1"/>
  <c r="Y73" i="1"/>
  <c r="U73" i="1"/>
  <c r="R73" i="1"/>
  <c r="E73" i="1"/>
  <c r="C197" i="1" l="1"/>
  <c r="F493" i="1" l="1"/>
  <c r="D493" i="1"/>
  <c r="B493" i="1"/>
  <c r="CD72" i="10" l="1"/>
  <c r="B575" i="1" s="1"/>
  <c r="CE61" i="10"/>
  <c r="BY48" i="10" s="1"/>
  <c r="BY62" i="10" s="1"/>
  <c r="CE77" i="10"/>
  <c r="CA48" i="10"/>
  <c r="CA62" i="10" s="1"/>
  <c r="BG48" i="10"/>
  <c r="BG62" i="10" s="1"/>
  <c r="BA48" i="10"/>
  <c r="BA62" i="10" s="1"/>
  <c r="AW48" i="10"/>
  <c r="AW62" i="10" s="1"/>
  <c r="AS48" i="10"/>
  <c r="AS62" i="10" s="1"/>
  <c r="AQ48" i="10"/>
  <c r="AQ62" i="10" s="1"/>
  <c r="E775" i="10" s="1"/>
  <c r="AO48" i="10"/>
  <c r="AO62" i="10" s="1"/>
  <c r="AK48" i="10"/>
  <c r="AK62" i="10" s="1"/>
  <c r="AI48" i="10"/>
  <c r="AI62" i="10" s="1"/>
  <c r="E767" i="10" s="1"/>
  <c r="AG48" i="10"/>
  <c r="AG62" i="10" s="1"/>
  <c r="AC48" i="10"/>
  <c r="AC62" i="10" s="1"/>
  <c r="AA48" i="10"/>
  <c r="AA62" i="10" s="1"/>
  <c r="Y48" i="10"/>
  <c r="Y62" i="10" s="1"/>
  <c r="W48" i="10"/>
  <c r="W62" i="10" s="1"/>
  <c r="V48" i="10"/>
  <c r="V62" i="10" s="1"/>
  <c r="U48" i="10"/>
  <c r="U62" i="10" s="1"/>
  <c r="S48" i="10"/>
  <c r="S62" i="10" s="1"/>
  <c r="R48" i="10"/>
  <c r="R62" i="10" s="1"/>
  <c r="Q48" i="10"/>
  <c r="Q62" i="10" s="1"/>
  <c r="O48" i="10"/>
  <c r="O62" i="10" s="1"/>
  <c r="N48" i="10"/>
  <c r="N62" i="10" s="1"/>
  <c r="M48" i="10"/>
  <c r="M62" i="10" s="1"/>
  <c r="K48" i="10"/>
  <c r="K62" i="10" s="1"/>
  <c r="J48" i="10"/>
  <c r="J62" i="10" s="1"/>
  <c r="I48" i="10"/>
  <c r="I62" i="10" s="1"/>
  <c r="G48" i="10"/>
  <c r="G62" i="10" s="1"/>
  <c r="F48" i="10"/>
  <c r="F62" i="10" s="1"/>
  <c r="E48" i="10"/>
  <c r="E62" i="10" s="1"/>
  <c r="C48" i="10"/>
  <c r="C62" i="10" s="1"/>
  <c r="O818" i="10"/>
  <c r="M818" i="10"/>
  <c r="L818" i="10"/>
  <c r="K818" i="10"/>
  <c r="J818" i="10"/>
  <c r="I818" i="10"/>
  <c r="H818" i="10"/>
  <c r="G818" i="10"/>
  <c r="F818" i="10"/>
  <c r="E818" i="10"/>
  <c r="D818" i="10"/>
  <c r="W814" i="10"/>
  <c r="W816" i="10" s="1"/>
  <c r="Y814" i="10"/>
  <c r="Y816" i="10" s="1"/>
  <c r="X814" i="10"/>
  <c r="X816" i="10" s="1"/>
  <c r="V814" i="10"/>
  <c r="V816" i="10" s="1"/>
  <c r="U814" i="10"/>
  <c r="U816" i="10" s="1"/>
  <c r="A814" i="10"/>
  <c r="T813" i="10"/>
  <c r="S813" i="10"/>
  <c r="R813" i="10"/>
  <c r="Q813" i="10"/>
  <c r="P813" i="10"/>
  <c r="M813" i="10"/>
  <c r="L813" i="10"/>
  <c r="K813" i="10"/>
  <c r="I813" i="10"/>
  <c r="H813" i="10"/>
  <c r="G813" i="10"/>
  <c r="F813" i="10"/>
  <c r="D813" i="10"/>
  <c r="C813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B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B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O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B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B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CF731" i="10"/>
  <c r="CE731" i="10"/>
  <c r="CD731" i="10"/>
  <c r="CC731" i="10"/>
  <c r="CB731" i="10"/>
  <c r="CA731" i="10"/>
  <c r="BZ731" i="10"/>
  <c r="BY731" i="10"/>
  <c r="BX731" i="10"/>
  <c r="BW731" i="10"/>
  <c r="BV731" i="10"/>
  <c r="BU731" i="10"/>
  <c r="BT731" i="10"/>
  <c r="BS731" i="10"/>
  <c r="BR731" i="10"/>
  <c r="BQ731" i="10"/>
  <c r="BP731" i="10"/>
  <c r="BO731" i="10"/>
  <c r="BN731" i="10"/>
  <c r="BM731" i="10"/>
  <c r="BL731" i="10"/>
  <c r="BK731" i="10"/>
  <c r="BJ731" i="10"/>
  <c r="BF731" i="10"/>
  <c r="BE731" i="10"/>
  <c r="BB731" i="10"/>
  <c r="BA731" i="10"/>
  <c r="AZ731" i="10"/>
  <c r="AY731" i="10"/>
  <c r="AX731" i="10"/>
  <c r="AW731" i="10"/>
  <c r="AV731" i="10"/>
  <c r="AU731" i="10"/>
  <c r="AT731" i="10"/>
  <c r="AS731" i="10"/>
  <c r="AR731" i="10"/>
  <c r="AQ731" i="10"/>
  <c r="AP731" i="10"/>
  <c r="AO731" i="10"/>
  <c r="AN731" i="10"/>
  <c r="AM731" i="10"/>
  <c r="AL731" i="10"/>
  <c r="AK731" i="10"/>
  <c r="AJ731" i="10"/>
  <c r="AI731" i="10"/>
  <c r="AH731" i="10"/>
  <c r="AG731" i="10"/>
  <c r="AF731" i="10"/>
  <c r="AE731" i="10"/>
  <c r="AD731" i="10"/>
  <c r="AC731" i="10"/>
  <c r="AB731" i="10"/>
  <c r="AA731" i="10"/>
  <c r="Z731" i="10"/>
  <c r="Y731" i="10"/>
  <c r="X731" i="10"/>
  <c r="W731" i="10"/>
  <c r="V731" i="10"/>
  <c r="U731" i="10"/>
  <c r="T731" i="10"/>
  <c r="S731" i="10"/>
  <c r="R731" i="10"/>
  <c r="Q731" i="10"/>
  <c r="P731" i="10"/>
  <c r="O731" i="10"/>
  <c r="N731" i="10"/>
  <c r="M731" i="10"/>
  <c r="L731" i="10"/>
  <c r="K731" i="10"/>
  <c r="J731" i="10"/>
  <c r="I731" i="10"/>
  <c r="H731" i="10"/>
  <c r="G731" i="10"/>
  <c r="F731" i="10"/>
  <c r="E731" i="10"/>
  <c r="D731" i="10"/>
  <c r="C731" i="10"/>
  <c r="B731" i="10"/>
  <c r="A731" i="10"/>
  <c r="BR727" i="10"/>
  <c r="BQ727" i="10"/>
  <c r="BP727" i="10"/>
  <c r="BO727" i="10"/>
  <c r="BN727" i="10"/>
  <c r="BM727" i="10"/>
  <c r="BL727" i="10"/>
  <c r="BK727" i="10"/>
  <c r="BJ727" i="10"/>
  <c r="BI727" i="10"/>
  <c r="BH727" i="10"/>
  <c r="BG727" i="10"/>
  <c r="BF727" i="10"/>
  <c r="BE727" i="10"/>
  <c r="BD727" i="10"/>
  <c r="BC727" i="10"/>
  <c r="BB727" i="10"/>
  <c r="BA727" i="10"/>
  <c r="AZ727" i="10"/>
  <c r="AY727" i="10"/>
  <c r="AX727" i="10"/>
  <c r="AW727" i="10"/>
  <c r="AV727" i="10"/>
  <c r="AU727" i="10"/>
  <c r="AT727" i="10"/>
  <c r="AS727" i="10"/>
  <c r="AR727" i="10"/>
  <c r="AQ727" i="10"/>
  <c r="AP727" i="10"/>
  <c r="AO727" i="10"/>
  <c r="AN727" i="10"/>
  <c r="AM727" i="10"/>
  <c r="AL727" i="10"/>
  <c r="AK727" i="10"/>
  <c r="AJ727" i="10"/>
  <c r="AI727" i="10"/>
  <c r="AH727" i="10"/>
  <c r="AG727" i="10"/>
  <c r="AF727" i="10"/>
  <c r="AE727" i="10"/>
  <c r="AD727" i="10"/>
  <c r="AC727" i="10"/>
  <c r="AB727" i="10"/>
  <c r="AA727" i="10"/>
  <c r="Z727" i="10"/>
  <c r="Y727" i="10"/>
  <c r="X727" i="10"/>
  <c r="W727" i="10"/>
  <c r="V727" i="10"/>
  <c r="U727" i="10"/>
  <c r="S727" i="10"/>
  <c r="R727" i="10"/>
  <c r="Q727" i="10"/>
  <c r="P727" i="10"/>
  <c r="O727" i="10"/>
  <c r="N727" i="10"/>
  <c r="M727" i="10"/>
  <c r="L727" i="10"/>
  <c r="K727" i="10"/>
  <c r="J727" i="10"/>
  <c r="I727" i="10"/>
  <c r="H727" i="10"/>
  <c r="G727" i="10"/>
  <c r="F727" i="10"/>
  <c r="E727" i="10"/>
  <c r="D727" i="10"/>
  <c r="C727" i="10"/>
  <c r="B727" i="10"/>
  <c r="A727" i="10"/>
  <c r="CC723" i="10"/>
  <c r="CB723" i="10"/>
  <c r="CA723" i="10"/>
  <c r="BZ723" i="10"/>
  <c r="BY723" i="10"/>
  <c r="BX723" i="10"/>
  <c r="BW723" i="10"/>
  <c r="BV723" i="10"/>
  <c r="BU723" i="10"/>
  <c r="BT723" i="10"/>
  <c r="BS723" i="10"/>
  <c r="BR723" i="10"/>
  <c r="BQ723" i="10"/>
  <c r="BP723" i="10"/>
  <c r="BO723" i="10"/>
  <c r="BN723" i="10"/>
  <c r="BM723" i="10"/>
  <c r="BL723" i="10"/>
  <c r="BK723" i="10"/>
  <c r="BJ723" i="10"/>
  <c r="BI723" i="10"/>
  <c r="BH723" i="10"/>
  <c r="BG723" i="10"/>
  <c r="BF723" i="10"/>
  <c r="BE723" i="10"/>
  <c r="BD723" i="10"/>
  <c r="BC723" i="10"/>
  <c r="BB723" i="10"/>
  <c r="BA723" i="10"/>
  <c r="AZ723" i="10"/>
  <c r="AY723" i="10"/>
  <c r="AX723" i="10"/>
  <c r="AW723" i="10"/>
  <c r="AV723" i="10"/>
  <c r="AR723" i="10"/>
  <c r="AQ723" i="10"/>
  <c r="AP723" i="10"/>
  <c r="AO723" i="10"/>
  <c r="AN723" i="10"/>
  <c r="AM723" i="10"/>
  <c r="AL723" i="10"/>
  <c r="AK723" i="10"/>
  <c r="AJ723" i="10"/>
  <c r="AI723" i="10"/>
  <c r="AH723" i="10"/>
  <c r="AG723" i="10"/>
  <c r="AF723" i="10"/>
  <c r="AE723" i="10"/>
  <c r="AD723" i="10"/>
  <c r="AC723" i="10"/>
  <c r="AB723" i="10"/>
  <c r="AA723" i="10"/>
  <c r="Z723" i="10"/>
  <c r="Y723" i="10"/>
  <c r="X723" i="10"/>
  <c r="W723" i="10"/>
  <c r="V723" i="10"/>
  <c r="U723" i="10"/>
  <c r="T723" i="10"/>
  <c r="S723" i="10"/>
  <c r="R723" i="10"/>
  <c r="Q723" i="10"/>
  <c r="P723" i="10"/>
  <c r="O723" i="10"/>
  <c r="N723" i="10"/>
  <c r="M723" i="10"/>
  <c r="L723" i="10"/>
  <c r="K723" i="10"/>
  <c r="J723" i="10"/>
  <c r="I723" i="10"/>
  <c r="H723" i="10"/>
  <c r="G723" i="10"/>
  <c r="F723" i="10"/>
  <c r="E723" i="10"/>
  <c r="D723" i="10"/>
  <c r="C723" i="10"/>
  <c r="B723" i="10"/>
  <c r="A723" i="10"/>
  <c r="C616" i="10"/>
  <c r="E551" i="10"/>
  <c r="E547" i="10"/>
  <c r="E546" i="10"/>
  <c r="E545" i="10"/>
  <c r="E541" i="10"/>
  <c r="F541" i="10"/>
  <c r="E540" i="10"/>
  <c r="F540" i="10"/>
  <c r="E539" i="10"/>
  <c r="H539" i="10"/>
  <c r="E538" i="10"/>
  <c r="H538" i="10"/>
  <c r="H537" i="10"/>
  <c r="E537" i="10"/>
  <c r="F537" i="10"/>
  <c r="E536" i="10"/>
  <c r="E535" i="10"/>
  <c r="H535" i="10"/>
  <c r="E534" i="10"/>
  <c r="H534" i="10"/>
  <c r="E533" i="10"/>
  <c r="F533" i="10"/>
  <c r="E532" i="10"/>
  <c r="F532" i="10"/>
  <c r="E531" i="10"/>
  <c r="E530" i="10"/>
  <c r="E529" i="10"/>
  <c r="F529" i="10"/>
  <c r="E528" i="10"/>
  <c r="F528" i="10"/>
  <c r="E527" i="10"/>
  <c r="E526" i="10"/>
  <c r="E525" i="10"/>
  <c r="E524" i="10"/>
  <c r="F524" i="10"/>
  <c r="E523" i="10"/>
  <c r="E521" i="10"/>
  <c r="F520" i="10"/>
  <c r="E520" i="10"/>
  <c r="E519" i="10"/>
  <c r="E518" i="10"/>
  <c r="E517" i="10"/>
  <c r="E516" i="10"/>
  <c r="F516" i="10"/>
  <c r="E515" i="10"/>
  <c r="F514" i="10"/>
  <c r="F513" i="10"/>
  <c r="E512" i="10"/>
  <c r="F512" i="10"/>
  <c r="E511" i="10"/>
  <c r="F511" i="10"/>
  <c r="E510" i="10"/>
  <c r="F510" i="10"/>
  <c r="E509" i="10"/>
  <c r="F508" i="10"/>
  <c r="E508" i="10"/>
  <c r="H508" i="10"/>
  <c r="H507" i="10"/>
  <c r="E507" i="10"/>
  <c r="F507" i="10"/>
  <c r="H506" i="10"/>
  <c r="E506" i="10"/>
  <c r="F506" i="10"/>
  <c r="E505" i="10"/>
  <c r="H505" i="10"/>
  <c r="F504" i="10"/>
  <c r="E504" i="10"/>
  <c r="H504" i="10"/>
  <c r="H503" i="10"/>
  <c r="E503" i="10"/>
  <c r="F503" i="10"/>
  <c r="E502" i="10"/>
  <c r="F502" i="10"/>
  <c r="E501" i="10"/>
  <c r="H501" i="10"/>
  <c r="F500" i="10"/>
  <c r="E500" i="10"/>
  <c r="H500" i="10"/>
  <c r="E499" i="10"/>
  <c r="F499" i="10"/>
  <c r="H498" i="10"/>
  <c r="E498" i="10"/>
  <c r="F498" i="10"/>
  <c r="E497" i="10"/>
  <c r="G494" i="10"/>
  <c r="E494" i="10"/>
  <c r="C494" i="10"/>
  <c r="A494" i="10"/>
  <c r="B479" i="10"/>
  <c r="D276" i="10"/>
  <c r="B477" i="10" s="1"/>
  <c r="B476" i="10"/>
  <c r="E203" i="10"/>
  <c r="C475" i="10" s="1"/>
  <c r="B475" i="10"/>
  <c r="B474" i="10"/>
  <c r="B473" i="10"/>
  <c r="B472" i="10"/>
  <c r="B471" i="10"/>
  <c r="B470" i="10"/>
  <c r="B469" i="10"/>
  <c r="B465" i="10"/>
  <c r="B464" i="10"/>
  <c r="C460" i="10"/>
  <c r="B460" i="10"/>
  <c r="B459" i="10"/>
  <c r="B456" i="10"/>
  <c r="B455" i="10"/>
  <c r="B454" i="10"/>
  <c r="C448" i="10"/>
  <c r="C447" i="10"/>
  <c r="D237" i="10"/>
  <c r="B447" i="10"/>
  <c r="C446" i="10"/>
  <c r="D391" i="10"/>
  <c r="B443" i="10" s="1"/>
  <c r="CE70" i="10"/>
  <c r="B439" i="10"/>
  <c r="B441" i="10"/>
  <c r="C441" i="10"/>
  <c r="C440" i="10"/>
  <c r="B440" i="10"/>
  <c r="C439" i="10"/>
  <c r="D191" i="10"/>
  <c r="D438" i="10" s="1"/>
  <c r="B438" i="10"/>
  <c r="B437" i="10"/>
  <c r="B436" i="10"/>
  <c r="B435" i="10"/>
  <c r="B434" i="10"/>
  <c r="B433" i="10"/>
  <c r="CE65" i="10"/>
  <c r="C432" i="10" s="1"/>
  <c r="B432" i="10"/>
  <c r="B431" i="10"/>
  <c r="B430" i="10"/>
  <c r="D174" i="10"/>
  <c r="D429" i="10" s="1"/>
  <c r="B429" i="10"/>
  <c r="B428" i="10"/>
  <c r="D425" i="10"/>
  <c r="B425" i="10"/>
  <c r="B424" i="10"/>
  <c r="D422" i="10"/>
  <c r="B422" i="10"/>
  <c r="B421" i="10"/>
  <c r="D419" i="10"/>
  <c r="B419" i="10"/>
  <c r="B418" i="10"/>
  <c r="D416" i="10"/>
  <c r="B416" i="10"/>
  <c r="B415" i="10"/>
  <c r="A413" i="10"/>
  <c r="D373" i="10"/>
  <c r="D362" i="10"/>
  <c r="N818" i="10" s="1"/>
  <c r="D330" i="10"/>
  <c r="D329" i="10"/>
  <c r="D320" i="10"/>
  <c r="D315" i="10"/>
  <c r="D291" i="10"/>
  <c r="D284" i="10"/>
  <c r="D266" i="10"/>
  <c r="D261" i="10"/>
  <c r="D230" i="10"/>
  <c r="D241" i="10"/>
  <c r="B448" i="10" s="1"/>
  <c r="D218" i="10"/>
  <c r="C218" i="10"/>
  <c r="D434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6" i="10" s="1"/>
  <c r="E202" i="10"/>
  <c r="E201" i="10"/>
  <c r="C474" i="10" s="1"/>
  <c r="E200" i="10"/>
  <c r="C473" i="10" s="1"/>
  <c r="E199" i="10"/>
  <c r="C472" i="10" s="1"/>
  <c r="E198" i="10"/>
  <c r="C471" i="10" s="1"/>
  <c r="E197" i="10"/>
  <c r="E196" i="10"/>
  <c r="C469" i="10" s="1"/>
  <c r="D187" i="10"/>
  <c r="D182" i="10"/>
  <c r="D178" i="10"/>
  <c r="D435" i="10" s="1"/>
  <c r="E155" i="10"/>
  <c r="E154" i="10"/>
  <c r="E153" i="10"/>
  <c r="E152" i="10"/>
  <c r="C422" i="10" s="1"/>
  <c r="E151" i="10"/>
  <c r="C421" i="10" s="1"/>
  <c r="E149" i="10"/>
  <c r="E148" i="10"/>
  <c r="E147" i="10"/>
  <c r="E146" i="10"/>
  <c r="C419" i="10" s="1"/>
  <c r="E145" i="10"/>
  <c r="C418" i="10" s="1"/>
  <c r="E143" i="10"/>
  <c r="E142" i="10"/>
  <c r="E141" i="10"/>
  <c r="E140" i="10"/>
  <c r="C416" i="10" s="1"/>
  <c r="E139" i="10"/>
  <c r="C415" i="10" s="1"/>
  <c r="E128" i="10"/>
  <c r="CE81" i="10"/>
  <c r="T817" i="10" s="1"/>
  <c r="CF80" i="10"/>
  <c r="CE80" i="10"/>
  <c r="J613" i="10" s="1"/>
  <c r="CE79" i="10"/>
  <c r="R817" i="10" s="1"/>
  <c r="CE78" i="10"/>
  <c r="CF78" i="10" s="1"/>
  <c r="AV76" i="10"/>
  <c r="N780" i="10" s="1"/>
  <c r="AU76" i="10"/>
  <c r="N779" i="10" s="1"/>
  <c r="AT76" i="10"/>
  <c r="N778" i="10" s="1"/>
  <c r="AS76" i="10"/>
  <c r="N777" i="10" s="1"/>
  <c r="AR76" i="10"/>
  <c r="N776" i="10" s="1"/>
  <c r="AQ76" i="10"/>
  <c r="N775" i="10" s="1"/>
  <c r="AP76" i="10"/>
  <c r="N774" i="10" s="1"/>
  <c r="AO76" i="10"/>
  <c r="N773" i="10" s="1"/>
  <c r="AN76" i="10"/>
  <c r="N772" i="10" s="1"/>
  <c r="AM76" i="10"/>
  <c r="N771" i="10" s="1"/>
  <c r="AL76" i="10"/>
  <c r="N770" i="10" s="1"/>
  <c r="AK76" i="10"/>
  <c r="N769" i="10" s="1"/>
  <c r="AJ76" i="10"/>
  <c r="N768" i="10" s="1"/>
  <c r="AI76" i="10"/>
  <c r="N767" i="10"/>
  <c r="AH76" i="10"/>
  <c r="N766" i="10" s="1"/>
  <c r="AG76" i="10"/>
  <c r="N765" i="10" s="1"/>
  <c r="AF76" i="10"/>
  <c r="N764" i="10" s="1"/>
  <c r="AE76" i="10"/>
  <c r="N763" i="10" s="1"/>
  <c r="AD76" i="10"/>
  <c r="N762" i="10" s="1"/>
  <c r="AC76" i="10"/>
  <c r="N761" i="10" s="1"/>
  <c r="AB76" i="10"/>
  <c r="N760" i="10" s="1"/>
  <c r="AA76" i="10"/>
  <c r="N759" i="10" s="1"/>
  <c r="Z76" i="10"/>
  <c r="N758" i="10" s="1"/>
  <c r="Y76" i="10"/>
  <c r="N757" i="10" s="1"/>
  <c r="X76" i="10"/>
  <c r="N756" i="10" s="1"/>
  <c r="W76" i="10"/>
  <c r="N755" i="10" s="1"/>
  <c r="V76" i="10"/>
  <c r="N754" i="10" s="1"/>
  <c r="U76" i="10"/>
  <c r="N753" i="10" s="1"/>
  <c r="T76" i="10"/>
  <c r="N752" i="10" s="1"/>
  <c r="S76" i="10"/>
  <c r="N751" i="10" s="1"/>
  <c r="R76" i="10"/>
  <c r="N750" i="10" s="1"/>
  <c r="Q76" i="10"/>
  <c r="N749" i="10" s="1"/>
  <c r="P76" i="10"/>
  <c r="N748" i="10" s="1"/>
  <c r="O76" i="10"/>
  <c r="N747" i="10" s="1"/>
  <c r="N76" i="10"/>
  <c r="N746" i="10" s="1"/>
  <c r="M76" i="10"/>
  <c r="N745" i="10" s="1"/>
  <c r="L76" i="10"/>
  <c r="N744" i="10" s="1"/>
  <c r="K76" i="10"/>
  <c r="N743" i="10" s="1"/>
  <c r="J76" i="10"/>
  <c r="N742" i="10" s="1"/>
  <c r="I76" i="10"/>
  <c r="N741" i="10" s="1"/>
  <c r="H76" i="10"/>
  <c r="N740" i="10" s="1"/>
  <c r="G76" i="10"/>
  <c r="N739" i="10" s="1"/>
  <c r="F76" i="10"/>
  <c r="N738" i="10" s="1"/>
  <c r="E76" i="10"/>
  <c r="N737" i="10" s="1"/>
  <c r="D76" i="10"/>
  <c r="N736" i="10" s="1"/>
  <c r="C76" i="10"/>
  <c r="N735" i="10" s="1"/>
  <c r="CE75" i="10"/>
  <c r="C465" i="10" s="1"/>
  <c r="CE74" i="10"/>
  <c r="C464" i="10" s="1"/>
  <c r="C576" i="10"/>
  <c r="CE71" i="10"/>
  <c r="C459" i="10" s="1"/>
  <c r="CE69" i="10"/>
  <c r="CE68" i="10"/>
  <c r="C435" i="10" s="1"/>
  <c r="CE66" i="10"/>
  <c r="C433" i="10" s="1"/>
  <c r="CE64" i="10"/>
  <c r="G817" i="10" s="1"/>
  <c r="CE63" i="10"/>
  <c r="F817" i="10" s="1"/>
  <c r="CE60" i="10"/>
  <c r="C817" i="10" s="1"/>
  <c r="B53" i="10"/>
  <c r="CE51" i="10"/>
  <c r="B49" i="10"/>
  <c r="CE47" i="10"/>
  <c r="H533" i="10"/>
  <c r="F518" i="10"/>
  <c r="F525" i="10"/>
  <c r="H528" i="10"/>
  <c r="H529" i="10"/>
  <c r="F536" i="10"/>
  <c r="H540" i="10"/>
  <c r="H541" i="10"/>
  <c r="F551" i="10"/>
  <c r="D817" i="10"/>
  <c r="C428" i="10"/>
  <c r="BI731" i="10"/>
  <c r="F517" i="10"/>
  <c r="F521" i="10"/>
  <c r="F522" i="10"/>
  <c r="F526" i="10"/>
  <c r="F530" i="10"/>
  <c r="F534" i="10"/>
  <c r="F538" i="10"/>
  <c r="F546" i="10"/>
  <c r="F497" i="10"/>
  <c r="F501" i="10"/>
  <c r="F505" i="10"/>
  <c r="F509" i="10"/>
  <c r="F515" i="10"/>
  <c r="F519" i="10"/>
  <c r="F545" i="10"/>
  <c r="F547" i="10"/>
  <c r="D436" i="10"/>
  <c r="F523" i="10"/>
  <c r="F527" i="10"/>
  <c r="F531" i="10"/>
  <c r="F535" i="10"/>
  <c r="F539" i="10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/>
  <c r="AQ75" i="1"/>
  <c r="H186" i="9" s="1"/>
  <c r="AO75" i="1"/>
  <c r="AN75" i="1"/>
  <c r="E186" i="9" s="1"/>
  <c r="AM75" i="1"/>
  <c r="D186" i="9" s="1"/>
  <c r="AI75" i="1"/>
  <c r="G154" i="9" s="1"/>
  <c r="AH75" i="1"/>
  <c r="F154" i="9"/>
  <c r="AF75" i="1"/>
  <c r="D154" i="9" s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E209" i="1"/>
  <c r="E210" i="1"/>
  <c r="E211" i="1"/>
  <c r="F26" i="6" s="1"/>
  <c r="E212" i="1"/>
  <c r="E213" i="1"/>
  <c r="F28" i="6" s="1"/>
  <c r="E214" i="1"/>
  <c r="F29" i="6" s="1"/>
  <c r="E215" i="1"/>
  <c r="E216" i="1"/>
  <c r="D217" i="1"/>
  <c r="E32" i="6"/>
  <c r="C217" i="1"/>
  <c r="D433" i="1" s="1"/>
  <c r="E196" i="1"/>
  <c r="E197" i="1"/>
  <c r="E198" i="1"/>
  <c r="E199" i="1"/>
  <c r="C472" i="1" s="1"/>
  <c r="E200" i="1"/>
  <c r="E201" i="1"/>
  <c r="E202" i="1"/>
  <c r="C474" i="1" s="1"/>
  <c r="E203" i="1"/>
  <c r="C475" i="1" s="1"/>
  <c r="D204" i="1"/>
  <c r="B204" i="1"/>
  <c r="D190" i="1"/>
  <c r="D437" i="1" s="1"/>
  <c r="D186" i="1"/>
  <c r="D436" i="1" s="1"/>
  <c r="D181" i="1"/>
  <c r="D177" i="1"/>
  <c r="C20" i="5" s="1"/>
  <c r="E154" i="1"/>
  <c r="E153" i="1"/>
  <c r="E152" i="1"/>
  <c r="E151" i="1"/>
  <c r="C28" i="4" s="1"/>
  <c r="E150" i="1"/>
  <c r="E148" i="1"/>
  <c r="F19" i="4" s="1"/>
  <c r="E147" i="1"/>
  <c r="E146" i="1"/>
  <c r="D19" i="4" s="1"/>
  <c r="E145" i="1"/>
  <c r="C19" i="4" s="1"/>
  <c r="E144" i="1"/>
  <c r="E141" i="1"/>
  <c r="D463" i="1" s="1"/>
  <c r="E140" i="1"/>
  <c r="D10" i="4"/>
  <c r="E139" i="1"/>
  <c r="C10" i="4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P48" i="1"/>
  <c r="P62" i="1" s="1"/>
  <c r="L48" i="1"/>
  <c r="L62" i="1" s="1"/>
  <c r="H48" i="1"/>
  <c r="H62" i="1" s="1"/>
  <c r="D368" i="1"/>
  <c r="D330" i="1"/>
  <c r="C86" i="8" s="1"/>
  <c r="C473" i="1"/>
  <c r="F12" i="6"/>
  <c r="C469" i="1"/>
  <c r="F8" i="6"/>
  <c r="G122" i="9"/>
  <c r="I26" i="9"/>
  <c r="F90" i="9"/>
  <c r="C218" i="9"/>
  <c r="D366" i="9"/>
  <c r="CE64" i="1"/>
  <c r="F612" i="1" s="1"/>
  <c r="D368" i="9"/>
  <c r="C276" i="9"/>
  <c r="CE70" i="1"/>
  <c r="C458" i="1" s="1"/>
  <c r="CE76" i="1"/>
  <c r="I380" i="9" s="1"/>
  <c r="CE77" i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BZ48" i="1"/>
  <c r="BZ62" i="1" s="1"/>
  <c r="G48" i="1"/>
  <c r="G62" i="1" s="1"/>
  <c r="AU48" i="1"/>
  <c r="AU62" i="1" s="1"/>
  <c r="BS48" i="1"/>
  <c r="BS62" i="1" s="1"/>
  <c r="M48" i="1"/>
  <c r="M62" i="1" s="1"/>
  <c r="BC48" i="1"/>
  <c r="BC62" i="1" s="1"/>
  <c r="F236" i="9" s="1"/>
  <c r="O48" i="1"/>
  <c r="O62" i="1" s="1"/>
  <c r="AM48" i="1"/>
  <c r="AM62" i="1" s="1"/>
  <c r="C427" i="1"/>
  <c r="CD71" i="1"/>
  <c r="E373" i="9" s="1"/>
  <c r="BQ48" i="1"/>
  <c r="BQ62" i="1" s="1"/>
  <c r="F300" i="9" s="1"/>
  <c r="BA48" i="1"/>
  <c r="BA62" i="1" s="1"/>
  <c r="U48" i="1"/>
  <c r="U62" i="1" s="1"/>
  <c r="E48" i="1"/>
  <c r="E62" i="1" s="1"/>
  <c r="BU48" i="1"/>
  <c r="BU62" i="1" s="1"/>
  <c r="C332" i="9" s="1"/>
  <c r="BE48" i="1"/>
  <c r="BE62" i="1" s="1"/>
  <c r="AW48" i="1"/>
  <c r="AW62" i="1" s="1"/>
  <c r="AO48" i="1"/>
  <c r="AO62" i="1" s="1"/>
  <c r="Y48" i="1"/>
  <c r="Y62" i="1" s="1"/>
  <c r="Q48" i="1"/>
  <c r="Q62" i="1" s="1"/>
  <c r="I48" i="1"/>
  <c r="I62" i="1" s="1"/>
  <c r="BW48" i="1"/>
  <c r="BW62" i="1" s="1"/>
  <c r="BO48" i="1"/>
  <c r="BO62" i="1" s="1"/>
  <c r="D300" i="9" s="1"/>
  <c r="BG48" i="1"/>
  <c r="BG62" i="1" s="1"/>
  <c r="C268" i="9" s="1"/>
  <c r="AQ48" i="1"/>
  <c r="AQ62" i="1" s="1"/>
  <c r="AI48" i="1"/>
  <c r="AI62" i="1" s="1"/>
  <c r="AA48" i="1"/>
  <c r="AA62" i="1" s="1"/>
  <c r="F108" i="9" s="1"/>
  <c r="K48" i="1"/>
  <c r="K62" i="1" s="1"/>
  <c r="C615" i="1"/>
  <c r="B440" i="1"/>
  <c r="CB48" i="1"/>
  <c r="CB62" i="1" s="1"/>
  <c r="C364" i="9" s="1"/>
  <c r="C120" i="8"/>
  <c r="E372" i="9"/>
  <c r="CA48" i="1"/>
  <c r="CA62" i="1" s="1"/>
  <c r="BY48" i="1"/>
  <c r="BY62" i="1" s="1"/>
  <c r="BX48" i="1"/>
  <c r="BX62" i="1" s="1"/>
  <c r="BT48" i="1"/>
  <c r="BT62" i="1" s="1"/>
  <c r="I300" i="9" s="1"/>
  <c r="BR48" i="1"/>
  <c r="BR62" i="1" s="1"/>
  <c r="BP48" i="1"/>
  <c r="BP62" i="1" s="1"/>
  <c r="BL48" i="1"/>
  <c r="BL62" i="1" s="1"/>
  <c r="BJ48" i="1"/>
  <c r="BJ62" i="1" s="1"/>
  <c r="BH48" i="1"/>
  <c r="BH62" i="1" s="1"/>
  <c r="BD48" i="1"/>
  <c r="BD62" i="1" s="1"/>
  <c r="BB48" i="1"/>
  <c r="BB62" i="1" s="1"/>
  <c r="AZ48" i="1"/>
  <c r="AZ62" i="1" s="1"/>
  <c r="AV48" i="1"/>
  <c r="AV62" i="1" s="1"/>
  <c r="AT48" i="1"/>
  <c r="AT62" i="1" s="1"/>
  <c r="AR48" i="1"/>
  <c r="AR62" i="1" s="1"/>
  <c r="AN48" i="1"/>
  <c r="AN62" i="1" s="1"/>
  <c r="AL48" i="1"/>
  <c r="AL62" i="1" s="1"/>
  <c r="AJ48" i="1"/>
  <c r="AJ62" i="1" s="1"/>
  <c r="AF48" i="1"/>
  <c r="AF62" i="1" s="1"/>
  <c r="AD48" i="1"/>
  <c r="AD62" i="1" s="1"/>
  <c r="Z48" i="1"/>
  <c r="Z62" i="1" s="1"/>
  <c r="R48" i="1"/>
  <c r="R62" i="1" s="1"/>
  <c r="D76" i="9" s="1"/>
  <c r="N48" i="1"/>
  <c r="N62" i="1" s="1"/>
  <c r="J48" i="1"/>
  <c r="J62" i="1" s="1"/>
  <c r="C575" i="1"/>
  <c r="G10" i="4"/>
  <c r="I372" i="9"/>
  <c r="I381" i="9"/>
  <c r="CF77" i="1"/>
  <c r="G612" i="1"/>
  <c r="C34" i="5" l="1"/>
  <c r="C432" i="1"/>
  <c r="F11" i="6"/>
  <c r="C415" i="1"/>
  <c r="G28" i="4"/>
  <c r="I377" i="9"/>
  <c r="C440" i="1"/>
  <c r="D465" i="10"/>
  <c r="B442" i="10"/>
  <c r="K816" i="10"/>
  <c r="BE48" i="10"/>
  <c r="BE62" i="10" s="1"/>
  <c r="E789" i="10" s="1"/>
  <c r="L613" i="10"/>
  <c r="B466" i="10"/>
  <c r="I817" i="10"/>
  <c r="B446" i="10"/>
  <c r="D243" i="10"/>
  <c r="T816" i="10"/>
  <c r="AY48" i="10"/>
  <c r="AY62" i="10" s="1"/>
  <c r="E783" i="10" s="1"/>
  <c r="BI48" i="10"/>
  <c r="BI62" i="10" s="1"/>
  <c r="I613" i="10"/>
  <c r="D48" i="10"/>
  <c r="D62" i="10" s="1"/>
  <c r="H48" i="10"/>
  <c r="H62" i="10" s="1"/>
  <c r="L48" i="10"/>
  <c r="L62" i="10" s="1"/>
  <c r="E744" i="10" s="1"/>
  <c r="P48" i="10"/>
  <c r="P62" i="10" s="1"/>
  <c r="T48" i="10"/>
  <c r="T62" i="10" s="1"/>
  <c r="X48" i="10"/>
  <c r="X62" i="10" s="1"/>
  <c r="AE48" i="10"/>
  <c r="AE62" i="10" s="1"/>
  <c r="E763" i="10" s="1"/>
  <c r="AM48" i="10"/>
  <c r="AM62" i="10" s="1"/>
  <c r="E771" i="10" s="1"/>
  <c r="AU48" i="10"/>
  <c r="AU62" i="10" s="1"/>
  <c r="BC48" i="10"/>
  <c r="BC62" i="10" s="1"/>
  <c r="E787" i="10" s="1"/>
  <c r="BO48" i="10"/>
  <c r="BO62" i="10" s="1"/>
  <c r="E799" i="10" s="1"/>
  <c r="D331" i="10"/>
  <c r="H817" i="10"/>
  <c r="F816" i="10"/>
  <c r="H816" i="10"/>
  <c r="G816" i="10"/>
  <c r="L816" i="10"/>
  <c r="P816" i="10"/>
  <c r="O816" i="10"/>
  <c r="S816" i="10"/>
  <c r="BK48" i="10"/>
  <c r="BK62" i="10" s="1"/>
  <c r="C431" i="10"/>
  <c r="D278" i="10"/>
  <c r="D293" i="10" s="1"/>
  <c r="D342" i="10" s="1"/>
  <c r="C482" i="10" s="1"/>
  <c r="H613" i="10"/>
  <c r="O817" i="10"/>
  <c r="BQ48" i="10"/>
  <c r="BQ62" i="10" s="1"/>
  <c r="BS48" i="10"/>
  <c r="BS62" i="10" s="1"/>
  <c r="E803" i="10" s="1"/>
  <c r="F613" i="10"/>
  <c r="K817" i="10"/>
  <c r="BM48" i="10"/>
  <c r="BM62" i="10" s="1"/>
  <c r="E797" i="10" s="1"/>
  <c r="BU48" i="10"/>
  <c r="BU62" i="10" s="1"/>
  <c r="E805" i="10" s="1"/>
  <c r="BW48" i="10"/>
  <c r="BW62" i="10" s="1"/>
  <c r="E807" i="10" s="1"/>
  <c r="E218" i="10"/>
  <c r="C479" i="10" s="1"/>
  <c r="D464" i="10"/>
  <c r="D466" i="10" s="1"/>
  <c r="G613" i="10"/>
  <c r="R816" i="10"/>
  <c r="S817" i="10"/>
  <c r="Q817" i="10"/>
  <c r="Q816" i="10"/>
  <c r="CE76" i="10"/>
  <c r="M817" i="10"/>
  <c r="M816" i="10"/>
  <c r="I816" i="10"/>
  <c r="E759" i="10"/>
  <c r="E779" i="10"/>
  <c r="C816" i="10"/>
  <c r="D816" i="10"/>
  <c r="E791" i="10"/>
  <c r="E755" i="10"/>
  <c r="E736" i="10"/>
  <c r="E740" i="10"/>
  <c r="E737" i="10"/>
  <c r="E738" i="10"/>
  <c r="E750" i="10"/>
  <c r="E754" i="10"/>
  <c r="E811" i="10"/>
  <c r="E795" i="10"/>
  <c r="E756" i="10"/>
  <c r="I612" i="1"/>
  <c r="CF76" i="1"/>
  <c r="C52" i="1" s="1"/>
  <c r="D612" i="1"/>
  <c r="BH52" i="1"/>
  <c r="BH67" i="1" s="1"/>
  <c r="BH71" i="1" s="1"/>
  <c r="C429" i="1"/>
  <c r="C430" i="1"/>
  <c r="I366" i="9"/>
  <c r="I44" i="9"/>
  <c r="F48" i="1"/>
  <c r="F62" i="1" s="1"/>
  <c r="V48" i="1"/>
  <c r="V62" i="1" s="1"/>
  <c r="AH48" i="1"/>
  <c r="AH62" i="1" s="1"/>
  <c r="F140" i="9" s="1"/>
  <c r="AP48" i="1"/>
  <c r="AP62" i="1" s="1"/>
  <c r="AX48" i="1"/>
  <c r="AX62" i="1" s="1"/>
  <c r="BF48" i="1"/>
  <c r="BF62" i="1" s="1"/>
  <c r="I236" i="9" s="1"/>
  <c r="BN48" i="1"/>
  <c r="BN62" i="1" s="1"/>
  <c r="BV48" i="1"/>
  <c r="BV62" i="1" s="1"/>
  <c r="C48" i="1"/>
  <c r="C62" i="1" s="1"/>
  <c r="C12" i="9" s="1"/>
  <c r="S48" i="1"/>
  <c r="S62" i="1" s="1"/>
  <c r="AY48" i="1"/>
  <c r="AY62" i="1" s="1"/>
  <c r="CC48" i="1"/>
  <c r="CC62" i="1" s="1"/>
  <c r="AG48" i="1"/>
  <c r="AG62" i="1" s="1"/>
  <c r="BM48" i="1"/>
  <c r="BM62" i="1" s="1"/>
  <c r="I268" i="9" s="1"/>
  <c r="AK48" i="1"/>
  <c r="AK62" i="1" s="1"/>
  <c r="I140" i="9" s="1"/>
  <c r="BI48" i="1"/>
  <c r="BI62" i="1" s="1"/>
  <c r="AE48" i="1"/>
  <c r="AE62" i="1" s="1"/>
  <c r="C140" i="9" s="1"/>
  <c r="AC48" i="1"/>
  <c r="AC62" i="1" s="1"/>
  <c r="H108" i="9" s="1"/>
  <c r="D48" i="1"/>
  <c r="D62" i="1" s="1"/>
  <c r="D12" i="9" s="1"/>
  <c r="T48" i="1"/>
  <c r="T62" i="1" s="1"/>
  <c r="E44" i="9"/>
  <c r="D44" i="9"/>
  <c r="D140" i="9"/>
  <c r="C44" i="9"/>
  <c r="H300" i="9"/>
  <c r="H140" i="9"/>
  <c r="AS48" i="1"/>
  <c r="AS62" i="1" s="1"/>
  <c r="W48" i="1"/>
  <c r="W62" i="1" s="1"/>
  <c r="H268" i="9"/>
  <c r="I332" i="9"/>
  <c r="G236" i="9"/>
  <c r="C236" i="9"/>
  <c r="E300" i="9"/>
  <c r="G12" i="9"/>
  <c r="E172" i="9"/>
  <c r="F204" i="9"/>
  <c r="I12" i="9"/>
  <c r="I90" i="9"/>
  <c r="I362" i="9"/>
  <c r="F332" i="9"/>
  <c r="D268" i="9"/>
  <c r="D236" i="9"/>
  <c r="F76" i="9"/>
  <c r="I172" i="9"/>
  <c r="F172" i="9"/>
  <c r="G76" i="9"/>
  <c r="H236" i="9"/>
  <c r="H332" i="9"/>
  <c r="E108" i="9"/>
  <c r="D172" i="9"/>
  <c r="G108" i="9"/>
  <c r="E140" i="9"/>
  <c r="H12" i="9"/>
  <c r="C76" i="9"/>
  <c r="B10" i="4"/>
  <c r="C14" i="5"/>
  <c r="C141" i="8"/>
  <c r="D5" i="7"/>
  <c r="I108" i="9"/>
  <c r="D204" i="9"/>
  <c r="F268" i="9"/>
  <c r="G332" i="9"/>
  <c r="G44" i="9"/>
  <c r="C172" i="9"/>
  <c r="E236" i="9"/>
  <c r="G300" i="9"/>
  <c r="F44" i="9"/>
  <c r="H44" i="9"/>
  <c r="B446" i="1"/>
  <c r="D242" i="1"/>
  <c r="E781" i="10"/>
  <c r="G140" i="9"/>
  <c r="E332" i="9"/>
  <c r="E12" i="9"/>
  <c r="C418" i="1"/>
  <c r="D438" i="1"/>
  <c r="C108" i="9"/>
  <c r="F14" i="6"/>
  <c r="C471" i="1"/>
  <c r="F10" i="6"/>
  <c r="D339" i="1"/>
  <c r="D26" i="9"/>
  <c r="CE75" i="1"/>
  <c r="CF77" i="10"/>
  <c r="CA52" i="10" s="1"/>
  <c r="CA67" i="10" s="1"/>
  <c r="J811" i="10" s="1"/>
  <c r="P817" i="10"/>
  <c r="D613" i="10"/>
  <c r="G204" i="9"/>
  <c r="D108" i="9"/>
  <c r="E204" i="9"/>
  <c r="F7" i="6"/>
  <c r="E204" i="1"/>
  <c r="C468" i="1"/>
  <c r="I383" i="9"/>
  <c r="D22" i="7"/>
  <c r="C40" i="5"/>
  <c r="K613" i="10"/>
  <c r="C466" i="10"/>
  <c r="N817" i="10"/>
  <c r="C420" i="1"/>
  <c r="B28" i="4"/>
  <c r="F186" i="9"/>
  <c r="E765" i="10"/>
  <c r="H172" i="9"/>
  <c r="F52" i="1"/>
  <c r="F67" i="1" s="1"/>
  <c r="T52" i="1"/>
  <c r="T67" i="1" s="1"/>
  <c r="I376" i="9"/>
  <c r="C463" i="1"/>
  <c r="D58" i="9"/>
  <c r="G26" i="9"/>
  <c r="E217" i="1"/>
  <c r="I384" i="9"/>
  <c r="L612" i="1"/>
  <c r="F218" i="9"/>
  <c r="D90" i="9"/>
  <c r="E757" i="10"/>
  <c r="E761" i="10"/>
  <c r="E777" i="10"/>
  <c r="E793" i="10"/>
  <c r="E809" i="10"/>
  <c r="D464" i="1"/>
  <c r="D465" i="1" s="1"/>
  <c r="H154" i="9"/>
  <c r="I367" i="9"/>
  <c r="E735" i="10"/>
  <c r="D373" i="1"/>
  <c r="D434" i="1"/>
  <c r="D292" i="1"/>
  <c r="C58" i="9"/>
  <c r="C470" i="10"/>
  <c r="E205" i="10"/>
  <c r="C477" i="10" s="1"/>
  <c r="C442" i="10"/>
  <c r="L817" i="10"/>
  <c r="E749" i="10"/>
  <c r="E741" i="10"/>
  <c r="E743" i="10"/>
  <c r="E751" i="10"/>
  <c r="N816" i="10"/>
  <c r="D437" i="10"/>
  <c r="D439" i="10"/>
  <c r="E745" i="10"/>
  <c r="E753" i="10"/>
  <c r="E773" i="10"/>
  <c r="E739" i="10"/>
  <c r="E747" i="10"/>
  <c r="E769" i="10"/>
  <c r="E785" i="10"/>
  <c r="E801" i="10"/>
  <c r="C430" i="10"/>
  <c r="C449" i="10"/>
  <c r="D369" i="10"/>
  <c r="D374" i="10" s="1"/>
  <c r="D392" i="10" s="1"/>
  <c r="D394" i="10" s="1"/>
  <c r="D397" i="10" s="1"/>
  <c r="E742" i="10"/>
  <c r="E746" i="10"/>
  <c r="D340" i="10"/>
  <c r="C483" i="10" s="1"/>
  <c r="E748" i="10"/>
  <c r="E752" i="10"/>
  <c r="B449" i="10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D48" i="10"/>
  <c r="AD62" i="10" s="1"/>
  <c r="AB48" i="10"/>
  <c r="AB62" i="10" s="1"/>
  <c r="Z48" i="10"/>
  <c r="Z62" i="10" s="1"/>
  <c r="S52" i="1" l="1"/>
  <c r="S67" i="1" s="1"/>
  <c r="E81" i="9" s="1"/>
  <c r="BH52" i="10"/>
  <c r="BH67" i="10" s="1"/>
  <c r="J792" i="10" s="1"/>
  <c r="AP52" i="10"/>
  <c r="AP67" i="10" s="1"/>
  <c r="J774" i="10" s="1"/>
  <c r="Q52" i="10"/>
  <c r="Q67" i="10" s="1"/>
  <c r="Q72" i="10" s="1"/>
  <c r="B510" i="1" s="1"/>
  <c r="AB52" i="10"/>
  <c r="AB67" i="10" s="1"/>
  <c r="J760" i="10" s="1"/>
  <c r="BZ52" i="10"/>
  <c r="BZ67" i="10" s="1"/>
  <c r="J810" i="10" s="1"/>
  <c r="BX52" i="10"/>
  <c r="BX67" i="10" s="1"/>
  <c r="J808" i="10" s="1"/>
  <c r="AT52" i="10"/>
  <c r="AT67" i="10" s="1"/>
  <c r="J778" i="10" s="1"/>
  <c r="Y52" i="10"/>
  <c r="Y67" i="10" s="1"/>
  <c r="J757" i="10" s="1"/>
  <c r="AR52" i="10"/>
  <c r="AR67" i="10" s="1"/>
  <c r="J776" i="10" s="1"/>
  <c r="BV52" i="10"/>
  <c r="BV67" i="10" s="1"/>
  <c r="J806" i="10" s="1"/>
  <c r="I52" i="10"/>
  <c r="I67" i="10" s="1"/>
  <c r="J749" i="10"/>
  <c r="AF62" i="10"/>
  <c r="CE62" i="10" s="1"/>
  <c r="E817" i="10" s="1"/>
  <c r="CE48" i="10"/>
  <c r="J52" i="10"/>
  <c r="J67" i="10" s="1"/>
  <c r="CA72" i="10"/>
  <c r="Z52" i="1"/>
  <c r="Z67" i="1" s="1"/>
  <c r="Z71" i="1" s="1"/>
  <c r="C691" i="1" s="1"/>
  <c r="G52" i="1"/>
  <c r="G67" i="1" s="1"/>
  <c r="G71" i="1" s="1"/>
  <c r="C672" i="1" s="1"/>
  <c r="AY52" i="1"/>
  <c r="AY67" i="1" s="1"/>
  <c r="X52" i="1"/>
  <c r="X67" i="1" s="1"/>
  <c r="X71" i="1" s="1"/>
  <c r="C117" i="9" s="1"/>
  <c r="AA52" i="1"/>
  <c r="AA67" i="1" s="1"/>
  <c r="AA71" i="1" s="1"/>
  <c r="F117" i="9" s="1"/>
  <c r="AG52" i="1"/>
  <c r="AG67" i="1" s="1"/>
  <c r="E145" i="9" s="1"/>
  <c r="BP52" i="1"/>
  <c r="BP67" i="1" s="1"/>
  <c r="BP71" i="1" s="1"/>
  <c r="C621" i="1" s="1"/>
  <c r="BV52" i="1"/>
  <c r="BV67" i="1" s="1"/>
  <c r="D337" i="9" s="1"/>
  <c r="BS52" i="1"/>
  <c r="BS67" i="1" s="1"/>
  <c r="BS71" i="1" s="1"/>
  <c r="C639" i="1" s="1"/>
  <c r="AI52" i="1"/>
  <c r="AI67" i="1" s="1"/>
  <c r="AI71" i="1" s="1"/>
  <c r="C528" i="1" s="1"/>
  <c r="G528" i="1" s="1"/>
  <c r="Y52" i="1"/>
  <c r="Y67" i="1" s="1"/>
  <c r="Y71" i="1" s="1"/>
  <c r="D117" i="9" s="1"/>
  <c r="BR52" i="1"/>
  <c r="BR67" i="1" s="1"/>
  <c r="BR71" i="1" s="1"/>
  <c r="C626" i="1" s="1"/>
  <c r="BN52" i="1"/>
  <c r="BN67" i="1" s="1"/>
  <c r="BQ52" i="1"/>
  <c r="BQ67" i="1" s="1"/>
  <c r="BQ71" i="1" s="1"/>
  <c r="F309" i="9" s="1"/>
  <c r="BG52" i="1"/>
  <c r="BG67" i="1" s="1"/>
  <c r="BG71" i="1" s="1"/>
  <c r="C618" i="1" s="1"/>
  <c r="AV52" i="1"/>
  <c r="AV67" i="1" s="1"/>
  <c r="AV71" i="1" s="1"/>
  <c r="C541" i="1" s="1"/>
  <c r="AT52" i="1"/>
  <c r="AT67" i="1" s="1"/>
  <c r="AT71" i="1" s="1"/>
  <c r="C711" i="1" s="1"/>
  <c r="D52" i="1"/>
  <c r="D67" i="1" s="1"/>
  <c r="D71" i="1" s="1"/>
  <c r="C497" i="1" s="1"/>
  <c r="G497" i="1" s="1"/>
  <c r="CB52" i="1"/>
  <c r="CB67" i="1" s="1"/>
  <c r="CB71" i="1" s="1"/>
  <c r="C622" i="1" s="1"/>
  <c r="BD52" i="1"/>
  <c r="BD67" i="1" s="1"/>
  <c r="BD71" i="1" s="1"/>
  <c r="C624" i="1" s="1"/>
  <c r="BC52" i="1"/>
  <c r="BC67" i="1" s="1"/>
  <c r="F241" i="9" s="1"/>
  <c r="I52" i="1"/>
  <c r="I67" i="1" s="1"/>
  <c r="AS52" i="1"/>
  <c r="AS67" i="1" s="1"/>
  <c r="C209" i="9" s="1"/>
  <c r="AC52" i="1"/>
  <c r="AC67" i="1" s="1"/>
  <c r="BK52" i="1"/>
  <c r="BK67" i="1" s="1"/>
  <c r="BK71" i="1" s="1"/>
  <c r="AX52" i="1"/>
  <c r="AX67" i="1" s="1"/>
  <c r="H209" i="9" s="1"/>
  <c r="M52" i="1"/>
  <c r="M67" i="1" s="1"/>
  <c r="M71" i="1" s="1"/>
  <c r="C506" i="1" s="1"/>
  <c r="G506" i="1" s="1"/>
  <c r="BM52" i="1"/>
  <c r="BM67" i="1" s="1"/>
  <c r="BF52" i="1"/>
  <c r="BF67" i="1" s="1"/>
  <c r="I241" i="9" s="1"/>
  <c r="CA52" i="1"/>
  <c r="CA67" i="1" s="1"/>
  <c r="AJ52" i="1"/>
  <c r="AJ67" i="1" s="1"/>
  <c r="AJ71" i="1" s="1"/>
  <c r="H149" i="9" s="1"/>
  <c r="L52" i="1"/>
  <c r="L67" i="1" s="1"/>
  <c r="R52" i="1"/>
  <c r="R67" i="1" s="1"/>
  <c r="AH52" i="1"/>
  <c r="AH67" i="1" s="1"/>
  <c r="F145" i="9" s="1"/>
  <c r="E52" i="1"/>
  <c r="E67" i="1" s="1"/>
  <c r="C67" i="1"/>
  <c r="C17" i="9" s="1"/>
  <c r="BZ52" i="1"/>
  <c r="BZ67" i="1" s="1"/>
  <c r="V52" i="1"/>
  <c r="V67" i="1" s="1"/>
  <c r="V71" i="1" s="1"/>
  <c r="C687" i="1" s="1"/>
  <c r="BB52" i="1"/>
  <c r="BB67" i="1" s="1"/>
  <c r="J52" i="1"/>
  <c r="J67" i="1" s="1"/>
  <c r="AP52" i="1"/>
  <c r="AP67" i="1" s="1"/>
  <c r="AP71" i="1" s="1"/>
  <c r="C535" i="1" s="1"/>
  <c r="G535" i="1" s="1"/>
  <c r="BJ52" i="1"/>
  <c r="BJ67" i="1" s="1"/>
  <c r="BO52" i="1"/>
  <c r="BO67" i="1" s="1"/>
  <c r="BU52" i="1"/>
  <c r="BU67" i="1" s="1"/>
  <c r="BE52" i="1"/>
  <c r="BE67" i="1" s="1"/>
  <c r="BE71" i="1" s="1"/>
  <c r="H245" i="9" s="1"/>
  <c r="AK52" i="1"/>
  <c r="AK67" i="1" s="1"/>
  <c r="I145" i="9" s="1"/>
  <c r="AW52" i="1"/>
  <c r="AW67" i="1" s="1"/>
  <c r="AW71" i="1" s="1"/>
  <c r="G213" i="9" s="1"/>
  <c r="BY52" i="1"/>
  <c r="BY67" i="1" s="1"/>
  <c r="BY71" i="1" s="1"/>
  <c r="C570" i="1" s="1"/>
  <c r="AM52" i="1"/>
  <c r="AM67" i="1" s="1"/>
  <c r="AM71" i="1" s="1"/>
  <c r="C704" i="1" s="1"/>
  <c r="BL52" i="1"/>
  <c r="BL67" i="1" s="1"/>
  <c r="H273" i="9" s="1"/>
  <c r="CC52" i="1"/>
  <c r="CC67" i="1" s="1"/>
  <c r="CC71" i="1" s="1"/>
  <c r="Q52" i="1"/>
  <c r="Q67" i="1" s="1"/>
  <c r="BW52" i="1"/>
  <c r="BW67" i="1" s="1"/>
  <c r="AU52" i="1"/>
  <c r="AU67" i="1" s="1"/>
  <c r="AQ52" i="1"/>
  <c r="AQ67" i="1" s="1"/>
  <c r="H177" i="9" s="1"/>
  <c r="AB52" i="1"/>
  <c r="AB67" i="1" s="1"/>
  <c r="G113" i="9" s="1"/>
  <c r="U52" i="1"/>
  <c r="U67" i="1" s="1"/>
  <c r="U71" i="1" s="1"/>
  <c r="AD52" i="1"/>
  <c r="AD67" i="1" s="1"/>
  <c r="BA52" i="1"/>
  <c r="BA67" i="1" s="1"/>
  <c r="BA71" i="1" s="1"/>
  <c r="C546" i="1" s="1"/>
  <c r="G546" i="1" s="1"/>
  <c r="AE52" i="1"/>
  <c r="AE67" i="1" s="1"/>
  <c r="C145" i="9" s="1"/>
  <c r="AO52" i="1"/>
  <c r="AO67" i="1" s="1"/>
  <c r="K52" i="1"/>
  <c r="K67" i="1" s="1"/>
  <c r="O52" i="1"/>
  <c r="O67" i="1" s="1"/>
  <c r="O71" i="1" s="1"/>
  <c r="BX52" i="1"/>
  <c r="BX67" i="1" s="1"/>
  <c r="BX71" i="1" s="1"/>
  <c r="F341" i="9" s="1"/>
  <c r="AR52" i="1"/>
  <c r="AR67" i="1" s="1"/>
  <c r="AR71" i="1" s="1"/>
  <c r="C537" i="1" s="1"/>
  <c r="G537" i="1" s="1"/>
  <c r="AN52" i="1"/>
  <c r="AN67" i="1" s="1"/>
  <c r="N52" i="1"/>
  <c r="N67" i="1" s="1"/>
  <c r="AL52" i="1"/>
  <c r="AL67" i="1" s="1"/>
  <c r="AL71" i="1" s="1"/>
  <c r="C703" i="1" s="1"/>
  <c r="W52" i="1"/>
  <c r="W67" i="1" s="1"/>
  <c r="I81" i="9" s="1"/>
  <c r="AZ52" i="1"/>
  <c r="AZ67" i="1" s="1"/>
  <c r="AZ71" i="1" s="1"/>
  <c r="C628" i="1" s="1"/>
  <c r="AF52" i="1"/>
  <c r="AF67" i="1" s="1"/>
  <c r="H52" i="1"/>
  <c r="H67" i="1" s="1"/>
  <c r="H71" i="1" s="1"/>
  <c r="BI52" i="1"/>
  <c r="BI67" i="1" s="1"/>
  <c r="BT52" i="1"/>
  <c r="BT67" i="1" s="1"/>
  <c r="P52" i="1"/>
  <c r="P67" i="1" s="1"/>
  <c r="F71" i="1"/>
  <c r="F21" i="9" s="1"/>
  <c r="E113" i="9"/>
  <c r="D273" i="9"/>
  <c r="H204" i="9"/>
  <c r="F12" i="9"/>
  <c r="S71" i="1"/>
  <c r="E85" i="9" s="1"/>
  <c r="E76" i="9"/>
  <c r="H76" i="9"/>
  <c r="G172" i="9"/>
  <c r="E268" i="9"/>
  <c r="D364" i="9"/>
  <c r="I204" i="9"/>
  <c r="D332" i="9"/>
  <c r="C300" i="9"/>
  <c r="T71" i="1"/>
  <c r="C685" i="1" s="1"/>
  <c r="C561" i="1"/>
  <c r="CE62" i="1"/>
  <c r="CE48" i="1"/>
  <c r="I76" i="9"/>
  <c r="C204" i="9"/>
  <c r="C519" i="1"/>
  <c r="G519" i="1" s="1"/>
  <c r="E117" i="9"/>
  <c r="C553" i="1"/>
  <c r="D277" i="9"/>
  <c r="C636" i="1"/>
  <c r="E760" i="10"/>
  <c r="E776" i="10"/>
  <c r="E800" i="10"/>
  <c r="AW52" i="10"/>
  <c r="AW67" i="10" s="1"/>
  <c r="BE52" i="10"/>
  <c r="BE67" i="10" s="1"/>
  <c r="BU52" i="10"/>
  <c r="BU67" i="10" s="1"/>
  <c r="CC52" i="10"/>
  <c r="CC67" i="10" s="1"/>
  <c r="J813" i="10" s="1"/>
  <c r="D27" i="7"/>
  <c r="B448" i="1"/>
  <c r="E770" i="10"/>
  <c r="E778" i="10"/>
  <c r="E786" i="10"/>
  <c r="E794" i="10"/>
  <c r="E802" i="10"/>
  <c r="E810" i="10"/>
  <c r="D341" i="1"/>
  <c r="C481" i="1" s="1"/>
  <c r="C50" i="8"/>
  <c r="F81" i="9"/>
  <c r="I209" i="9"/>
  <c r="AF52" i="10"/>
  <c r="AF67" i="10" s="1"/>
  <c r="J764" i="10" s="1"/>
  <c r="AV52" i="10"/>
  <c r="AV67" i="10" s="1"/>
  <c r="J780" i="10" s="1"/>
  <c r="BL52" i="10"/>
  <c r="BL67" i="10" s="1"/>
  <c r="J796" i="10" s="1"/>
  <c r="CB52" i="10"/>
  <c r="CB67" i="10" s="1"/>
  <c r="J812" i="10" s="1"/>
  <c r="AX52" i="10"/>
  <c r="AX67" i="10" s="1"/>
  <c r="J782" i="10" s="1"/>
  <c r="BB52" i="10"/>
  <c r="BB67" i="10" s="1"/>
  <c r="J786" i="10" s="1"/>
  <c r="C52" i="10"/>
  <c r="K52" i="10"/>
  <c r="K67" i="10" s="1"/>
  <c r="S52" i="10"/>
  <c r="S67" i="10" s="1"/>
  <c r="D52" i="10"/>
  <c r="D67" i="10" s="1"/>
  <c r="L52" i="10"/>
  <c r="L67" i="10" s="1"/>
  <c r="T52" i="10"/>
  <c r="T67" i="10" s="1"/>
  <c r="AA52" i="10"/>
  <c r="AA67" i="10" s="1"/>
  <c r="AI52" i="10"/>
  <c r="AI67" i="10" s="1"/>
  <c r="AQ52" i="10"/>
  <c r="AQ67" i="10" s="1"/>
  <c r="AY52" i="10"/>
  <c r="AY67" i="10" s="1"/>
  <c r="BG52" i="10"/>
  <c r="BG67" i="10" s="1"/>
  <c r="BO52" i="10"/>
  <c r="BO67" i="10" s="1"/>
  <c r="BW52" i="10"/>
  <c r="BW67" i="10" s="1"/>
  <c r="I378" i="9"/>
  <c r="K612" i="1"/>
  <c r="C465" i="1"/>
  <c r="E768" i="10"/>
  <c r="E792" i="10"/>
  <c r="C126" i="8"/>
  <c r="D391" i="1"/>
  <c r="F32" i="6"/>
  <c r="C478" i="1"/>
  <c r="R52" i="10"/>
  <c r="R67" i="10" s="1"/>
  <c r="AG52" i="10"/>
  <c r="AG67" i="10" s="1"/>
  <c r="BM52" i="10"/>
  <c r="BM67" i="10" s="1"/>
  <c r="C102" i="8"/>
  <c r="C482" i="1"/>
  <c r="E762" i="10"/>
  <c r="E772" i="10"/>
  <c r="E788" i="10"/>
  <c r="E804" i="10"/>
  <c r="E812" i="10"/>
  <c r="C476" i="1"/>
  <c r="F16" i="6"/>
  <c r="AJ52" i="10"/>
  <c r="AJ67" i="10" s="1"/>
  <c r="J768" i="10" s="1"/>
  <c r="AZ52" i="10"/>
  <c r="AZ67" i="10" s="1"/>
  <c r="J784" i="10" s="1"/>
  <c r="BP52" i="10"/>
  <c r="BP67" i="10" s="1"/>
  <c r="J800" i="10" s="1"/>
  <c r="Z52" i="10"/>
  <c r="Z67" i="10" s="1"/>
  <c r="J758" i="10" s="1"/>
  <c r="BF52" i="10"/>
  <c r="BF67" i="10" s="1"/>
  <c r="J790" i="10" s="1"/>
  <c r="AD52" i="10"/>
  <c r="AD67" i="10" s="1"/>
  <c r="J762" i="10" s="1"/>
  <c r="BJ52" i="10"/>
  <c r="BJ67" i="10" s="1"/>
  <c r="J794" i="10" s="1"/>
  <c r="E52" i="10"/>
  <c r="E67" i="10" s="1"/>
  <c r="M52" i="10"/>
  <c r="M67" i="10" s="1"/>
  <c r="U52" i="10"/>
  <c r="U67" i="10" s="1"/>
  <c r="F52" i="10"/>
  <c r="F67" i="10" s="1"/>
  <c r="N52" i="10"/>
  <c r="N67" i="10" s="1"/>
  <c r="V52" i="10"/>
  <c r="V67" i="10" s="1"/>
  <c r="AC52" i="10"/>
  <c r="AC67" i="10" s="1"/>
  <c r="AK52" i="10"/>
  <c r="AK67" i="10" s="1"/>
  <c r="AS52" i="10"/>
  <c r="AS67" i="10" s="1"/>
  <c r="BA52" i="10"/>
  <c r="BA67" i="10" s="1"/>
  <c r="BI52" i="10"/>
  <c r="BI67" i="10" s="1"/>
  <c r="BQ52" i="10"/>
  <c r="BQ67" i="10" s="1"/>
  <c r="BY52" i="10"/>
  <c r="BY67" i="10" s="1"/>
  <c r="C500" i="1"/>
  <c r="G500" i="1" s="1"/>
  <c r="G21" i="9"/>
  <c r="E784" i="10"/>
  <c r="E808" i="10"/>
  <c r="AO52" i="10"/>
  <c r="AO67" i="10" s="1"/>
  <c r="AV72" i="10"/>
  <c r="B541" i="1" s="1"/>
  <c r="E780" i="10"/>
  <c r="E796" i="10"/>
  <c r="E758" i="10"/>
  <c r="E766" i="10"/>
  <c r="AP72" i="10"/>
  <c r="B535" i="1" s="1"/>
  <c r="E774" i="10"/>
  <c r="E782" i="10"/>
  <c r="E790" i="10"/>
  <c r="E798" i="10"/>
  <c r="E806" i="10"/>
  <c r="E813" i="10"/>
  <c r="C429" i="10"/>
  <c r="F17" i="9"/>
  <c r="AN52" i="10"/>
  <c r="AN67" i="10" s="1"/>
  <c r="J772" i="10" s="1"/>
  <c r="BD52" i="10"/>
  <c r="BD67" i="10" s="1"/>
  <c r="J788" i="10" s="1"/>
  <c r="BT52" i="10"/>
  <c r="BT67" i="10" s="1"/>
  <c r="J804" i="10" s="1"/>
  <c r="AH52" i="10"/>
  <c r="AH67" i="10" s="1"/>
  <c r="J766" i="10" s="1"/>
  <c r="BN52" i="10"/>
  <c r="BN67" i="10" s="1"/>
  <c r="J798" i="10" s="1"/>
  <c r="AL52" i="10"/>
  <c r="AL67" i="10" s="1"/>
  <c r="J770" i="10" s="1"/>
  <c r="BR52" i="10"/>
  <c r="BR67" i="10" s="1"/>
  <c r="J802" i="10" s="1"/>
  <c r="G52" i="10"/>
  <c r="G67" i="10" s="1"/>
  <c r="O52" i="10"/>
  <c r="O67" i="10" s="1"/>
  <c r="W52" i="10"/>
  <c r="W67" i="10" s="1"/>
  <c r="H52" i="10"/>
  <c r="H67" i="10" s="1"/>
  <c r="P52" i="10"/>
  <c r="P67" i="10" s="1"/>
  <c r="X52" i="10"/>
  <c r="X67" i="10" s="1"/>
  <c r="AE52" i="10"/>
  <c r="AE67" i="10" s="1"/>
  <c r="AM52" i="10"/>
  <c r="AM67" i="10" s="1"/>
  <c r="AU52" i="10"/>
  <c r="AU67" i="10" s="1"/>
  <c r="BC52" i="10"/>
  <c r="BC67" i="10" s="1"/>
  <c r="BK52" i="10"/>
  <c r="BK67" i="10" s="1"/>
  <c r="BS52" i="10"/>
  <c r="BS67" i="10" s="1"/>
  <c r="AY71" i="1" l="1"/>
  <c r="I213" i="9" s="1"/>
  <c r="E305" i="9"/>
  <c r="CE52" i="1"/>
  <c r="BZ72" i="10"/>
  <c r="B571" i="1" s="1"/>
  <c r="BH72" i="10"/>
  <c r="B553" i="1" s="1"/>
  <c r="AB72" i="10"/>
  <c r="B521" i="1" s="1"/>
  <c r="BX72" i="10"/>
  <c r="B569" i="1" s="1"/>
  <c r="E764" i="10"/>
  <c r="BV72" i="10"/>
  <c r="B567" i="1" s="1"/>
  <c r="E816" i="10"/>
  <c r="AT72" i="10"/>
  <c r="B539" i="1" s="1"/>
  <c r="Y72" i="10"/>
  <c r="B518" i="1" s="1"/>
  <c r="F518" i="1" s="1"/>
  <c r="BL72" i="10"/>
  <c r="B557" i="1" s="1"/>
  <c r="AR72" i="10"/>
  <c r="B537" i="1" s="1"/>
  <c r="C683" i="10"/>
  <c r="J741" i="10"/>
  <c r="I72" i="10"/>
  <c r="Z72" i="10"/>
  <c r="B519" i="1" s="1"/>
  <c r="C511" i="10"/>
  <c r="G511" i="10" s="1"/>
  <c r="H511" i="10" s="1"/>
  <c r="BP72" i="10"/>
  <c r="B561" i="1" s="1"/>
  <c r="AZ72" i="10"/>
  <c r="B545" i="1" s="1"/>
  <c r="CB72" i="10"/>
  <c r="B573" i="1" s="1"/>
  <c r="AN72" i="10"/>
  <c r="B533" i="1" s="1"/>
  <c r="J771" i="10"/>
  <c r="AM72" i="10"/>
  <c r="J754" i="10"/>
  <c r="V72" i="10"/>
  <c r="J795" i="10"/>
  <c r="BK72" i="10"/>
  <c r="J763" i="10"/>
  <c r="AE72" i="10"/>
  <c r="J755" i="10"/>
  <c r="W72" i="10"/>
  <c r="CC72" i="10"/>
  <c r="B574" i="1" s="1"/>
  <c r="BN72" i="10"/>
  <c r="AX72" i="10"/>
  <c r="B543" i="1" s="1"/>
  <c r="AH72" i="10"/>
  <c r="B527" i="1" s="1"/>
  <c r="AF72" i="10"/>
  <c r="B525" i="1" s="1"/>
  <c r="J809" i="10"/>
  <c r="BY72" i="10"/>
  <c r="J777" i="10"/>
  <c r="AS72" i="10"/>
  <c r="J746" i="10"/>
  <c r="N72" i="10"/>
  <c r="J737" i="10"/>
  <c r="E72" i="10"/>
  <c r="J797" i="10"/>
  <c r="BM72" i="10"/>
  <c r="J783" i="10"/>
  <c r="AY72" i="10"/>
  <c r="J752" i="10"/>
  <c r="T72" i="10"/>
  <c r="J743" i="10"/>
  <c r="K72" i="10"/>
  <c r="BR72" i="10"/>
  <c r="BB72" i="10"/>
  <c r="B547" i="1" s="1"/>
  <c r="AL72" i="10"/>
  <c r="B531" i="1" s="1"/>
  <c r="J805" i="10"/>
  <c r="BU72" i="10"/>
  <c r="J745" i="10"/>
  <c r="M72" i="10"/>
  <c r="BT72" i="10"/>
  <c r="B565" i="1" s="1"/>
  <c r="J791" i="10"/>
  <c r="BG72" i="10"/>
  <c r="J787" i="10"/>
  <c r="BC72" i="10"/>
  <c r="J756" i="10"/>
  <c r="X72" i="10"/>
  <c r="J747" i="10"/>
  <c r="O72" i="10"/>
  <c r="J773" i="10"/>
  <c r="AO72" i="10"/>
  <c r="J801" i="10"/>
  <c r="BQ72" i="10"/>
  <c r="J769" i="10"/>
  <c r="AK72" i="10"/>
  <c r="J738" i="10"/>
  <c r="F72" i="10"/>
  <c r="BD72" i="10"/>
  <c r="AD72" i="10"/>
  <c r="B523" i="1" s="1"/>
  <c r="J765" i="10"/>
  <c r="AG72" i="10"/>
  <c r="J807" i="10"/>
  <c r="BW72" i="10"/>
  <c r="J775" i="10"/>
  <c r="AQ72" i="10"/>
  <c r="J744" i="10"/>
  <c r="L72" i="10"/>
  <c r="J789" i="10"/>
  <c r="BE72" i="10"/>
  <c r="C573" i="10"/>
  <c r="B572" i="1"/>
  <c r="C648" i="10"/>
  <c r="J803" i="10"/>
  <c r="BS72" i="10"/>
  <c r="J740" i="10"/>
  <c r="H72" i="10"/>
  <c r="J785" i="10"/>
  <c r="BA72" i="10"/>
  <c r="J759" i="10"/>
  <c r="AA72" i="10"/>
  <c r="J751" i="10"/>
  <c r="S72" i="10"/>
  <c r="J779" i="10"/>
  <c r="AU72" i="10"/>
  <c r="J748" i="10"/>
  <c r="P72" i="10"/>
  <c r="J739" i="10"/>
  <c r="G72" i="10"/>
  <c r="BF72" i="10"/>
  <c r="B551" i="1" s="1"/>
  <c r="J793" i="10"/>
  <c r="BI72" i="10"/>
  <c r="J761" i="10"/>
  <c r="AC72" i="10"/>
  <c r="J753" i="10"/>
  <c r="U72" i="10"/>
  <c r="J750" i="10"/>
  <c r="R72" i="10"/>
  <c r="C519" i="10"/>
  <c r="G519" i="10" s="1"/>
  <c r="H519" i="10" s="1"/>
  <c r="AJ72" i="10"/>
  <c r="B529" i="1" s="1"/>
  <c r="J799" i="10"/>
  <c r="BO72" i="10"/>
  <c r="J767" i="10"/>
  <c r="AI72" i="10"/>
  <c r="J736" i="10"/>
  <c r="D72" i="10"/>
  <c r="BJ72" i="10"/>
  <c r="B555" i="1" s="1"/>
  <c r="J781" i="10"/>
  <c r="AW72" i="10"/>
  <c r="J742" i="10"/>
  <c r="J72" i="10"/>
  <c r="G17" i="9"/>
  <c r="CA71" i="1"/>
  <c r="I341" i="9" s="1"/>
  <c r="D113" i="9"/>
  <c r="C518" i="1"/>
  <c r="G518" i="1" s="1"/>
  <c r="G341" i="9"/>
  <c r="G309" i="9"/>
  <c r="D209" i="9"/>
  <c r="C520" i="1"/>
  <c r="G520" i="1" s="1"/>
  <c r="C305" i="9"/>
  <c r="C539" i="1"/>
  <c r="G539" i="1" s="1"/>
  <c r="C564" i="1"/>
  <c r="C689" i="1"/>
  <c r="F113" i="9"/>
  <c r="D213" i="9"/>
  <c r="C692" i="1"/>
  <c r="C113" i="9"/>
  <c r="C517" i="1"/>
  <c r="G517" i="1" s="1"/>
  <c r="BN71" i="1"/>
  <c r="C309" i="9" s="1"/>
  <c r="H305" i="9"/>
  <c r="AG71" i="1"/>
  <c r="C698" i="1" s="1"/>
  <c r="H309" i="9"/>
  <c r="G145" i="9"/>
  <c r="C373" i="9"/>
  <c r="C563" i="1"/>
  <c r="F213" i="9"/>
  <c r="BV71" i="1"/>
  <c r="C642" i="1" s="1"/>
  <c r="C713" i="1"/>
  <c r="E309" i="9"/>
  <c r="F209" i="9"/>
  <c r="G305" i="9"/>
  <c r="G149" i="9"/>
  <c r="C690" i="1"/>
  <c r="C700" i="1"/>
  <c r="H113" i="9"/>
  <c r="D17" i="9"/>
  <c r="BM71" i="1"/>
  <c r="C638" i="1" s="1"/>
  <c r="I181" i="9"/>
  <c r="E209" i="9"/>
  <c r="H145" i="9"/>
  <c r="F305" i="9"/>
  <c r="D21" i="9"/>
  <c r="I273" i="9"/>
  <c r="C277" i="9"/>
  <c r="C623" i="1"/>
  <c r="C552" i="1"/>
  <c r="AC71" i="1"/>
  <c r="C522" i="1" s="1"/>
  <c r="G522" i="1" s="1"/>
  <c r="G273" i="9"/>
  <c r="C669" i="1"/>
  <c r="C562" i="1"/>
  <c r="C273" i="9"/>
  <c r="BC71" i="1"/>
  <c r="C633" i="1" s="1"/>
  <c r="BI71" i="1"/>
  <c r="C634" i="1" s="1"/>
  <c r="I337" i="9"/>
  <c r="C531" i="1"/>
  <c r="G531" i="1" s="1"/>
  <c r="C532" i="1"/>
  <c r="G532" i="1" s="1"/>
  <c r="AD71" i="1"/>
  <c r="C695" i="1" s="1"/>
  <c r="C678" i="1"/>
  <c r="C644" i="1"/>
  <c r="H17" i="9"/>
  <c r="C501" i="1"/>
  <c r="G501" i="1" s="1"/>
  <c r="C673" i="1"/>
  <c r="C614" i="1"/>
  <c r="D615" i="1" s="1"/>
  <c r="G241" i="9"/>
  <c r="C369" i="9"/>
  <c r="C181" i="9"/>
  <c r="D177" i="9"/>
  <c r="C569" i="1"/>
  <c r="C550" i="1"/>
  <c r="G550" i="1" s="1"/>
  <c r="AX71" i="1"/>
  <c r="C616" i="1" s="1"/>
  <c r="C177" i="9"/>
  <c r="F337" i="9"/>
  <c r="I113" i="9"/>
  <c r="I71" i="1"/>
  <c r="I21" i="9" s="1"/>
  <c r="D81" i="9"/>
  <c r="C573" i="1"/>
  <c r="H241" i="9"/>
  <c r="D181" i="9"/>
  <c r="R71" i="1"/>
  <c r="C511" i="1" s="1"/>
  <c r="G511" i="1" s="1"/>
  <c r="I17" i="9"/>
  <c r="F53" i="9"/>
  <c r="G245" i="9"/>
  <c r="C549" i="1"/>
  <c r="AS71" i="1"/>
  <c r="C710" i="1" s="1"/>
  <c r="G277" i="9"/>
  <c r="C635" i="1"/>
  <c r="F49" i="9"/>
  <c r="C701" i="1"/>
  <c r="AU71" i="1"/>
  <c r="C540" i="1" s="1"/>
  <c r="G540" i="1" s="1"/>
  <c r="C556" i="1"/>
  <c r="CE67" i="1"/>
  <c r="C529" i="1"/>
  <c r="G529" i="1" s="1"/>
  <c r="BF71" i="1"/>
  <c r="I245" i="9" s="1"/>
  <c r="E17" i="9"/>
  <c r="E71" i="1"/>
  <c r="AH71" i="1"/>
  <c r="L71" i="1"/>
  <c r="E49" i="9"/>
  <c r="G49" i="9"/>
  <c r="C71" i="1"/>
  <c r="AK71" i="1"/>
  <c r="I149" i="9" s="1"/>
  <c r="I177" i="9"/>
  <c r="H85" i="9"/>
  <c r="W71" i="1"/>
  <c r="C516" i="1" s="1"/>
  <c r="G516" i="1" s="1"/>
  <c r="C515" i="1"/>
  <c r="G515" i="1" s="1"/>
  <c r="C620" i="1"/>
  <c r="D373" i="9"/>
  <c r="G209" i="9"/>
  <c r="C709" i="1"/>
  <c r="C542" i="1"/>
  <c r="C241" i="9"/>
  <c r="AQ71" i="1"/>
  <c r="C708" i="1" s="1"/>
  <c r="C631" i="1"/>
  <c r="AB71" i="1"/>
  <c r="C545" i="1"/>
  <c r="G545" i="1" s="1"/>
  <c r="E273" i="9"/>
  <c r="C508" i="1"/>
  <c r="G508" i="1" s="1"/>
  <c r="H53" i="9"/>
  <c r="C680" i="1"/>
  <c r="C686" i="1"/>
  <c r="G85" i="9"/>
  <c r="C514" i="1"/>
  <c r="G514" i="1" s="1"/>
  <c r="I49" i="9"/>
  <c r="P71" i="1"/>
  <c r="F177" i="9"/>
  <c r="AO71" i="1"/>
  <c r="E337" i="9"/>
  <c r="C337" i="9"/>
  <c r="BU71" i="1"/>
  <c r="J71" i="1"/>
  <c r="C49" i="9"/>
  <c r="G337" i="9"/>
  <c r="C671" i="1"/>
  <c r="C647" i="1"/>
  <c r="N71" i="1"/>
  <c r="C679" i="1" s="1"/>
  <c r="BT71" i="1"/>
  <c r="I305" i="9"/>
  <c r="E177" i="9"/>
  <c r="AN71" i="1"/>
  <c r="BB71" i="1"/>
  <c r="E241" i="9"/>
  <c r="C645" i="1"/>
  <c r="Q71" i="1"/>
  <c r="G81" i="9"/>
  <c r="C81" i="9"/>
  <c r="D241" i="9"/>
  <c r="D369" i="9"/>
  <c r="BJ71" i="1"/>
  <c r="F273" i="9"/>
  <c r="H81" i="9"/>
  <c r="AF71" i="1"/>
  <c r="D145" i="9"/>
  <c r="H49" i="9"/>
  <c r="D305" i="9"/>
  <c r="BO71" i="1"/>
  <c r="C630" i="1"/>
  <c r="C245" i="9"/>
  <c r="C572" i="1"/>
  <c r="AE71" i="1"/>
  <c r="C149" i="9" s="1"/>
  <c r="BW71" i="1"/>
  <c r="K71" i="1"/>
  <c r="D49" i="9"/>
  <c r="BL71" i="1"/>
  <c r="G177" i="9"/>
  <c r="H337" i="9"/>
  <c r="BZ71" i="1"/>
  <c r="H21" i="9"/>
  <c r="D245" i="9"/>
  <c r="C499" i="1"/>
  <c r="G499" i="1" s="1"/>
  <c r="C684" i="1"/>
  <c r="C512" i="1"/>
  <c r="G512" i="1" s="1"/>
  <c r="F85" i="9"/>
  <c r="C513" i="1"/>
  <c r="G513" i="1" s="1"/>
  <c r="G181" i="9"/>
  <c r="C707" i="1"/>
  <c r="C574" i="1"/>
  <c r="C428" i="1"/>
  <c r="I364" i="9"/>
  <c r="F510" i="1"/>
  <c r="C142" i="8"/>
  <c r="D393" i="1"/>
  <c r="C554" i="10"/>
  <c r="C637" i="10"/>
  <c r="C633" i="10"/>
  <c r="C617" i="10"/>
  <c r="C536" i="10"/>
  <c r="C708" i="10"/>
  <c r="C520" i="10"/>
  <c r="C542" i="10"/>
  <c r="C714" i="10"/>
  <c r="C67" i="10"/>
  <c r="C72" i="10" s="1"/>
  <c r="CE52" i="10"/>
  <c r="C647" i="10"/>
  <c r="C572" i="10"/>
  <c r="C522" i="10"/>
  <c r="C694" i="10"/>
  <c r="C544" i="1" l="1"/>
  <c r="G544" i="1" s="1"/>
  <c r="C559" i="1"/>
  <c r="C625" i="1"/>
  <c r="C570" i="10"/>
  <c r="C706" i="10"/>
  <c r="C540" i="10"/>
  <c r="G540" i="10" s="1"/>
  <c r="C712" i="10"/>
  <c r="C645" i="10"/>
  <c r="H518" i="1"/>
  <c r="C568" i="10"/>
  <c r="C643" i="10"/>
  <c r="C558" i="10"/>
  <c r="C538" i="10"/>
  <c r="G538" i="10" s="1"/>
  <c r="C692" i="10"/>
  <c r="C623" i="10"/>
  <c r="C710" i="10"/>
  <c r="C566" i="10"/>
  <c r="C574" i="10"/>
  <c r="C556" i="10"/>
  <c r="C691" i="10"/>
  <c r="C562" i="10"/>
  <c r="C638" i="10"/>
  <c r="B502" i="1"/>
  <c r="C675" i="10"/>
  <c r="C503" i="10"/>
  <c r="G503" i="10" s="1"/>
  <c r="C528" i="10"/>
  <c r="G528" i="10" s="1"/>
  <c r="C546" i="10"/>
  <c r="G546" i="10" s="1"/>
  <c r="C702" i="10"/>
  <c r="C530" i="10"/>
  <c r="C524" i="10"/>
  <c r="G524" i="10" s="1"/>
  <c r="C532" i="10"/>
  <c r="H532" i="10" s="1"/>
  <c r="C704" i="10"/>
  <c r="C622" i="10"/>
  <c r="C618" i="10"/>
  <c r="C629" i="10"/>
  <c r="C700" i="10"/>
  <c r="C544" i="10"/>
  <c r="C696" i="10"/>
  <c r="C548" i="10"/>
  <c r="C534" i="10"/>
  <c r="G534" i="10" s="1"/>
  <c r="C698" i="10"/>
  <c r="C575" i="10"/>
  <c r="C630" i="10"/>
  <c r="C621" i="10"/>
  <c r="C526" i="10"/>
  <c r="C641" i="10"/>
  <c r="C552" i="10"/>
  <c r="B542" i="1"/>
  <c r="C632" i="10"/>
  <c r="C543" i="10"/>
  <c r="B536" i="1"/>
  <c r="C709" i="10"/>
  <c r="C537" i="10"/>
  <c r="G537" i="10" s="1"/>
  <c r="B549" i="1"/>
  <c r="C625" i="10"/>
  <c r="B563" i="1"/>
  <c r="C627" i="10"/>
  <c r="B559" i="1"/>
  <c r="C620" i="10"/>
  <c r="B515" i="1"/>
  <c r="C516" i="10"/>
  <c r="C688" i="10"/>
  <c r="C560" i="10"/>
  <c r="C564" i="10"/>
  <c r="B550" i="1"/>
  <c r="C551" i="10"/>
  <c r="C615" i="10"/>
  <c r="B566" i="1"/>
  <c r="C642" i="10"/>
  <c r="C567" i="10"/>
  <c r="C525" i="10"/>
  <c r="B524" i="1"/>
  <c r="C697" i="10"/>
  <c r="B496" i="1"/>
  <c r="C497" i="10"/>
  <c r="C669" i="10"/>
  <c r="C550" i="10"/>
  <c r="B528" i="1"/>
  <c r="C529" i="10"/>
  <c r="G529" i="10" s="1"/>
  <c r="C701" i="10"/>
  <c r="B514" i="1"/>
  <c r="C515" i="10"/>
  <c r="C687" i="10"/>
  <c r="B554" i="1"/>
  <c r="C635" i="10"/>
  <c r="C555" i="10"/>
  <c r="B500" i="1"/>
  <c r="C501" i="10"/>
  <c r="G501" i="10" s="1"/>
  <c r="C673" i="10"/>
  <c r="C713" i="10"/>
  <c r="B540" i="1"/>
  <c r="C541" i="10"/>
  <c r="G541" i="10" s="1"/>
  <c r="B520" i="1"/>
  <c r="C693" i="10"/>
  <c r="C521" i="10"/>
  <c r="B501" i="1"/>
  <c r="C674" i="10"/>
  <c r="C502" i="10"/>
  <c r="B526" i="1"/>
  <c r="C699" i="10"/>
  <c r="C527" i="10"/>
  <c r="C672" i="10"/>
  <c r="B499" i="1"/>
  <c r="C500" i="10"/>
  <c r="G500" i="10" s="1"/>
  <c r="B562" i="1"/>
  <c r="C563" i="10"/>
  <c r="C624" i="10"/>
  <c r="B508" i="1"/>
  <c r="C509" i="10"/>
  <c r="C681" i="10"/>
  <c r="C634" i="10"/>
  <c r="B548" i="1"/>
  <c r="C549" i="10"/>
  <c r="B504" i="1"/>
  <c r="C677" i="10"/>
  <c r="C505" i="10"/>
  <c r="G505" i="10" s="1"/>
  <c r="B544" i="1"/>
  <c r="C626" i="10"/>
  <c r="C545" i="10"/>
  <c r="B498" i="1"/>
  <c r="C671" i="10"/>
  <c r="C499" i="10"/>
  <c r="B538" i="1"/>
  <c r="C711" i="10"/>
  <c r="C539" i="10"/>
  <c r="G539" i="10" s="1"/>
  <c r="B503" i="1"/>
  <c r="C504" i="10"/>
  <c r="G504" i="10" s="1"/>
  <c r="C676" i="10"/>
  <c r="C506" i="10"/>
  <c r="G506" i="10" s="1"/>
  <c r="C678" i="10"/>
  <c r="B505" i="1"/>
  <c r="B568" i="1"/>
  <c r="C569" i="10"/>
  <c r="C644" i="10"/>
  <c r="B506" i="1"/>
  <c r="C507" i="10"/>
  <c r="G507" i="10" s="1"/>
  <c r="C679" i="10"/>
  <c r="B516" i="1"/>
  <c r="C689" i="10"/>
  <c r="C517" i="10"/>
  <c r="C557" i="10"/>
  <c r="B556" i="1"/>
  <c r="C636" i="10"/>
  <c r="C533" i="10"/>
  <c r="G533" i="10" s="1"/>
  <c r="B532" i="1"/>
  <c r="C705" i="10"/>
  <c r="C498" i="10"/>
  <c r="G498" i="10" s="1"/>
  <c r="C670" i="10"/>
  <c r="B497" i="1"/>
  <c r="B560" i="1"/>
  <c r="C628" i="10"/>
  <c r="C561" i="10"/>
  <c r="B511" i="1"/>
  <c r="C512" i="10"/>
  <c r="C684" i="10"/>
  <c r="B522" i="1"/>
  <c r="C695" i="10"/>
  <c r="C523" i="10"/>
  <c r="B509" i="1"/>
  <c r="C510" i="10"/>
  <c r="C682" i="10"/>
  <c r="B512" i="1"/>
  <c r="C513" i="10"/>
  <c r="C685" i="10"/>
  <c r="B546" i="1"/>
  <c r="C547" i="10"/>
  <c r="C631" i="10"/>
  <c r="C565" i="10"/>
  <c r="B564" i="1"/>
  <c r="C640" i="10"/>
  <c r="B530" i="1"/>
  <c r="C531" i="10"/>
  <c r="C703" i="10"/>
  <c r="B534" i="1"/>
  <c r="C535" i="10"/>
  <c r="G535" i="10" s="1"/>
  <c r="C707" i="10"/>
  <c r="C690" i="10"/>
  <c r="B517" i="1"/>
  <c r="C518" i="10"/>
  <c r="B552" i="1"/>
  <c r="C553" i="10"/>
  <c r="C619" i="10"/>
  <c r="B513" i="1"/>
  <c r="C514" i="10"/>
  <c r="C686" i="10"/>
  <c r="B558" i="1"/>
  <c r="C639" i="10"/>
  <c r="C559" i="10"/>
  <c r="B507" i="1"/>
  <c r="C680" i="10"/>
  <c r="C508" i="10"/>
  <c r="G508" i="10" s="1"/>
  <c r="B570" i="1"/>
  <c r="C646" i="10"/>
  <c r="C571" i="10"/>
  <c r="C619" i="1"/>
  <c r="C554" i="1"/>
  <c r="D341" i="9"/>
  <c r="C526" i="1"/>
  <c r="G526" i="1" s="1"/>
  <c r="I277" i="9"/>
  <c r="C567" i="1"/>
  <c r="H117" i="9"/>
  <c r="C548" i="1"/>
  <c r="E149" i="9"/>
  <c r="C558" i="1"/>
  <c r="F245" i="9"/>
  <c r="C696" i="1"/>
  <c r="E277" i="9"/>
  <c r="C524" i="1"/>
  <c r="G524" i="1" s="1"/>
  <c r="C694" i="1"/>
  <c r="I117" i="9"/>
  <c r="C523" i="1"/>
  <c r="G523" i="1" s="1"/>
  <c r="C538" i="1"/>
  <c r="G538" i="1" s="1"/>
  <c r="E213" i="9"/>
  <c r="C213" i="9"/>
  <c r="C629" i="1"/>
  <c r="C551" i="1"/>
  <c r="C712" i="1"/>
  <c r="C683" i="1"/>
  <c r="C674" i="1"/>
  <c r="C543" i="1"/>
  <c r="H213" i="9"/>
  <c r="C502" i="1"/>
  <c r="G502" i="1" s="1"/>
  <c r="D85" i="9"/>
  <c r="CE71" i="1"/>
  <c r="C716" i="1" s="1"/>
  <c r="C702" i="1"/>
  <c r="I369" i="9"/>
  <c r="C433" i="1"/>
  <c r="C441" i="1" s="1"/>
  <c r="I85" i="9"/>
  <c r="C677" i="1"/>
  <c r="C505" i="1"/>
  <c r="G505" i="1" s="1"/>
  <c r="E53" i="9"/>
  <c r="E21" i="9"/>
  <c r="C670" i="1"/>
  <c r="C498" i="1"/>
  <c r="G498" i="1" s="1"/>
  <c r="C530" i="1"/>
  <c r="G530" i="1" s="1"/>
  <c r="C688" i="1"/>
  <c r="F149" i="9"/>
  <c r="C527" i="1"/>
  <c r="G527" i="1" s="1"/>
  <c r="C699" i="1"/>
  <c r="C496" i="1"/>
  <c r="G496" i="1" s="1"/>
  <c r="C21" i="9"/>
  <c r="C668" i="1"/>
  <c r="C693" i="1"/>
  <c r="G117" i="9"/>
  <c r="C521" i="1"/>
  <c r="G521" i="1" s="1"/>
  <c r="H181" i="9"/>
  <c r="C536" i="1"/>
  <c r="G536" i="1" s="1"/>
  <c r="I53" i="9"/>
  <c r="C681" i="1"/>
  <c r="C509" i="1"/>
  <c r="G509" i="1" s="1"/>
  <c r="D53" i="9"/>
  <c r="C504" i="1"/>
  <c r="G504" i="1" s="1"/>
  <c r="C676" i="1"/>
  <c r="C525" i="1"/>
  <c r="G525" i="1" s="1"/>
  <c r="C697" i="1"/>
  <c r="D149" i="9"/>
  <c r="C555" i="1"/>
  <c r="F277" i="9"/>
  <c r="C617" i="1"/>
  <c r="C507" i="1"/>
  <c r="G507" i="1" s="1"/>
  <c r="G53" i="9"/>
  <c r="C503" i="1"/>
  <c r="G503" i="1" s="1"/>
  <c r="C675" i="1"/>
  <c r="C53" i="9"/>
  <c r="F181" i="9"/>
  <c r="C534" i="1"/>
  <c r="G534" i="1" s="1"/>
  <c r="C706" i="1"/>
  <c r="C643" i="1"/>
  <c r="C568" i="1"/>
  <c r="E341" i="9"/>
  <c r="C571" i="1"/>
  <c r="C646" i="1"/>
  <c r="H341" i="9"/>
  <c r="C637" i="1"/>
  <c r="C557" i="1"/>
  <c r="H277" i="9"/>
  <c r="C627" i="1"/>
  <c r="C560" i="1"/>
  <c r="D309" i="9"/>
  <c r="C85" i="9"/>
  <c r="C510" i="1"/>
  <c r="C682" i="1"/>
  <c r="E245" i="9"/>
  <c r="C632" i="1"/>
  <c r="C547" i="1"/>
  <c r="C705" i="1"/>
  <c r="C533" i="1"/>
  <c r="G533" i="1" s="1"/>
  <c r="E181" i="9"/>
  <c r="C565" i="1"/>
  <c r="C640" i="1"/>
  <c r="I309" i="9"/>
  <c r="C341" i="9"/>
  <c r="C566" i="1"/>
  <c r="C64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72" i="1"/>
  <c r="D626" i="1"/>
  <c r="D641" i="1"/>
  <c r="D633" i="1"/>
  <c r="D619" i="1"/>
  <c r="D708" i="1"/>
  <c r="D688" i="1"/>
  <c r="D679" i="1"/>
  <c r="D624" i="1"/>
  <c r="D618" i="1"/>
  <c r="D681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710" i="1"/>
  <c r="D668" i="1"/>
  <c r="D680" i="1"/>
  <c r="D646" i="1"/>
  <c r="D695" i="1"/>
  <c r="D683" i="1"/>
  <c r="D62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3" i="1"/>
  <c r="D693" i="1"/>
  <c r="J735" i="10"/>
  <c r="J816" i="10" s="1"/>
  <c r="CE67" i="10"/>
  <c r="H545" i="1"/>
  <c r="F545" i="1"/>
  <c r="G536" i="10"/>
  <c r="H536" i="10" s="1"/>
  <c r="H525" i="1"/>
  <c r="F525" i="1"/>
  <c r="H524" i="10"/>
  <c r="H529" i="1"/>
  <c r="F529" i="1"/>
  <c r="C146" i="8"/>
  <c r="D396" i="1"/>
  <c r="C151" i="8" s="1"/>
  <c r="F521" i="1"/>
  <c r="H520" i="10"/>
  <c r="G520" i="10"/>
  <c r="F535" i="1"/>
  <c r="H535" i="1" s="1"/>
  <c r="H533" i="1"/>
  <c r="F533" i="1"/>
  <c r="G522" i="10"/>
  <c r="H522" i="10"/>
  <c r="H527" i="1"/>
  <c r="F527" i="1"/>
  <c r="F539" i="1"/>
  <c r="H539" i="1"/>
  <c r="G530" i="10"/>
  <c r="H530" i="10" s="1"/>
  <c r="F519" i="1"/>
  <c r="H519" i="1"/>
  <c r="H526" i="10"/>
  <c r="G526" i="10"/>
  <c r="F523" i="1"/>
  <c r="H523" i="1"/>
  <c r="F537" i="1"/>
  <c r="H537" i="1"/>
  <c r="F531" i="1"/>
  <c r="H531" i="1"/>
  <c r="C648" i="1" l="1"/>
  <c r="M716" i="1" s="1"/>
  <c r="E623" i="1"/>
  <c r="E716" i="1" s="1"/>
  <c r="H546" i="10"/>
  <c r="G532" i="10"/>
  <c r="H521" i="1"/>
  <c r="G510" i="1"/>
  <c r="H510" i="1" s="1"/>
  <c r="F502" i="1"/>
  <c r="H502" i="1"/>
  <c r="CE72" i="10"/>
  <c r="C717" i="10" s="1"/>
  <c r="F507" i="1"/>
  <c r="H507" i="1"/>
  <c r="F511" i="1"/>
  <c r="H511" i="1"/>
  <c r="H532" i="1"/>
  <c r="F532" i="1"/>
  <c r="F544" i="1"/>
  <c r="H544" i="1" s="1"/>
  <c r="G509" i="10"/>
  <c r="H509" i="10" s="1"/>
  <c r="G527" i="10"/>
  <c r="H527" i="10" s="1"/>
  <c r="H536" i="1"/>
  <c r="F536" i="1"/>
  <c r="G514" i="10"/>
  <c r="H514" i="10"/>
  <c r="G531" i="10"/>
  <c r="H531" i="10"/>
  <c r="G510" i="10"/>
  <c r="H510" i="10" s="1"/>
  <c r="F522" i="1"/>
  <c r="H522" i="1"/>
  <c r="G517" i="10"/>
  <c r="H517" i="10" s="1"/>
  <c r="F498" i="1"/>
  <c r="H498" i="1"/>
  <c r="F508" i="1"/>
  <c r="H508" i="1" s="1"/>
  <c r="F501" i="1"/>
  <c r="H501" i="1"/>
  <c r="F550" i="1"/>
  <c r="H550" i="1"/>
  <c r="F546" i="1"/>
  <c r="H546" i="1"/>
  <c r="H497" i="1"/>
  <c r="F497" i="1"/>
  <c r="F520" i="1"/>
  <c r="H520" i="1"/>
  <c r="F514" i="1"/>
  <c r="H514" i="1" s="1"/>
  <c r="H496" i="1"/>
  <c r="F496" i="1"/>
  <c r="G551" i="10"/>
  <c r="H551" i="10" s="1"/>
  <c r="F513" i="1"/>
  <c r="H513" i="1"/>
  <c r="G518" i="10"/>
  <c r="H518" i="10" s="1"/>
  <c r="F530" i="1"/>
  <c r="H530" i="1"/>
  <c r="H513" i="10"/>
  <c r="G513" i="10"/>
  <c r="F509" i="1"/>
  <c r="H509" i="1" s="1"/>
  <c r="H506" i="1"/>
  <c r="F506" i="1"/>
  <c r="H505" i="1"/>
  <c r="F505" i="1"/>
  <c r="H538" i="1"/>
  <c r="F538" i="1"/>
  <c r="G545" i="10"/>
  <c r="H545" i="10" s="1"/>
  <c r="F499" i="1"/>
  <c r="H499" i="1" s="1"/>
  <c r="F526" i="1"/>
  <c r="H526" i="1" s="1"/>
  <c r="G521" i="10"/>
  <c r="H521" i="10" s="1"/>
  <c r="F540" i="1"/>
  <c r="H540" i="1"/>
  <c r="F500" i="1"/>
  <c r="H500" i="1"/>
  <c r="C716" i="10"/>
  <c r="F524" i="1"/>
  <c r="H524" i="1" s="1"/>
  <c r="G516" i="10"/>
  <c r="H516" i="10" s="1"/>
  <c r="F517" i="1"/>
  <c r="H517" i="1"/>
  <c r="H534" i="1"/>
  <c r="F534" i="1"/>
  <c r="H547" i="10"/>
  <c r="G547" i="10"/>
  <c r="H512" i="1"/>
  <c r="F512" i="1"/>
  <c r="H523" i="10"/>
  <c r="G523" i="10"/>
  <c r="G512" i="10"/>
  <c r="H512" i="10" s="1"/>
  <c r="F516" i="1"/>
  <c r="H516" i="1" s="1"/>
  <c r="H503" i="1"/>
  <c r="F503" i="1"/>
  <c r="G499" i="10"/>
  <c r="H499" i="10" s="1"/>
  <c r="F504" i="1"/>
  <c r="H504" i="1"/>
  <c r="H502" i="10"/>
  <c r="G502" i="10"/>
  <c r="G515" i="10"/>
  <c r="H515" i="10" s="1"/>
  <c r="F528" i="1"/>
  <c r="H528" i="1"/>
  <c r="G497" i="10"/>
  <c r="H497" i="10"/>
  <c r="G525" i="10"/>
  <c r="H525" i="10"/>
  <c r="D616" i="10"/>
  <c r="C649" i="10"/>
  <c r="M717" i="10" s="1"/>
  <c r="Z817" i="10" s="1"/>
  <c r="F515" i="1"/>
  <c r="H515" i="1"/>
  <c r="I373" i="9"/>
  <c r="E612" i="1"/>
  <c r="C715" i="1"/>
  <c r="D715" i="1"/>
  <c r="J817" i="10"/>
  <c r="C434" i="10"/>
  <c r="C443" i="10" s="1"/>
  <c r="E681" i="1" l="1"/>
  <c r="D708" i="10"/>
  <c r="D669" i="10"/>
  <c r="D636" i="10"/>
  <c r="D711" i="10"/>
  <c r="D714" i="10"/>
  <c r="D707" i="10"/>
  <c r="D697" i="10"/>
  <c r="D704" i="10"/>
  <c r="D634" i="10"/>
  <c r="D628" i="10"/>
  <c r="D688" i="10"/>
  <c r="D699" i="10"/>
  <c r="D626" i="10"/>
  <c r="D618" i="10"/>
  <c r="D671" i="10"/>
  <c r="D682" i="10"/>
  <c r="D674" i="10"/>
  <c r="D676" i="10"/>
  <c r="D620" i="10"/>
  <c r="D633" i="10"/>
  <c r="D692" i="10"/>
  <c r="D619" i="10"/>
  <c r="D710" i="10"/>
  <c r="D689" i="10"/>
  <c r="D687" i="10"/>
  <c r="D683" i="10"/>
  <c r="D678" i="10"/>
  <c r="D701" i="10"/>
  <c r="D679" i="10"/>
  <c r="D643" i="10"/>
  <c r="D681" i="10"/>
  <c r="D695" i="10"/>
  <c r="D635" i="10"/>
  <c r="D703" i="10"/>
  <c r="D622" i="10"/>
  <c r="D647" i="10"/>
  <c r="D712" i="10"/>
  <c r="D696" i="10"/>
  <c r="D673" i="10"/>
  <c r="D702" i="10"/>
  <c r="D694" i="10"/>
  <c r="D680" i="10"/>
  <c r="D717" i="10"/>
  <c r="D677" i="10"/>
  <c r="D640" i="10"/>
  <c r="D693" i="10"/>
  <c r="D629" i="10"/>
  <c r="D709" i="10"/>
  <c r="D625" i="10"/>
  <c r="D617" i="10"/>
  <c r="D672" i="10"/>
  <c r="D637" i="10"/>
  <c r="D705" i="10"/>
  <c r="D641" i="10"/>
  <c r="D648" i="10"/>
  <c r="D638" i="10"/>
  <c r="D624" i="10"/>
  <c r="D631" i="10"/>
  <c r="D691" i="10"/>
  <c r="D644" i="10"/>
  <c r="D632" i="10"/>
  <c r="D645" i="10"/>
  <c r="D690" i="10"/>
  <c r="D627" i="10"/>
  <c r="D700" i="10"/>
  <c r="D684" i="10"/>
  <c r="D646" i="10"/>
  <c r="D639" i="10"/>
  <c r="D713" i="10"/>
  <c r="D706" i="10"/>
  <c r="D698" i="10"/>
  <c r="D642" i="10"/>
  <c r="D686" i="10"/>
  <c r="D621" i="10"/>
  <c r="D685" i="10"/>
  <c r="D623" i="10"/>
  <c r="D670" i="10"/>
  <c r="D675" i="10"/>
  <c r="D630" i="10"/>
  <c r="E676" i="1"/>
  <c r="E640" i="1"/>
  <c r="E693" i="1"/>
  <c r="E627" i="1"/>
  <c r="E637" i="1"/>
  <c r="E646" i="1"/>
  <c r="E644" i="1"/>
  <c r="E688" i="1"/>
  <c r="E710" i="1"/>
  <c r="E691" i="1"/>
  <c r="E670" i="1"/>
  <c r="E709" i="1"/>
  <c r="E680" i="1"/>
  <c r="E629" i="1"/>
  <c r="E703" i="1"/>
  <c r="E683" i="1"/>
  <c r="E705" i="1"/>
  <c r="E639" i="1"/>
  <c r="E684" i="1"/>
  <c r="E624" i="1"/>
  <c r="F624" i="1" s="1"/>
  <c r="E630" i="1"/>
  <c r="E668" i="1"/>
  <c r="E633" i="1"/>
  <c r="E699" i="1"/>
  <c r="E686" i="1"/>
  <c r="E690" i="1"/>
  <c r="E708" i="1"/>
  <c r="E698" i="1"/>
  <c r="E700" i="1"/>
  <c r="E695" i="1"/>
  <c r="E687" i="1"/>
  <c r="E671" i="1"/>
  <c r="E692" i="1"/>
  <c r="E673" i="1"/>
  <c r="E669" i="1"/>
  <c r="E634" i="1"/>
  <c r="E625" i="1"/>
  <c r="E679" i="1"/>
  <c r="E635" i="1"/>
  <c r="E642" i="1"/>
  <c r="E678" i="1"/>
  <c r="E647" i="1"/>
  <c r="E694" i="1"/>
  <c r="E712" i="1"/>
  <c r="E701" i="1"/>
  <c r="E631" i="1"/>
  <c r="E689" i="1"/>
  <c r="E677" i="1"/>
  <c r="E685" i="1"/>
  <c r="E636" i="1"/>
  <c r="E672" i="1"/>
  <c r="E638" i="1"/>
  <c r="E702" i="1"/>
  <c r="E674" i="1"/>
  <c r="E628" i="1"/>
  <c r="E632" i="1"/>
  <c r="E696" i="1"/>
  <c r="E707" i="1"/>
  <c r="E711" i="1"/>
  <c r="E645" i="1"/>
  <c r="E704" i="1"/>
  <c r="E713" i="1"/>
  <c r="E706" i="1"/>
  <c r="E626" i="1"/>
  <c r="E643" i="1"/>
  <c r="E641" i="1"/>
  <c r="E675" i="1"/>
  <c r="E682" i="1"/>
  <c r="E697" i="1"/>
  <c r="G625" i="1" l="1"/>
  <c r="F682" i="1"/>
  <c r="F674" i="1"/>
  <c r="F693" i="1"/>
  <c r="F702" i="1"/>
  <c r="F681" i="1"/>
  <c r="F629" i="1"/>
  <c r="F713" i="1"/>
  <c r="F689" i="1"/>
  <c r="F710" i="1"/>
  <c r="F703" i="1"/>
  <c r="F645" i="1"/>
  <c r="F698" i="1"/>
  <c r="F634" i="1"/>
  <c r="F706" i="1"/>
  <c r="F631" i="1"/>
  <c r="F628" i="1"/>
  <c r="F692" i="1"/>
  <c r="F679" i="1"/>
  <c r="F670" i="1"/>
  <c r="F627" i="1"/>
  <c r="F673" i="1"/>
  <c r="F642" i="1"/>
  <c r="F625" i="1"/>
  <c r="F638" i="1"/>
  <c r="F699" i="1"/>
  <c r="F671" i="1"/>
  <c r="F711" i="1"/>
  <c r="F644" i="1"/>
  <c r="F690" i="1"/>
  <c r="F636" i="1"/>
  <c r="F707" i="1"/>
  <c r="F675" i="1"/>
  <c r="F640" i="1"/>
  <c r="F704" i="1"/>
  <c r="F696" i="1"/>
  <c r="F686" i="1"/>
  <c r="F632" i="1"/>
  <c r="F697" i="1"/>
  <c r="F646" i="1"/>
  <c r="F626" i="1"/>
  <c r="F683" i="1"/>
  <c r="F668" i="1"/>
  <c r="F716" i="1"/>
  <c r="F672" i="1"/>
  <c r="F676" i="1"/>
  <c r="F691" i="1"/>
  <c r="F630" i="1"/>
  <c r="F688" i="1"/>
  <c r="F700" i="1"/>
  <c r="F641" i="1"/>
  <c r="F705" i="1"/>
  <c r="F677" i="1"/>
  <c r="F669" i="1"/>
  <c r="F643" i="1"/>
  <c r="F637" i="1"/>
  <c r="F635" i="1"/>
  <c r="F712" i="1"/>
  <c r="F639" i="1"/>
  <c r="F684" i="1"/>
  <c r="F647" i="1"/>
  <c r="F680" i="1"/>
  <c r="F685" i="1"/>
  <c r="F687" i="1"/>
  <c r="F708" i="1"/>
  <c r="F678" i="1"/>
  <c r="F701" i="1"/>
  <c r="F709" i="1"/>
  <c r="F694" i="1"/>
  <c r="F695" i="1"/>
  <c r="F633" i="1"/>
  <c r="E624" i="10"/>
  <c r="D716" i="10"/>
  <c r="E613" i="10"/>
  <c r="E693" i="10" s="1"/>
  <c r="E715" i="1"/>
  <c r="G647" i="1" l="1"/>
  <c r="G638" i="1"/>
  <c r="G642" i="1"/>
  <c r="G644" i="1"/>
  <c r="G693" i="1"/>
  <c r="G627" i="1"/>
  <c r="G698" i="1"/>
  <c r="G706" i="1"/>
  <c r="G710" i="1"/>
  <c r="G688" i="1"/>
  <c r="G629" i="1"/>
  <c r="G686" i="1"/>
  <c r="G632" i="1"/>
  <c r="G674" i="1"/>
  <c r="G708" i="1"/>
  <c r="G643" i="1"/>
  <c r="G635" i="1"/>
  <c r="G675" i="1"/>
  <c r="G689" i="1"/>
  <c r="G677" i="1"/>
  <c r="G626" i="1"/>
  <c r="G683" i="1"/>
  <c r="G712" i="1"/>
  <c r="G701" i="1"/>
  <c r="G670" i="1"/>
  <c r="G634" i="1"/>
  <c r="G695" i="1"/>
  <c r="G672" i="1"/>
  <c r="G682" i="1"/>
  <c r="G687" i="1"/>
  <c r="G709" i="1"/>
  <c r="G707" i="1"/>
  <c r="G697" i="1"/>
  <c r="G716" i="1"/>
  <c r="G678" i="1"/>
  <c r="G684" i="1"/>
  <c r="G630" i="1"/>
  <c r="G691" i="1"/>
  <c r="G631" i="1"/>
  <c r="G646" i="1"/>
  <c r="G694" i="1"/>
  <c r="G639" i="1"/>
  <c r="G699" i="1"/>
  <c r="G685" i="1"/>
  <c r="G669" i="1"/>
  <c r="G702" i="1"/>
  <c r="G711" i="1"/>
  <c r="G700" i="1"/>
  <c r="G676" i="1"/>
  <c r="G633" i="1"/>
  <c r="G673" i="1"/>
  <c r="G692" i="1"/>
  <c r="G703" i="1"/>
  <c r="G636" i="1"/>
  <c r="G705" i="1"/>
  <c r="G628" i="1"/>
  <c r="G713" i="1"/>
  <c r="G668" i="1"/>
  <c r="G640" i="1"/>
  <c r="G645" i="1"/>
  <c r="G680" i="1"/>
  <c r="G690" i="1"/>
  <c r="G671" i="1"/>
  <c r="G696" i="1"/>
  <c r="G641" i="1"/>
  <c r="G704" i="1"/>
  <c r="G679" i="1"/>
  <c r="G637" i="1"/>
  <c r="G681" i="1"/>
  <c r="F715" i="1"/>
  <c r="E717" i="10"/>
  <c r="E691" i="10"/>
  <c r="E675" i="10"/>
  <c r="E687" i="10"/>
  <c r="E704" i="10"/>
  <c r="E679" i="10"/>
  <c r="E688" i="10"/>
  <c r="E678" i="10"/>
  <c r="E703" i="10"/>
  <c r="E708" i="10"/>
  <c r="E695" i="10"/>
  <c r="E692" i="10"/>
  <c r="E699" i="10"/>
  <c r="E637" i="10"/>
  <c r="E636" i="10"/>
  <c r="E698" i="10"/>
  <c r="E690" i="10"/>
  <c r="E628" i="10"/>
  <c r="E681" i="10"/>
  <c r="E640" i="10"/>
  <c r="E635" i="10"/>
  <c r="E625" i="10"/>
  <c r="F625" i="10" s="1"/>
  <c r="F696" i="10" s="1"/>
  <c r="E694" i="10"/>
  <c r="E713" i="10"/>
  <c r="E677" i="10"/>
  <c r="E683" i="10"/>
  <c r="E700" i="10"/>
  <c r="E630" i="10"/>
  <c r="E697" i="10"/>
  <c r="E685" i="10"/>
  <c r="E674" i="10"/>
  <c r="E706" i="10"/>
  <c r="E643" i="10"/>
  <c r="E627" i="10"/>
  <c r="E639" i="10"/>
  <c r="E701" i="10"/>
  <c r="E705" i="10"/>
  <c r="E648" i="10"/>
  <c r="E714" i="10"/>
  <c r="E644" i="10"/>
  <c r="E626" i="10"/>
  <c r="E631" i="10"/>
  <c r="E682" i="10"/>
  <c r="E707" i="10"/>
  <c r="E709" i="10"/>
  <c r="E633" i="10"/>
  <c r="E689" i="10"/>
  <c r="E632" i="10"/>
  <c r="E702" i="10"/>
  <c r="E684" i="10"/>
  <c r="E671" i="10"/>
  <c r="E686" i="10"/>
  <c r="E673" i="10"/>
  <c r="E646" i="10"/>
  <c r="E696" i="10"/>
  <c r="E638" i="10"/>
  <c r="E647" i="10"/>
  <c r="E680" i="10"/>
  <c r="E634" i="10"/>
  <c r="E645" i="10"/>
  <c r="E641" i="10"/>
  <c r="E710" i="10"/>
  <c r="E672" i="10"/>
  <c r="E670" i="10"/>
  <c r="E642" i="10"/>
  <c r="E629" i="10"/>
  <c r="E676" i="10"/>
  <c r="E669" i="10"/>
  <c r="E712" i="10"/>
  <c r="E711" i="10"/>
  <c r="H628" i="1" l="1"/>
  <c r="H676" i="1" s="1"/>
  <c r="H688" i="1"/>
  <c r="H713" i="1"/>
  <c r="H629" i="1"/>
  <c r="I629" i="1" s="1"/>
  <c r="G715" i="1"/>
  <c r="F681" i="10"/>
  <c r="F692" i="10"/>
  <c r="F643" i="10"/>
  <c r="F699" i="10"/>
  <c r="F631" i="10"/>
  <c r="F684" i="10"/>
  <c r="F714" i="10"/>
  <c r="F637" i="10"/>
  <c r="F700" i="10"/>
  <c r="F676" i="10"/>
  <c r="F682" i="10"/>
  <c r="F632" i="10"/>
  <c r="F648" i="10"/>
  <c r="F642" i="10"/>
  <c r="F703" i="10"/>
  <c r="F645" i="10"/>
  <c r="F633" i="10"/>
  <c r="F671" i="10"/>
  <c r="F691" i="10"/>
  <c r="F693" i="10"/>
  <c r="F698" i="10"/>
  <c r="F673" i="10"/>
  <c r="F689" i="10"/>
  <c r="F679" i="10"/>
  <c r="F680" i="10"/>
  <c r="F708" i="10"/>
  <c r="F634" i="10"/>
  <c r="F704" i="10"/>
  <c r="F713" i="10"/>
  <c r="F695" i="10"/>
  <c r="F710" i="10"/>
  <c r="F690" i="10"/>
  <c r="F674" i="10"/>
  <c r="F717" i="10"/>
  <c r="F647" i="10"/>
  <c r="F683" i="10"/>
  <c r="F646" i="10"/>
  <c r="F636" i="10"/>
  <c r="F686" i="10"/>
  <c r="F687" i="10"/>
  <c r="F672" i="10"/>
  <c r="F688" i="10"/>
  <c r="F641" i="10"/>
  <c r="F685" i="10"/>
  <c r="F701" i="10"/>
  <c r="F639" i="10"/>
  <c r="F635" i="10"/>
  <c r="F627" i="10"/>
  <c r="F677" i="10"/>
  <c r="F638" i="10"/>
  <c r="F707" i="10"/>
  <c r="F640" i="10"/>
  <c r="F630" i="10"/>
  <c r="F644" i="10"/>
  <c r="F709" i="10"/>
  <c r="F669" i="10"/>
  <c r="F628" i="10"/>
  <c r="F702" i="10"/>
  <c r="F705" i="10"/>
  <c r="F712" i="10"/>
  <c r="F670" i="10"/>
  <c r="F697" i="10"/>
  <c r="F711" i="10"/>
  <c r="F675" i="10"/>
  <c r="F678" i="10"/>
  <c r="F626" i="10"/>
  <c r="G626" i="10" s="1"/>
  <c r="F629" i="10"/>
  <c r="F706" i="10"/>
  <c r="F694" i="10"/>
  <c r="E716" i="10"/>
  <c r="H636" i="1" l="1"/>
  <c r="H692" i="1"/>
  <c r="H670" i="1"/>
  <c r="H633" i="1"/>
  <c r="H646" i="1"/>
  <c r="H699" i="1"/>
  <c r="H631" i="1"/>
  <c r="H639" i="1"/>
  <c r="H685" i="1"/>
  <c r="H712" i="1"/>
  <c r="H637" i="1"/>
  <c r="H700" i="1"/>
  <c r="H693" i="1"/>
  <c r="H682" i="1"/>
  <c r="H695" i="1"/>
  <c r="H632" i="1"/>
  <c r="H696" i="1"/>
  <c r="H674" i="1"/>
  <c r="H672" i="1"/>
  <c r="H647" i="1"/>
  <c r="H683" i="1"/>
  <c r="H690" i="1"/>
  <c r="H669" i="1"/>
  <c r="H686" i="1"/>
  <c r="H678" i="1"/>
  <c r="H643" i="1"/>
  <c r="H687" i="1"/>
  <c r="H703" i="1"/>
  <c r="H675" i="1"/>
  <c r="H645" i="1"/>
  <c r="H705" i="1"/>
  <c r="H668" i="1"/>
  <c r="H679" i="1"/>
  <c r="H634" i="1"/>
  <c r="H677" i="1"/>
  <c r="H697" i="1"/>
  <c r="H711" i="1"/>
  <c r="H698" i="1"/>
  <c r="H708" i="1"/>
  <c r="H641" i="1"/>
  <c r="H702" i="1"/>
  <c r="H689" i="1"/>
  <c r="H707" i="1"/>
  <c r="H673" i="1"/>
  <c r="H684" i="1"/>
  <c r="H716" i="1"/>
  <c r="H681" i="1"/>
  <c r="H704" i="1"/>
  <c r="H710" i="1"/>
  <c r="H671" i="1"/>
  <c r="H706" i="1"/>
  <c r="H701" i="1"/>
  <c r="H640" i="1"/>
  <c r="H642" i="1"/>
  <c r="H709" i="1"/>
  <c r="H644" i="1"/>
  <c r="H691" i="1"/>
  <c r="H694" i="1"/>
  <c r="H638" i="1"/>
  <c r="H680" i="1"/>
  <c r="H635" i="1"/>
  <c r="H630" i="1"/>
  <c r="I646" i="1"/>
  <c r="I674" i="1"/>
  <c r="I702" i="1"/>
  <c r="I700" i="1"/>
  <c r="I676" i="1"/>
  <c r="I710" i="1"/>
  <c r="I688" i="1"/>
  <c r="I687" i="1"/>
  <c r="I640" i="1"/>
  <c r="I711" i="1"/>
  <c r="I690" i="1"/>
  <c r="I680" i="1"/>
  <c r="I672" i="1"/>
  <c r="I684" i="1"/>
  <c r="I686" i="1"/>
  <c r="I695" i="1"/>
  <c r="I709" i="1"/>
  <c r="I693" i="1"/>
  <c r="I679" i="1"/>
  <c r="I704" i="1"/>
  <c r="I681" i="1"/>
  <c r="I630" i="1"/>
  <c r="I701" i="1"/>
  <c r="I671" i="1"/>
  <c r="I669" i="1"/>
  <c r="I636" i="1"/>
  <c r="I639" i="1"/>
  <c r="I713" i="1"/>
  <c r="I670" i="1"/>
  <c r="I697" i="1"/>
  <c r="I631" i="1"/>
  <c r="I643" i="1"/>
  <c r="I705" i="1"/>
  <c r="I716" i="1"/>
  <c r="I668" i="1"/>
  <c r="I691" i="1"/>
  <c r="I683" i="1"/>
  <c r="I634" i="1"/>
  <c r="I632" i="1"/>
  <c r="I707" i="1"/>
  <c r="I641" i="1"/>
  <c r="I677" i="1"/>
  <c r="I638" i="1"/>
  <c r="I678" i="1"/>
  <c r="I689" i="1"/>
  <c r="I712" i="1"/>
  <c r="I635" i="1"/>
  <c r="I633" i="1"/>
  <c r="I694" i="1"/>
  <c r="I708" i="1"/>
  <c r="I706" i="1"/>
  <c r="I682" i="1"/>
  <c r="I698" i="1"/>
  <c r="I699" i="1"/>
  <c r="I703" i="1"/>
  <c r="I692" i="1"/>
  <c r="I645" i="1"/>
  <c r="I685" i="1"/>
  <c r="I696" i="1"/>
  <c r="I637" i="1"/>
  <c r="I673" i="1"/>
  <c r="I675" i="1"/>
  <c r="I644" i="1"/>
  <c r="I647" i="1"/>
  <c r="I642" i="1"/>
  <c r="H715" i="1"/>
  <c r="F716" i="10"/>
  <c r="G703" i="10"/>
  <c r="G695" i="10"/>
  <c r="G647" i="10"/>
  <c r="G630" i="10"/>
  <c r="G684" i="10"/>
  <c r="G710" i="10"/>
  <c r="G705" i="10"/>
  <c r="G627" i="10"/>
  <c r="G675" i="10"/>
  <c r="G631" i="10"/>
  <c r="G717" i="10"/>
  <c r="G692" i="10"/>
  <c r="G707" i="10"/>
  <c r="G629" i="10"/>
  <c r="G685" i="10"/>
  <c r="G643" i="10"/>
  <c r="G638" i="10"/>
  <c r="G699" i="10"/>
  <c r="G694" i="10"/>
  <c r="G714" i="10"/>
  <c r="G633" i="10"/>
  <c r="G639" i="10"/>
  <c r="G640" i="10"/>
  <c r="G690" i="10"/>
  <c r="G711" i="10"/>
  <c r="G683" i="10"/>
  <c r="G645" i="10"/>
  <c r="G702" i="10"/>
  <c r="G678" i="10"/>
  <c r="G677" i="10"/>
  <c r="G701" i="10"/>
  <c r="G689" i="10"/>
  <c r="G681" i="10"/>
  <c r="G687" i="10"/>
  <c r="G676" i="10"/>
  <c r="G688" i="10"/>
  <c r="G698" i="10"/>
  <c r="G671" i="10"/>
  <c r="G697" i="10"/>
  <c r="G636" i="10"/>
  <c r="G648" i="10"/>
  <c r="G672" i="10"/>
  <c r="G646" i="10"/>
  <c r="G693" i="10"/>
  <c r="G686" i="10"/>
  <c r="G670" i="10"/>
  <c r="G679" i="10"/>
  <c r="G641" i="10"/>
  <c r="G682" i="10"/>
  <c r="G704" i="10"/>
  <c r="G637" i="10"/>
  <c r="G708" i="10"/>
  <c r="G632" i="10"/>
  <c r="G680" i="10"/>
  <c r="G642" i="10"/>
  <c r="G634" i="10"/>
  <c r="G669" i="10"/>
  <c r="G673" i="10"/>
  <c r="G696" i="10"/>
  <c r="G691" i="10"/>
  <c r="G713" i="10"/>
  <c r="G628" i="10"/>
  <c r="G674" i="10"/>
  <c r="G644" i="10"/>
  <c r="G706" i="10"/>
  <c r="G635" i="10"/>
  <c r="G709" i="10"/>
  <c r="G700" i="10"/>
  <c r="G712" i="10"/>
  <c r="I715" i="1" l="1"/>
  <c r="J630" i="1"/>
  <c r="G716" i="10"/>
  <c r="H629" i="10"/>
  <c r="J669" i="1" l="1"/>
  <c r="J693" i="1"/>
  <c r="J677" i="1"/>
  <c r="J636" i="1"/>
  <c r="J707" i="1"/>
  <c r="J668" i="1"/>
  <c r="J685" i="1"/>
  <c r="J708" i="1"/>
  <c r="J686" i="1"/>
  <c r="J670" i="1"/>
  <c r="J713" i="1"/>
  <c r="J709" i="1"/>
  <c r="J706" i="1"/>
  <c r="J632" i="1"/>
  <c r="J690" i="1"/>
  <c r="J691" i="1"/>
  <c r="J639" i="1"/>
  <c r="J644" i="1"/>
  <c r="J672" i="1"/>
  <c r="J646" i="1"/>
  <c r="J642" i="1"/>
  <c r="J679" i="1"/>
  <c r="J635" i="1"/>
  <c r="J682" i="1"/>
  <c r="J634" i="1"/>
  <c r="J683" i="1"/>
  <c r="J688" i="1"/>
  <c r="J678" i="1"/>
  <c r="J671" i="1"/>
  <c r="J645" i="1"/>
  <c r="J640" i="1"/>
  <c r="J711" i="1"/>
  <c r="J703" i="1"/>
  <c r="J704" i="1"/>
  <c r="J716" i="1"/>
  <c r="J684" i="1"/>
  <c r="J692" i="1"/>
  <c r="J647" i="1"/>
  <c r="L647" i="1" s="1"/>
  <c r="J705" i="1"/>
  <c r="J702" i="1"/>
  <c r="J637" i="1"/>
  <c r="J641" i="1"/>
  <c r="J633" i="1"/>
  <c r="J710" i="1"/>
  <c r="J643" i="1"/>
  <c r="J689" i="1"/>
  <c r="J680" i="1"/>
  <c r="J674" i="1"/>
  <c r="J631" i="1"/>
  <c r="J700" i="1"/>
  <c r="J697" i="1"/>
  <c r="J676" i="1"/>
  <c r="J638" i="1"/>
  <c r="J687" i="1"/>
  <c r="J699" i="1"/>
  <c r="J695" i="1"/>
  <c r="J701" i="1"/>
  <c r="J698" i="1"/>
  <c r="J696" i="1"/>
  <c r="J675" i="1"/>
  <c r="J712" i="1"/>
  <c r="J694" i="1"/>
  <c r="J681" i="1"/>
  <c r="J673" i="1"/>
  <c r="H691" i="10"/>
  <c r="H706" i="10"/>
  <c r="H702" i="10"/>
  <c r="H645" i="10"/>
  <c r="H698" i="10"/>
  <c r="H643" i="10"/>
  <c r="H674" i="10"/>
  <c r="H711" i="10"/>
  <c r="H688" i="10"/>
  <c r="H692" i="10"/>
  <c r="H673" i="10"/>
  <c r="H682" i="10"/>
  <c r="H684" i="10"/>
  <c r="H696" i="10"/>
  <c r="H632" i="10"/>
  <c r="H647" i="10"/>
  <c r="H675" i="10"/>
  <c r="H676" i="10"/>
  <c r="H697" i="10"/>
  <c r="H693" i="10"/>
  <c r="H642" i="10"/>
  <c r="H677" i="10"/>
  <c r="H689" i="10"/>
  <c r="H630" i="10"/>
  <c r="H640" i="10"/>
  <c r="H713" i="10"/>
  <c r="H705" i="10"/>
  <c r="H700" i="10"/>
  <c r="H708" i="10"/>
  <c r="H704" i="10"/>
  <c r="H681" i="10"/>
  <c r="H679" i="10"/>
  <c r="H631" i="10"/>
  <c r="H714" i="10"/>
  <c r="H637" i="10"/>
  <c r="H717" i="10"/>
  <c r="H644" i="10"/>
  <c r="H671" i="10"/>
  <c r="H707" i="10"/>
  <c r="H639" i="10"/>
  <c r="H694" i="10"/>
  <c r="H648" i="10"/>
  <c r="H709" i="10"/>
  <c r="H690" i="10"/>
  <c r="H712" i="10"/>
  <c r="H680" i="10"/>
  <c r="H633" i="10"/>
  <c r="H687" i="10"/>
  <c r="H634" i="10"/>
  <c r="H710" i="10"/>
  <c r="H695" i="10"/>
  <c r="H683" i="10"/>
  <c r="H670" i="10"/>
  <c r="H699" i="10"/>
  <c r="H646" i="10"/>
  <c r="H685" i="10"/>
  <c r="H636" i="10"/>
  <c r="H678" i="10"/>
  <c r="H701" i="10"/>
  <c r="H635" i="10"/>
  <c r="H703" i="10"/>
  <c r="H672" i="10"/>
  <c r="H638" i="10"/>
  <c r="H641" i="10"/>
  <c r="H669" i="10"/>
  <c r="H686" i="10"/>
  <c r="L705" i="1" l="1"/>
  <c r="L675" i="1"/>
  <c r="L691" i="1"/>
  <c r="L682" i="1"/>
  <c r="L698" i="1"/>
  <c r="L671" i="1"/>
  <c r="L696" i="1"/>
  <c r="L685" i="1"/>
  <c r="L707" i="1"/>
  <c r="L689" i="1"/>
  <c r="L688" i="1"/>
  <c r="L716" i="1"/>
  <c r="L693" i="1"/>
  <c r="L678" i="1"/>
  <c r="L713" i="1"/>
  <c r="L710" i="1"/>
  <c r="L690" i="1"/>
  <c r="L712" i="1"/>
  <c r="L687" i="1"/>
  <c r="L706" i="1"/>
  <c r="L672" i="1"/>
  <c r="L694" i="1"/>
  <c r="L676" i="1"/>
  <c r="L711" i="1"/>
  <c r="L679" i="1"/>
  <c r="L669" i="1"/>
  <c r="L695" i="1"/>
  <c r="L683" i="1"/>
  <c r="L699" i="1"/>
  <c r="L677" i="1"/>
  <c r="L686" i="1"/>
  <c r="L704" i="1"/>
  <c r="L692" i="1"/>
  <c r="L673" i="1"/>
  <c r="L703" i="1"/>
  <c r="L670" i="1"/>
  <c r="L708" i="1"/>
  <c r="L701" i="1"/>
  <c r="L684" i="1"/>
  <c r="L702" i="1"/>
  <c r="L700" i="1"/>
  <c r="L681" i="1"/>
  <c r="L709" i="1"/>
  <c r="L668" i="1"/>
  <c r="L697" i="1"/>
  <c r="L674" i="1"/>
  <c r="L680" i="1"/>
  <c r="K644" i="1"/>
  <c r="J715" i="1"/>
  <c r="H716" i="10"/>
  <c r="I630" i="10"/>
  <c r="M677" i="1" l="1"/>
  <c r="K716" i="1"/>
  <c r="K700" i="1"/>
  <c r="K711" i="1"/>
  <c r="K704" i="1"/>
  <c r="M704" i="1" s="1"/>
  <c r="K713" i="1"/>
  <c r="M713" i="1" s="1"/>
  <c r="K669" i="1"/>
  <c r="M669" i="1" s="1"/>
  <c r="K702" i="1"/>
  <c r="M702" i="1" s="1"/>
  <c r="K671" i="1"/>
  <c r="M671" i="1" s="1"/>
  <c r="K685" i="1"/>
  <c r="M685" i="1" s="1"/>
  <c r="K709" i="1"/>
  <c r="K676" i="1"/>
  <c r="M676" i="1" s="1"/>
  <c r="K683" i="1"/>
  <c r="M683" i="1" s="1"/>
  <c r="K710" i="1"/>
  <c r="M710" i="1" s="1"/>
  <c r="K668" i="1"/>
  <c r="M668" i="1" s="1"/>
  <c r="K703" i="1"/>
  <c r="K684" i="1"/>
  <c r="M684" i="1" s="1"/>
  <c r="K692" i="1"/>
  <c r="K686" i="1"/>
  <c r="M686" i="1" s="1"/>
  <c r="K673" i="1"/>
  <c r="M673" i="1" s="1"/>
  <c r="K677" i="1"/>
  <c r="K687" i="1"/>
  <c r="K674" i="1"/>
  <c r="M674" i="1" s="1"/>
  <c r="K690" i="1"/>
  <c r="M690" i="1" s="1"/>
  <c r="K693" i="1"/>
  <c r="K682" i="1"/>
  <c r="K679" i="1"/>
  <c r="K691" i="1"/>
  <c r="K698" i="1"/>
  <c r="K707" i="1"/>
  <c r="K699" i="1"/>
  <c r="M699" i="1" s="1"/>
  <c r="K708" i="1"/>
  <c r="M708" i="1" s="1"/>
  <c r="K694" i="1"/>
  <c r="M694" i="1" s="1"/>
  <c r="K675" i="1"/>
  <c r="K670" i="1"/>
  <c r="K712" i="1"/>
  <c r="K706" i="1"/>
  <c r="M706" i="1" s="1"/>
  <c r="K696" i="1"/>
  <c r="M696" i="1" s="1"/>
  <c r="K695" i="1"/>
  <c r="M695" i="1" s="1"/>
  <c r="K705" i="1"/>
  <c r="M705" i="1" s="1"/>
  <c r="K672" i="1"/>
  <c r="K681" i="1"/>
  <c r="M681" i="1" s="1"/>
  <c r="K688" i="1"/>
  <c r="K701" i="1"/>
  <c r="M701" i="1" s="1"/>
  <c r="K689" i="1"/>
  <c r="K678" i="1"/>
  <c r="M678" i="1" s="1"/>
  <c r="K680" i="1"/>
  <c r="M680" i="1" s="1"/>
  <c r="K697" i="1"/>
  <c r="M697" i="1" s="1"/>
  <c r="L715" i="1"/>
  <c r="M670" i="1"/>
  <c r="M711" i="1"/>
  <c r="M682" i="1"/>
  <c r="M709" i="1"/>
  <c r="M703" i="1"/>
  <c r="M687" i="1"/>
  <c r="M688" i="1"/>
  <c r="M691" i="1"/>
  <c r="M712" i="1"/>
  <c r="M689" i="1"/>
  <c r="M675" i="1"/>
  <c r="M700" i="1"/>
  <c r="M692" i="1"/>
  <c r="M679" i="1"/>
  <c r="M672" i="1"/>
  <c r="M693" i="1"/>
  <c r="M707" i="1"/>
  <c r="M698" i="1"/>
  <c r="I697" i="10"/>
  <c r="I705" i="10"/>
  <c r="I685" i="10"/>
  <c r="I688" i="10"/>
  <c r="I713" i="10"/>
  <c r="I708" i="10"/>
  <c r="I704" i="10"/>
  <c r="I689" i="10"/>
  <c r="I678" i="10"/>
  <c r="I642" i="10"/>
  <c r="I674" i="10"/>
  <c r="I635" i="10"/>
  <c r="I687" i="10"/>
  <c r="I702" i="10"/>
  <c r="I684" i="10"/>
  <c r="I692" i="10"/>
  <c r="I711" i="10"/>
  <c r="I700" i="10"/>
  <c r="I714" i="10"/>
  <c r="I647" i="10"/>
  <c r="I686" i="10"/>
  <c r="I632" i="10"/>
  <c r="I634" i="10"/>
  <c r="I683" i="10"/>
  <c r="I691" i="10"/>
  <c r="I706" i="10"/>
  <c r="I638" i="10"/>
  <c r="I631" i="10"/>
  <c r="I641" i="10"/>
  <c r="I640" i="10"/>
  <c r="I644" i="10"/>
  <c r="I675" i="10"/>
  <c r="I717" i="10"/>
  <c r="I681" i="10"/>
  <c r="I696" i="10"/>
  <c r="I709" i="10"/>
  <c r="I698" i="10"/>
  <c r="I695" i="10"/>
  <c r="I669" i="10"/>
  <c r="I712" i="10"/>
  <c r="I679" i="10"/>
  <c r="I703" i="10"/>
  <c r="I646" i="10"/>
  <c r="I636" i="10"/>
  <c r="I643" i="10"/>
  <c r="I690" i="10"/>
  <c r="I699" i="10"/>
  <c r="I670" i="10"/>
  <c r="I701" i="10"/>
  <c r="I693" i="10"/>
  <c r="I677" i="10"/>
  <c r="I694" i="10"/>
  <c r="I671" i="10"/>
  <c r="I648" i="10"/>
  <c r="I682" i="10"/>
  <c r="I710" i="10"/>
  <c r="I676" i="10"/>
  <c r="I672" i="10"/>
  <c r="I633" i="10"/>
  <c r="I680" i="10"/>
  <c r="I637" i="10"/>
  <c r="I707" i="10"/>
  <c r="I645" i="10"/>
  <c r="I639" i="10"/>
  <c r="I673" i="10"/>
  <c r="H151" i="9" l="1"/>
  <c r="E183" i="9"/>
  <c r="H183" i="9"/>
  <c r="D119" i="9"/>
  <c r="H23" i="9"/>
  <c r="D55" i="9"/>
  <c r="I151" i="9"/>
  <c r="H55" i="9"/>
  <c r="I119" i="9"/>
  <c r="M715" i="1"/>
  <c r="C23" i="9"/>
  <c r="I55" i="9"/>
  <c r="C215" i="9"/>
  <c r="F87" i="9"/>
  <c r="F215" i="9"/>
  <c r="F23" i="9"/>
  <c r="D151" i="9"/>
  <c r="E119" i="9"/>
  <c r="D215" i="9"/>
  <c r="F55" i="9"/>
  <c r="I23" i="9"/>
  <c r="F183" i="9"/>
  <c r="F151" i="9"/>
  <c r="I87" i="9"/>
  <c r="I183" i="9"/>
  <c r="C151" i="9"/>
  <c r="F119" i="9"/>
  <c r="G183" i="9"/>
  <c r="G55" i="9"/>
  <c r="G151" i="9"/>
  <c r="E215" i="9"/>
  <c r="C183" i="9"/>
  <c r="G87" i="9"/>
  <c r="G119" i="9"/>
  <c r="D23" i="9"/>
  <c r="E23" i="9"/>
  <c r="K715" i="1"/>
  <c r="H119" i="9"/>
  <c r="E87" i="9"/>
  <c r="D87" i="9"/>
  <c r="C55" i="9"/>
  <c r="H87" i="9"/>
  <c r="C87" i="9"/>
  <c r="E55" i="9"/>
  <c r="D183" i="9"/>
  <c r="E151" i="9"/>
  <c r="G23" i="9"/>
  <c r="C119" i="9"/>
  <c r="I716" i="10"/>
  <c r="J631" i="10"/>
  <c r="J710" i="10" l="1"/>
  <c r="J691" i="10"/>
  <c r="J690" i="10"/>
  <c r="J639" i="10"/>
  <c r="J694" i="10"/>
  <c r="J644" i="10"/>
  <c r="J679" i="10"/>
  <c r="J637" i="10"/>
  <c r="J701" i="10"/>
  <c r="J636" i="10"/>
  <c r="J696" i="10"/>
  <c r="J647" i="10"/>
  <c r="J686" i="10"/>
  <c r="J674" i="10"/>
  <c r="J700" i="10"/>
  <c r="J683" i="10"/>
  <c r="J648" i="10"/>
  <c r="J672" i="10"/>
  <c r="J717" i="10"/>
  <c r="J634" i="10"/>
  <c r="J707" i="10"/>
  <c r="J633" i="10"/>
  <c r="J687" i="10"/>
  <c r="J714" i="10"/>
  <c r="J702" i="10"/>
  <c r="J698" i="10"/>
  <c r="J678" i="10"/>
  <c r="J712" i="10"/>
  <c r="J685" i="10"/>
  <c r="J708" i="10"/>
  <c r="J670" i="10"/>
  <c r="J643" i="10"/>
  <c r="J699" i="10"/>
  <c r="J709" i="10"/>
  <c r="J669" i="10"/>
  <c r="J635" i="10"/>
  <c r="J675" i="10"/>
  <c r="J681" i="10"/>
  <c r="J673" i="10"/>
  <c r="J706" i="10"/>
  <c r="J646" i="10"/>
  <c r="J692" i="10"/>
  <c r="J641" i="10"/>
  <c r="J705" i="10"/>
  <c r="J711" i="10"/>
  <c r="J689" i="10"/>
  <c r="J688" i="10"/>
  <c r="J713" i="10"/>
  <c r="J645" i="10"/>
  <c r="J638" i="10"/>
  <c r="J671" i="10"/>
  <c r="J695" i="10"/>
  <c r="J640" i="10"/>
  <c r="J680" i="10"/>
  <c r="J703" i="10"/>
  <c r="J676" i="10"/>
  <c r="J684" i="10"/>
  <c r="J693" i="10"/>
  <c r="J642" i="10"/>
  <c r="J632" i="10"/>
  <c r="J697" i="10"/>
  <c r="J682" i="10"/>
  <c r="J677" i="10"/>
  <c r="J704" i="10"/>
  <c r="J716" i="10" l="1"/>
  <c r="K645" i="10"/>
  <c r="L648" i="10"/>
  <c r="L714" i="10" l="1"/>
  <c r="L669" i="10"/>
  <c r="L679" i="10"/>
  <c r="L696" i="10"/>
  <c r="L697" i="10"/>
  <c r="L706" i="10"/>
  <c r="L670" i="10"/>
  <c r="L704" i="10"/>
  <c r="M704" i="10" s="1"/>
  <c r="Z770" i="10" s="1"/>
  <c r="L685" i="10"/>
  <c r="L691" i="10"/>
  <c r="L687" i="10"/>
  <c r="L717" i="10"/>
  <c r="L690" i="10"/>
  <c r="L689" i="10"/>
  <c r="L711" i="10"/>
  <c r="L699" i="10"/>
  <c r="M699" i="10" s="1"/>
  <c r="Z765" i="10" s="1"/>
  <c r="L684" i="10"/>
  <c r="L672" i="10"/>
  <c r="L698" i="10"/>
  <c r="L707" i="10"/>
  <c r="M707" i="10" s="1"/>
  <c r="Z773" i="10" s="1"/>
  <c r="L713" i="10"/>
  <c r="L692" i="10"/>
  <c r="L676" i="10"/>
  <c r="L693" i="10"/>
  <c r="M693" i="10" s="1"/>
  <c r="Z759" i="10" s="1"/>
  <c r="L705" i="10"/>
  <c r="L673" i="10"/>
  <c r="L674" i="10"/>
  <c r="L712" i="10"/>
  <c r="L686" i="10"/>
  <c r="L694" i="10"/>
  <c r="L681" i="10"/>
  <c r="L675" i="10"/>
  <c r="M675" i="10" s="1"/>
  <c r="Z741" i="10" s="1"/>
  <c r="L710" i="10"/>
  <c r="L703" i="10"/>
  <c r="L701" i="10"/>
  <c r="L680" i="10"/>
  <c r="L702" i="10"/>
  <c r="L677" i="10"/>
  <c r="L671" i="10"/>
  <c r="L678" i="10"/>
  <c r="M678" i="10" s="1"/>
  <c r="Z744" i="10" s="1"/>
  <c r="L695" i="10"/>
  <c r="L688" i="10"/>
  <c r="L709" i="10"/>
  <c r="L683" i="10"/>
  <c r="L682" i="10"/>
  <c r="L700" i="10"/>
  <c r="L708" i="10"/>
  <c r="K683" i="10"/>
  <c r="K707" i="10"/>
  <c r="K693" i="10"/>
  <c r="K697" i="10"/>
  <c r="K692" i="10"/>
  <c r="K678" i="10"/>
  <c r="K714" i="10"/>
  <c r="K684" i="10"/>
  <c r="K686" i="10"/>
  <c r="K696" i="10"/>
  <c r="K705" i="10"/>
  <c r="K695" i="10"/>
  <c r="K712" i="10"/>
  <c r="K710" i="10"/>
  <c r="K713" i="10"/>
  <c r="K701" i="10"/>
  <c r="K680" i="10"/>
  <c r="K674" i="10"/>
  <c r="K672" i="10"/>
  <c r="K717" i="10"/>
  <c r="K687" i="10"/>
  <c r="K669" i="10"/>
  <c r="K682" i="10"/>
  <c r="K689" i="10"/>
  <c r="K673" i="10"/>
  <c r="K681" i="10"/>
  <c r="K694" i="10"/>
  <c r="K704" i="10"/>
  <c r="K670" i="10"/>
  <c r="K698" i="10"/>
  <c r="K676" i="10"/>
  <c r="K708" i="10"/>
  <c r="K690" i="10"/>
  <c r="K700" i="10"/>
  <c r="K675" i="10"/>
  <c r="K671" i="10"/>
  <c r="K685" i="10"/>
  <c r="K699" i="10"/>
  <c r="K702" i="10"/>
  <c r="K688" i="10"/>
  <c r="K677" i="10"/>
  <c r="K691" i="10"/>
  <c r="K679" i="10"/>
  <c r="K706" i="10"/>
  <c r="K711" i="10"/>
  <c r="K709" i="10"/>
  <c r="K703" i="10"/>
  <c r="M696" i="10" l="1"/>
  <c r="Z762" i="10" s="1"/>
  <c r="M683" i="10"/>
  <c r="Z749" i="10" s="1"/>
  <c r="M680" i="10"/>
  <c r="Z746" i="10" s="1"/>
  <c r="M712" i="10"/>
  <c r="Z778" i="10" s="1"/>
  <c r="M708" i="10"/>
  <c r="Z774" i="10" s="1"/>
  <c r="M709" i="10"/>
  <c r="Z775" i="10" s="1"/>
  <c r="M671" i="10"/>
  <c r="Z737" i="10" s="1"/>
  <c r="M701" i="10"/>
  <c r="Z767" i="10" s="1"/>
  <c r="M681" i="10"/>
  <c r="Z747" i="10" s="1"/>
  <c r="M674" i="10"/>
  <c r="Z740" i="10" s="1"/>
  <c r="M676" i="10"/>
  <c r="Z742" i="10" s="1"/>
  <c r="M698" i="10"/>
  <c r="Z764" i="10" s="1"/>
  <c r="M711" i="10"/>
  <c r="Z777" i="10" s="1"/>
  <c r="M687" i="10"/>
  <c r="Z753" i="10" s="1"/>
  <c r="M670" i="10"/>
  <c r="Z736" i="10" s="1"/>
  <c r="M679" i="10"/>
  <c r="Z745" i="10" s="1"/>
  <c r="M700" i="10"/>
  <c r="Z766" i="10" s="1"/>
  <c r="M688" i="10"/>
  <c r="Z754" i="10" s="1"/>
  <c r="M677" i="10"/>
  <c r="Z743" i="10" s="1"/>
  <c r="M703" i="10"/>
  <c r="Z769" i="10" s="1"/>
  <c r="M694" i="10"/>
  <c r="Z760" i="10" s="1"/>
  <c r="M673" i="10"/>
  <c r="Z739" i="10" s="1"/>
  <c r="M692" i="10"/>
  <c r="Z758" i="10" s="1"/>
  <c r="M672" i="10"/>
  <c r="Z738" i="10" s="1"/>
  <c r="M689" i="10"/>
  <c r="Z755" i="10" s="1"/>
  <c r="M691" i="10"/>
  <c r="Z757" i="10" s="1"/>
  <c r="M706" i="10"/>
  <c r="Z772" i="10" s="1"/>
  <c r="L716" i="10"/>
  <c r="M669" i="10"/>
  <c r="K716" i="10"/>
  <c r="M682" i="10"/>
  <c r="Z748" i="10" s="1"/>
  <c r="M695" i="10"/>
  <c r="Z761" i="10" s="1"/>
  <c r="M702" i="10"/>
  <c r="Z768" i="10" s="1"/>
  <c r="M710" i="10"/>
  <c r="Z776" i="10" s="1"/>
  <c r="M686" i="10"/>
  <c r="Z752" i="10" s="1"/>
  <c r="M705" i="10"/>
  <c r="Z771" i="10" s="1"/>
  <c r="M713" i="10"/>
  <c r="Z779" i="10" s="1"/>
  <c r="M684" i="10"/>
  <c r="Z750" i="10" s="1"/>
  <c r="M690" i="10"/>
  <c r="Z756" i="10" s="1"/>
  <c r="M685" i="10"/>
  <c r="Z751" i="10" s="1"/>
  <c r="M697" i="10"/>
  <c r="Z763" i="10" s="1"/>
  <c r="M714" i="10"/>
  <c r="Z780" i="10" s="1"/>
  <c r="M716" i="10" l="1"/>
  <c r="Z735" i="10"/>
  <c r="Z816" i="10" s="1"/>
</calcChain>
</file>

<file path=xl/sharedStrings.xml><?xml version="1.0" encoding="utf-8"?>
<sst xmlns="http://schemas.openxmlformats.org/spreadsheetml/2006/main" count="4727" uniqueCount="1285">
  <si>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</si>
  <si>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</si>
  <si>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</si>
  <si>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</si>
  <si>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</si>
  <si>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</si>
  <si>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</si>
  <si>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</si>
  <si>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</si>
  <si>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</si>
  <si>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</si>
  <si>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</si>
  <si>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</si>
  <si>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</si>
  <si>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</si>
  <si>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</si>
  <si>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</si>
  <si>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</si>
  <si>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</si>
  <si>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</si>
  <si>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</si>
  <si>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</si>
  <si>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</si>
  <si>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</si>
  <si>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</si>
  <si>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</si>
  <si>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</si>
  <si>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</si>
  <si>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</si>
  <si>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</si>
  <si>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</si>
  <si>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</si>
  <si>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</si>
  <si>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</si>
  <si>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</si>
  <si>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</si>
  <si>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</si>
  <si>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</si>
  <si>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</si>
  <si>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</si>
  <si>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</si>
  <si>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</si>
  <si>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</si>
  <si>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</si>
  <si>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</si>
  <si>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</si>
  <si>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</si>
  <si>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</si>
  <si>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</si>
  <si>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</si>
  <si>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</si>
  <si>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</si>
  <si>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</si>
  <si>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</si>
  <si>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</si>
  <si>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</si>
  <si>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</si>
  <si>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</si>
  <si>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</si>
  <si>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</si>
  <si>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</si>
  <si>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</si>
  <si>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</si>
  <si>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</si>
  <si>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</si>
  <si>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</si>
  <si>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</si>
  <si>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</si>
  <si>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</si>
  <si>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</si>
  <si>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</si>
  <si>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</si>
  <si>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</si>
  <si>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</si>
  <si>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</si>
  <si>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</si>
  <si>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</si>
  <si>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</si>
  <si>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</si>
  <si>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</si>
  <si>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</si>
  <si>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</si>
  <si>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</si>
  <si>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</si>
  <si>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</si>
  <si>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</si>
  <si>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</si>
  <si>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</si>
  <si>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</si>
  <si>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</si>
  <si>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</si>
  <si>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</si>
  <si>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</si>
  <si>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</si>
  <si>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</si>
  <si>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</si>
  <si>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</si>
  <si>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</si>
  <si>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</si>
  <si>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</si>
  <si>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</si>
  <si>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</si>
  <si>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</si>
  <si>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</si>
  <si>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</si>
  <si>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</si>
  <si>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</si>
  <si>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</si>
  <si>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</si>
  <si>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</si>
  <si>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</si>
  <si>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</si>
  <si>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</si>
  <si>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</si>
  <si>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</si>
  <si>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</si>
  <si>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</si>
  <si>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</si>
  <si>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</si>
  <si>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</si>
  <si>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</si>
  <si>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</si>
  <si>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</si>
  <si>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</si>
  <si>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</si>
  <si>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</si>
  <si>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</si>
  <si>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</si>
  <si>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</si>
  <si>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</si>
  <si>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</si>
  <si>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</si>
  <si>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</si>
  <si>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</si>
  <si>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</si>
  <si>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</si>
  <si>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</si>
  <si>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</si>
  <si>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</si>
  <si>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</si>
  <si>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</si>
  <si>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</si>
  <si>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</si>
  <si>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</si>
  <si>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</si>
  <si>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</si>
  <si>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</si>
  <si>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</si>
  <si>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</si>
  <si>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</si>
  <si>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</si>
  <si>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</si>
  <si>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</si>
  <si>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</si>
  <si>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</si>
  <si>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</si>
  <si>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</si>
  <si>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</si>
  <si>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</si>
  <si>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</si>
  <si>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</si>
  <si>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</si>
  <si>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</si>
  <si>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</si>
  <si>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</si>
  <si>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</si>
  <si>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</si>
  <si>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</si>
  <si>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</si>
  <si>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</si>
  <si>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</si>
  <si>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</si>
  <si>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</si>
  <si>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</si>
  <si>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</si>
  <si>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</si>
  <si>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</si>
  <si>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</si>
  <si>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</si>
  <si>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</si>
  <si>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</si>
  <si>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</si>
  <si>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</si>
  <si>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</si>
  <si>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</si>
  <si>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</si>
  <si>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</si>
  <si>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</si>
  <si>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</si>
  <si>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</si>
  <si>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</si>
  <si>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</si>
  <si>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</si>
  <si>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</si>
  <si>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</si>
  <si>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</si>
  <si>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</si>
  <si>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</si>
  <si>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</si>
  <si>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</si>
  <si>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</si>
  <si>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</si>
  <si>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</si>
  <si>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</si>
  <si>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</si>
  <si>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</si>
  <si>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</si>
  <si>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</si>
  <si>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</si>
  <si>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</si>
  <si>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</si>
  <si>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</si>
  <si>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</si>
  <si>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</si>
  <si>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</si>
  <si>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</si>
  <si>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</si>
  <si>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</si>
  <si>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</si>
  <si>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</si>
  <si>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</si>
  <si>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</si>
  <si>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</si>
  <si>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</si>
  <si>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</si>
  <si>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</si>
  <si>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</si>
  <si>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</si>
  <si>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</si>
  <si>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</si>
  <si>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</si>
  <si>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</si>
  <si>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</si>
  <si>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</si>
  <si>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</si>
  <si>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</si>
  <si>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</si>
  <si>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</si>
  <si>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</si>
  <si>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</si>
  <si>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</si>
  <si>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</si>
  <si>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</si>
  <si>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</si>
  <si>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</si>
  <si>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</si>
  <si>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</si>
  <si>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</si>
  <si>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</si>
  <si>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</si>
  <si>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</si>
  <si>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</si>
  <si>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</si>
  <si>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</si>
  <si>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</si>
  <si>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</si>
  <si>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</si>
  <si>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</si>
  <si>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</si>
  <si>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</si>
  <si>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</si>
  <si>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</si>
  <si>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</si>
  <si>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</si>
  <si>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</si>
  <si>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</si>
  <si>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</si>
  <si>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</si>
  <si>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</si>
  <si>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</si>
  <si>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</si>
  <si>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</si>
  <si>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</si>
  <si>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</si>
  <si>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</si>
  <si>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</si>
  <si>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</si>
  <si>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</si>
  <si>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</si>
  <si>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</si>
  <si>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</si>
  <si>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</si>
  <si>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</si>
  <si>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</si>
  <si>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</si>
  <si>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</si>
  <si>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</si>
  <si>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</si>
  <si>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</si>
  <si>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</si>
  <si>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</si>
  <si>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</si>
  <si>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</si>
  <si>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</si>
  <si>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</si>
  <si>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</si>
  <si>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</si>
  <si>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</si>
  <si>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</si>
  <si>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</si>
  <si>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</si>
  <si>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</si>
  <si>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</si>
  <si>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</si>
  <si>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</si>
  <si>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</si>
  <si>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</si>
  <si>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</si>
  <si>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</si>
  <si>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</si>
  <si>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</si>
  <si>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</si>
  <si>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</si>
  <si>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</si>
  <si>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</si>
  <si>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</si>
  <si>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</si>
  <si>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</si>
  <si>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</si>
  <si>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</si>
  <si>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</si>
  <si>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</si>
  <si>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</si>
  <si>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</si>
  <si>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</si>
  <si>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</si>
  <si>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</si>
  <si>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</si>
  <si>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</si>
  <si>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</si>
  <si>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</si>
  <si>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</si>
  <si>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</si>
  <si>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</si>
  <si>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</si>
  <si>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</si>
  <si>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</si>
  <si>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</si>
  <si>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</si>
  <si>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</si>
  <si>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</si>
  <si>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</si>
  <si>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</si>
  <si>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</si>
  <si>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</si>
  <si>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</si>
  <si>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</si>
  <si>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</si>
  <si>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</si>
  <si>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</si>
  <si>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</si>
  <si>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</si>
  <si>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</si>
  <si>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</si>
  <si>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</si>
  <si>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</si>
  <si>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</si>
  <si>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</si>
  <si>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</si>
  <si>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</si>
  <si>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</si>
  <si>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</si>
  <si>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</si>
  <si>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</si>
  <si>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</si>
  <si>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</si>
  <si>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</si>
  <si>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</si>
  <si>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</si>
  <si>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</si>
  <si>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</si>
  <si>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</si>
  <si>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</si>
  <si>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</si>
  <si>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</si>
  <si>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</si>
  <si>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</si>
  <si>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</si>
  <si>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</si>
  <si>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</si>
  <si>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</si>
  <si>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</si>
  <si>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</si>
  <si>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</si>
  <si>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</si>
  <si>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</si>
  <si>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</si>
  <si>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</si>
  <si>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</si>
  <si>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</si>
  <si>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</si>
  <si>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</si>
  <si>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</si>
  <si>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</si>
  <si>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</si>
  <si>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</si>
  <si>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</si>
  <si>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</si>
  <si>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</si>
  <si>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</si>
  <si>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</si>
  <si>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</si>
  <si>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</si>
  <si>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</si>
  <si>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</si>
  <si>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</si>
  <si>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</si>
  <si>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</si>
  <si>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</si>
  <si>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</si>
  <si>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</si>
  <si>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</si>
  <si>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</si>
  <si>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</si>
  <si>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</si>
  <si>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</si>
  <si>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</si>
  <si>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</si>
  <si>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</si>
  <si>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</si>
  <si>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</si>
  <si>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</si>
  <si>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</si>
  <si>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</si>
  <si>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</si>
  <si>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</si>
  <si>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</si>
  <si>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</si>
  <si>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</si>
  <si>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</si>
  <si>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</si>
  <si>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</si>
  <si>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</si>
  <si>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</si>
  <si>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</si>
  <si>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</si>
  <si>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</si>
  <si>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</si>
  <si>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</si>
  <si>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</si>
  <si>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</si>
  <si>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</si>
  <si>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</si>
  <si>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</si>
  <si>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</si>
  <si>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</si>
  <si>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</si>
  <si>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</si>
  <si>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</si>
  <si>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</si>
  <si>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</si>
  <si>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</si>
  <si>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</si>
  <si>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</si>
  <si>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</si>
  <si>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</si>
  <si>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</si>
  <si>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</si>
  <si>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</si>
  <si>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</si>
  <si>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</si>
  <si>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</si>
  <si>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</si>
  <si>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</si>
  <si>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</si>
  <si>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</si>
  <si>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</si>
  <si>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</si>
  <si>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</si>
  <si>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</si>
  <si>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</si>
  <si>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</si>
  <si>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</si>
  <si>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</si>
  <si>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</si>
  <si>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</si>
  <si>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</si>
  <si>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</si>
  <si>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</si>
  <si>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</si>
  <si>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</si>
  <si>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</si>
  <si>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</si>
  <si>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</si>
  <si>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</si>
  <si>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</si>
  <si>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</si>
  <si>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</si>
  <si>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</si>
  <si>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</si>
  <si>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</si>
  <si>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</si>
  <si>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</si>
  <si>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</si>
  <si>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</si>
  <si>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</si>
  <si>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</si>
  <si>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</si>
  <si>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</si>
  <si>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</si>
  <si>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</si>
  <si>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</si>
  <si>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</si>
  <si>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</si>
  <si>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</si>
  <si>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</si>
  <si>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</si>
  <si>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</si>
  <si>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</si>
  <si>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</si>
  <si>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</si>
  <si>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</si>
  <si>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</si>
  <si>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</si>
  <si>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</si>
  <si>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</si>
  <si>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</si>
  <si>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</si>
  <si>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</si>
  <si>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</si>
  <si>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</si>
  <si>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</si>
  <si>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</si>
  <si>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</si>
  <si>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</si>
  <si>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</si>
  <si>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</si>
  <si>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</si>
  <si>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</si>
  <si>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</si>
  <si>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</si>
  <si>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</si>
  <si>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</si>
  <si>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</si>
  <si>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</si>
  <si>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</si>
  <si>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</si>
  <si>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</si>
  <si>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</si>
  <si>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</si>
  <si>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</si>
  <si>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</si>
  <si>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</si>
  <si>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</si>
  <si>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</si>
  <si>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</si>
  <si>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</si>
  <si>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</si>
  <si>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</si>
  <si>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</si>
  <si>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</si>
  <si>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</si>
  <si>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</si>
  <si>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</si>
  <si>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</si>
  <si>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</si>
  <si>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</si>
  <si>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</si>
  <si>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</si>
  <si>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</si>
  <si>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</si>
  <si>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</si>
  <si>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</si>
  <si>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</si>
  <si>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</si>
  <si>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</si>
  <si>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</si>
  <si>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</si>
  <si>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</si>
  <si>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</si>
  <si>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</si>
  <si>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</si>
  <si>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</si>
  <si>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</si>
  <si>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</si>
  <si>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</si>
  <si>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</si>
  <si>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</si>
  <si>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</si>
  <si>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</si>
  <si>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</si>
  <si>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</si>
  <si>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</si>
  <si>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</si>
  <si>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</si>
  <si>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</si>
  <si>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</si>
  <si>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</si>
  <si>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</si>
  <si>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</si>
  <si>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</si>
  <si>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</si>
  <si>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</si>
  <si>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</si>
  <si>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</si>
  <si>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</si>
  <si>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</si>
  <si>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</si>
  <si>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</si>
  <si>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</si>
  <si>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</si>
  <si>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</si>
  <si>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</si>
  <si>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</si>
  <si>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</si>
  <si>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</si>
  <si>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</si>
  <si>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</si>
  <si>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</si>
  <si>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</si>
  <si>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</si>
  <si>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</si>
  <si>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</si>
  <si>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</si>
  <si>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</si>
  <si>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</si>
  <si>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</si>
  <si>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</si>
  <si>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</si>
  <si>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</si>
  <si>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</si>
  <si>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</si>
  <si>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</si>
  <si>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</si>
  <si>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</si>
  <si>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</si>
  <si>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</si>
  <si>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</si>
  <si>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</si>
  <si>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</si>
  <si>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</si>
  <si>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</si>
  <si>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</si>
  <si>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</si>
  <si>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</si>
  <si>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</si>
  <si>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</si>
  <si>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</si>
  <si>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</si>
  <si>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</si>
  <si>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</si>
  <si>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</si>
  <si>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</si>
  <si>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</si>
  <si>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</si>
  <si>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</si>
  <si>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</si>
  <si>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</si>
  <si>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</si>
  <si>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</si>
  <si>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</si>
  <si>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</si>
  <si>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</si>
  <si>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</si>
  <si>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</si>
  <si>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</si>
  <si>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</si>
  <si>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</si>
  <si>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</si>
  <si>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</si>
  <si>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</si>
  <si>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</si>
  <si>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</si>
  <si>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</si>
  <si>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</si>
  <si>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</si>
  <si>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</si>
  <si>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</si>
  <si>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</si>
  <si>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</si>
  <si>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</si>
  <si>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</si>
  <si>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</si>
  <si>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</si>
  <si>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</si>
  <si>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</si>
  <si>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</si>
  <si>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</si>
  <si>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</si>
  <si>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</si>
  <si>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</si>
  <si>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</si>
  <si>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</si>
  <si>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</si>
  <si>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</si>
  <si>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</si>
  <si>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</si>
  <si>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</si>
  <si>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</si>
  <si>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</si>
  <si>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</si>
  <si>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</si>
  <si>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</si>
  <si>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</si>
  <si>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</si>
  <si>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</si>
  <si>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</si>
  <si>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</si>
  <si>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</si>
  <si>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</si>
  <si>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</si>
  <si>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</si>
  <si>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</si>
  <si>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</si>
  <si>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</si>
  <si>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</si>
  <si>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</si>
  <si>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</si>
  <si>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</si>
  <si>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</si>
  <si>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</si>
  <si>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</si>
  <si>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</si>
  <si>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</si>
  <si>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</si>
  <si>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</si>
  <si>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</si>
  <si>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</si>
  <si>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</si>
  <si>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</si>
  <si>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</si>
  <si>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</si>
  <si>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</si>
  <si>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</si>
  <si>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</si>
  <si>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</si>
  <si>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</si>
  <si>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</si>
  <si>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</si>
  <si>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</si>
  <si>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</si>
  <si>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</si>
  <si>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</si>
  <si>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</si>
  <si>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</si>
  <si>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</si>
  <si>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</si>
  <si>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</si>
  <si>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</si>
  <si>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</si>
  <si>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</si>
  <si>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</si>
  <si>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</si>
  <si>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</si>
  <si>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</si>
  <si>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</si>
  <si>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</si>
  <si>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</si>
  <si>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</si>
  <si>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</si>
  <si>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</si>
  <si>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</si>
  <si>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</si>
  <si>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</si>
  <si>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</si>
  <si>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</si>
  <si>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</si>
  <si>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</si>
  <si>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</si>
  <si>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</si>
  <si>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</si>
  <si>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</si>
  <si>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</si>
  <si>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</si>
  <si>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</si>
  <si>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</si>
  <si>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</si>
  <si>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</si>
  <si>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</si>
  <si>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</si>
  <si>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</si>
  <si>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</si>
  <si>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</si>
  <si>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</si>
  <si>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</si>
  <si>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</si>
  <si>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</si>
  <si>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</si>
  <si>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</si>
  <si>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</si>
  <si>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</si>
  <si>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</si>
  <si>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</si>
  <si>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</si>
  <si>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</si>
  <si>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</si>
  <si>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</si>
  <si>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</si>
  <si>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</si>
  <si>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</si>
  <si>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</si>
  <si>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</si>
  <si>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</si>
  <si>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</si>
  <si>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</si>
  <si>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</si>
  <si>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</si>
  <si>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</si>
  <si>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</si>
  <si>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</si>
  <si>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</si>
  <si>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</si>
  <si>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</si>
  <si>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</si>
  <si>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</si>
  <si>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</si>
  <si>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</si>
  <si>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</si>
  <si>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</si>
  <si>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</si>
  <si>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</si>
  <si>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</si>
  <si>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</si>
  <si>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</si>
  <si>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</si>
  <si>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</si>
  <si>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</si>
  <si>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</si>
  <si>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</si>
  <si>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</si>
  <si>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</si>
  <si>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</si>
  <si>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</si>
  <si>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</si>
  <si>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</si>
  <si>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</si>
  <si>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</si>
  <si>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</si>
  <si>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</si>
  <si>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</si>
  <si>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</si>
  <si>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</si>
  <si>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</si>
  <si>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</si>
  <si>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</si>
  <si>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</si>
  <si>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</si>
  <si>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</si>
  <si>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</si>
  <si>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</si>
  <si>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</si>
  <si>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</si>
  <si>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</si>
  <si>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</si>
  <si>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</si>
  <si>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</si>
  <si>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</si>
  <si>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</si>
  <si>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</si>
  <si>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</si>
  <si>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</si>
  <si>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</si>
  <si>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</si>
  <si>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</si>
  <si>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</si>
  <si>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</si>
  <si>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</si>
  <si>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</si>
  <si>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</si>
  <si>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</si>
  <si>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</si>
  <si>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</si>
  <si>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</si>
  <si>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</si>
  <si>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</si>
  <si>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</si>
  <si>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</si>
  <si>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</si>
  <si>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</si>
  <si>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</si>
  <si>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</si>
  <si>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</si>
  <si>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</si>
  <si>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</si>
  <si>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</si>
  <si>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</si>
  <si>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</si>
  <si>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</si>
  <si>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</si>
  <si>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</si>
  <si>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</si>
  <si>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</si>
  <si>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</si>
  <si>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</si>
  <si>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</si>
  <si>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</si>
  <si>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</si>
  <si>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</si>
  <si>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</si>
  <si>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</si>
  <si>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</si>
  <si>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</si>
  <si>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</si>
  <si>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</si>
  <si>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</si>
  <si>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</si>
  <si>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</si>
  <si>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</si>
  <si>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</si>
  <si>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</si>
  <si>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</si>
  <si>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</si>
  <si>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</si>
  <si>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</si>
  <si>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</si>
  <si>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</si>
  <si>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</si>
  <si>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</si>
  <si>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</si>
  <si>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</si>
  <si>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</si>
  <si>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</si>
  <si>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</si>
  <si>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</si>
  <si>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</si>
  <si>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</si>
  <si>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</si>
  <si>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</si>
  <si>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</si>
  <si>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</si>
  <si>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</si>
  <si>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</si>
  <si>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</si>
  <si>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</si>
  <si>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</si>
  <si>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</si>
  <si>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</si>
  <si>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</si>
  <si>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</si>
  <si>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</si>
  <si>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</si>
  <si>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</si>
  <si>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</si>
  <si>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</si>
  <si>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</si>
  <si>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</si>
  <si>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</si>
  <si>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</si>
  <si>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</si>
  <si>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</si>
  <si>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</si>
  <si>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</si>
  <si>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</si>
  <si>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</si>
  <si>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</si>
  <si>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</si>
  <si>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</si>
  <si>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</si>
  <si>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</si>
  <si>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</si>
  <si>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</si>
  <si>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</si>
  <si>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</si>
  <si>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</si>
  <si>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</si>
  <si>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</si>
  <si>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</si>
  <si>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</si>
  <si>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</si>
  <si>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</si>
  <si>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</si>
  <si>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</si>
  <si>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</si>
  <si>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</si>
  <si>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</si>
  <si>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</si>
  <si>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</si>
  <si>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</si>
  <si>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</si>
  <si>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</si>
  <si>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</si>
  <si>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</si>
  <si>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</si>
  <si>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</si>
  <si>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</si>
  <si>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</si>
  <si>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</si>
  <si>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</si>
  <si>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</si>
  <si>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</si>
  <si>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</si>
  <si>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</si>
  <si>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</si>
  <si>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</si>
  <si>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</si>
  <si>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</si>
  <si>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</si>
  <si>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</si>
  <si>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</si>
  <si>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</si>
  <si>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</si>
  <si>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</si>
  <si>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</si>
  <si>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</si>
  <si>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</si>
  <si>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</si>
  <si>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</si>
  <si>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</si>
  <si>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</si>
  <si>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</si>
  <si>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</si>
  <si>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</si>
  <si>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</si>
  <si>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</si>
  <si>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</si>
  <si>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</si>
  <si>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</si>
  <si>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</si>
  <si>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</si>
  <si>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</si>
  <si>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</si>
  <si>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</si>
  <si>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</si>
  <si>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</si>
  <si>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</si>
  <si>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</si>
  <si>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</si>
  <si>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</si>
  <si>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</si>
  <si>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</si>
  <si>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</si>
  <si>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</si>
  <si>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</si>
  <si>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</si>
  <si>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</si>
  <si>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</si>
  <si>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</si>
  <si>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</si>
  <si>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</si>
  <si>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</si>
  <si>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</si>
  <si>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</si>
  <si>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</si>
  <si>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</si>
  <si>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</si>
  <si>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</si>
  <si>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</si>
  <si>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</si>
  <si>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</si>
  <si>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</si>
  <si>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</si>
  <si>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</si>
  <si>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</si>
  <si>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</si>
  <si>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</si>
  <si>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</si>
  <si>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</si>
  <si>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</si>
  <si>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</si>
  <si>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</si>
  <si>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</si>
  <si>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</si>
  <si>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</si>
  <si>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</si>
  <si>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</si>
  <si>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</si>
  <si>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</si>
  <si>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</si>
  <si>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</si>
  <si>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</si>
  <si>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</si>
  <si>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</si>
  <si>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</si>
  <si>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</si>
  <si>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</si>
  <si>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</si>
  <si>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</si>
  <si>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</si>
  <si>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</si>
  <si>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</si>
  <si>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</si>
  <si>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</si>
  <si>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</si>
  <si>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</si>
  <si>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</si>
  <si>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</si>
  <si>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</si>
  <si>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</si>
  <si>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</si>
  <si>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</si>
  <si>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</si>
  <si>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</si>
  <si>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</si>
  <si>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</si>
  <si>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</si>
  <si>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</si>
  <si>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</si>
  <si>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</si>
  <si>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</si>
  <si>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</si>
  <si>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</si>
  <si>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</si>
  <si>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</si>
  <si>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</si>
  <si>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</si>
  <si>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</si>
  <si>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</si>
  <si>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</si>
  <si>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</si>
  <si>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</si>
  <si>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</si>
  <si>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</si>
  <si>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</si>
  <si>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</si>
  <si>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</si>
  <si>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</si>
  <si>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</si>
  <si>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</si>
  <si>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</si>
  <si>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</si>
  <si>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</si>
  <si>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</si>
  <si>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</si>
  <si>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</si>
  <si>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</si>
  <si>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</si>
  <si>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</si>
  <si>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</si>
  <si>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</si>
  <si>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</si>
  <si>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</si>
  <si>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</si>
  <si>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</si>
  <si>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</si>
  <si>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</si>
  <si>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</si>
  <si>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</si>
  <si>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</si>
  <si>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</si>
  <si>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</si>
  <si>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</si>
  <si>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</si>
  <si>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</si>
  <si>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</si>
  <si>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</si>
  <si>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</si>
  <si>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</si>
  <si>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</si>
  <si>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</si>
  <si>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</si>
  <si>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</si>
  <si>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</si>
  <si>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</si>
  <si>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</si>
  <si>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</si>
  <si>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</si>
  <si>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</si>
  <si>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</si>
  <si>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</si>
  <si>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</si>
  <si>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</si>
  <si>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</si>
  <si>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</si>
  <si>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</si>
  <si>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</si>
  <si>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</si>
  <si>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</si>
  <si>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</si>
  <si>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</si>
  <si>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</si>
  <si>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</si>
  <si>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</si>
  <si>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</si>
  <si>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</si>
  <si>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</si>
  <si>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</si>
  <si>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</si>
  <si>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</si>
  <si>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</si>
  <si>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</si>
  <si>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</si>
  <si>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</si>
  <si>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</si>
  <si>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</si>
  <si>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</si>
  <si>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</si>
  <si>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</si>
  <si>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</si>
  <si>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</si>
  <si>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</si>
  <si>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</si>
  <si>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</si>
  <si>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</si>
  <si>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</si>
  <si>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</si>
  <si>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</si>
  <si>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</si>
  <si>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</si>
  <si>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</si>
  <si>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</si>
  <si>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</si>
  <si>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</si>
  <si>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</si>
  <si>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</si>
  <si>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</si>
  <si>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</si>
  <si>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</si>
  <si>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</si>
  <si>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</si>
  <si>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</si>
  <si>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</si>
  <si>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</si>
  <si>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</si>
  <si>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</si>
  <si>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</si>
  <si>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</si>
  <si>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</si>
  <si>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</si>
  <si>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</si>
  <si>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</si>
  <si>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</si>
  <si>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</si>
  <si>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</si>
  <si>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</si>
  <si>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</si>
  <si>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</si>
  <si>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</si>
  <si>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</si>
  <si>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</si>
  <si>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</si>
  <si>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</si>
  <si>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</si>
  <si>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</si>
  <si>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</si>
  <si>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</si>
  <si>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</si>
  <si>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</si>
  <si>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</si>
  <si>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</si>
  <si>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</si>
  <si>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</si>
  <si>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</si>
  <si>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</si>
  <si>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</si>
  <si>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</si>
  <si>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</si>
  <si>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</si>
  <si>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</si>
  <si>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</si>
  <si>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</si>
  <si>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</si>
  <si>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</si>
  <si>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</si>
  <si>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</si>
  <si>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</si>
  <si>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</si>
  <si>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</si>
  <si>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</si>
  <si>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</si>
  <si>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</si>
  <si>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</si>
  <si>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</si>
  <si>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</si>
  <si>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</si>
  <si>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</si>
  <si>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</si>
  <si>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</si>
  <si>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</si>
  <si>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</si>
  <si>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</si>
  <si>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</si>
  <si>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</si>
  <si>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</si>
  <si>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</si>
  <si>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</si>
  <si>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</si>
  <si>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</si>
  <si>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</si>
  <si>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</si>
  <si>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</si>
  <si>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</si>
  <si>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078</t>
  </si>
  <si>
    <t>Samaritan Hospital</t>
  </si>
  <si>
    <t>801 E Wheeler Road</t>
  </si>
  <si>
    <t>Moses Lake, WA 98837</t>
  </si>
  <si>
    <t>Grant</t>
  </si>
  <si>
    <t>Theresa Sullivan</t>
  </si>
  <si>
    <t>Alexander Town</t>
  </si>
  <si>
    <t>509-793-9601</t>
  </si>
  <si>
    <t>Julie Weisenberg</t>
  </si>
  <si>
    <t>509-764-3242</t>
  </si>
  <si>
    <t>same as street address</t>
  </si>
  <si>
    <t>12/31/2017</t>
  </si>
  <si>
    <t>same</t>
  </si>
  <si>
    <t>Joseph Akers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</si>
</sst>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1259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1265</v>
      </c>
      <c r="C16" s="236"/>
      <c r="F16" s="285" t="s">
        <v>1260</v>
      </c>
    </row>
    <row r="17" spans="1:6" ht="12.75" customHeight="1" x14ac:dyDescent="0.25">
      <c r="A17" s="180" t="s">
        <v>1230</v>
      </c>
      <c r="C17" s="285" t="s">
        <v>1260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6" t="s">
        <v>1234</v>
      </c>
      <c r="B20" s="276"/>
      <c r="C20" s="286"/>
      <c r="D20" s="276"/>
      <c r="E20" s="276"/>
      <c r="F20" s="276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10159718</v>
      </c>
      <c r="C48" s="248">
        <f>ROUND(((B48/CE61)*C61),0)</f>
        <v>0</v>
      </c>
      <c r="D48" s="248">
        <f>ROUND(((B48/CE61)*D61),0)</f>
        <v>0</v>
      </c>
      <c r="E48" s="195">
        <f>ROUND(((B48/CE61)*E61),0)</f>
        <v>1120989</v>
      </c>
      <c r="F48" s="195">
        <f>ROUND(((B48/CE61)*F61),0)</f>
        <v>790496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319954</v>
      </c>
      <c r="Q48" s="195">
        <f>ROUND(((B48/CE61)*Q61),0)</f>
        <v>104361</v>
      </c>
      <c r="R48" s="195">
        <f>ROUND(((B48/CE61)*R61),0)</f>
        <v>518644</v>
      </c>
      <c r="S48" s="195">
        <f>ROUND(((B48/CE61)*S61),0)</f>
        <v>73956</v>
      </c>
      <c r="T48" s="195">
        <f>ROUND(((B48/CE61)*T61),0)</f>
        <v>0</v>
      </c>
      <c r="U48" s="195">
        <f>ROUND(((B48/CE61)*U61),0)</f>
        <v>429787</v>
      </c>
      <c r="V48" s="195">
        <f>ROUND(((B48/CE61)*V61),0)</f>
        <v>0</v>
      </c>
      <c r="W48" s="195">
        <f>ROUND(((B48/CE61)*W61),0)</f>
        <v>26106</v>
      </c>
      <c r="X48" s="195">
        <f>ROUND(((B48/CE61)*X61),0)</f>
        <v>36565</v>
      </c>
      <c r="Y48" s="195">
        <f>ROUND(((B48/CE61)*Y61),0)</f>
        <v>474461</v>
      </c>
      <c r="Z48" s="195">
        <f>ROUND(((B48/CE61)*Z61),0)</f>
        <v>0</v>
      </c>
      <c r="AA48" s="195">
        <f>ROUND(((B48/CE61)*AA61),0)</f>
        <v>21486</v>
      </c>
      <c r="AB48" s="195">
        <f>ROUND(((B48/CE61)*AB61),0)</f>
        <v>262668</v>
      </c>
      <c r="AC48" s="195">
        <f>ROUND(((B48/CE61)*AC61),0)</f>
        <v>119517</v>
      </c>
      <c r="AD48" s="195">
        <f>ROUND(((B48/CE61)*AD61),0)</f>
        <v>0</v>
      </c>
      <c r="AE48" s="195">
        <f>ROUND(((B48/CE61)*AE61),0)</f>
        <v>126936</v>
      </c>
      <c r="AF48" s="195">
        <f>ROUND(((B48/CE61)*AF61),0)</f>
        <v>0</v>
      </c>
      <c r="AG48" s="195">
        <f>ROUND(((B48/CE61)*AG61),0)</f>
        <v>746338</v>
      </c>
      <c r="AH48" s="195">
        <f>ROUND(((B48/CE61)*AH61),0)</f>
        <v>0</v>
      </c>
      <c r="AI48" s="195">
        <f>ROUND(((B48/CE61)*AI61),0)</f>
        <v>207296</v>
      </c>
      <c r="AJ48" s="195">
        <f>ROUND(((B48/CE61)*AJ61),0)</f>
        <v>1747000</v>
      </c>
      <c r="AK48" s="195">
        <f>ROUND(((B48/CE61)*AK61),0)</f>
        <v>24483</v>
      </c>
      <c r="AL48" s="195">
        <f>ROUND(((B48/CE61)*AL61),0)</f>
        <v>2186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158015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25691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201070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298409</v>
      </c>
      <c r="BC48" s="195">
        <f>ROUND(((B48/CE61)*BC61),0)</f>
        <v>0</v>
      </c>
      <c r="BD48" s="195">
        <f>ROUND(((B48/CE61)*BD61),0)</f>
        <v>81415</v>
      </c>
      <c r="BE48" s="195">
        <f>ROUND(((B48/CE61)*BE61),0)</f>
        <v>273851</v>
      </c>
      <c r="BF48" s="195">
        <f>ROUND(((B48/CE61)*BF61),0)</f>
        <v>256530</v>
      </c>
      <c r="BG48" s="195">
        <f>ROUND(((B48/CE61)*BG61),0)</f>
        <v>0</v>
      </c>
      <c r="BH48" s="195">
        <f>ROUND(((B48/CE61)*BH61),0)</f>
        <v>177115</v>
      </c>
      <c r="BI48" s="195">
        <f>ROUND(((B48/CE61)*BI61),0)</f>
        <v>0</v>
      </c>
      <c r="BJ48" s="195">
        <f>ROUND(((B48/CE61)*BJ61),0)</f>
        <v>95105</v>
      </c>
      <c r="BK48" s="195">
        <f>ROUND(((B48/CE61)*BK61),0)</f>
        <v>165944</v>
      </c>
      <c r="BL48" s="195">
        <f>ROUND(((B48/CE61)*BL61),0)</f>
        <v>173027</v>
      </c>
      <c r="BM48" s="195">
        <f>ROUND(((B48/CE61)*BM61),0)</f>
        <v>35347</v>
      </c>
      <c r="BN48" s="195">
        <f>ROUND(((B48/CE61)*BN61),0)</f>
        <v>348849</v>
      </c>
      <c r="BO48" s="195">
        <f>ROUND(((B48/CE61)*BO61),0)</f>
        <v>19215</v>
      </c>
      <c r="BP48" s="195">
        <f>ROUND(((B48/CE61)*BP61),0)</f>
        <v>40567</v>
      </c>
      <c r="BQ48" s="195">
        <f>ROUND(((B48/CE61)*BQ61),0)</f>
        <v>0</v>
      </c>
      <c r="BR48" s="195">
        <f>ROUND(((B48/CE61)*BR61),0)</f>
        <v>165290</v>
      </c>
      <c r="BS48" s="195">
        <f>ROUND(((B48/CE61)*BS61),0)</f>
        <v>-105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173365</v>
      </c>
      <c r="BW48" s="195">
        <f>ROUND(((B48/CE61)*BW61),0)</f>
        <v>39391</v>
      </c>
      <c r="BX48" s="195">
        <f>ROUND(((B48/CE61)*BX61),0)</f>
        <v>0</v>
      </c>
      <c r="BY48" s="195">
        <f>ROUND(((B48/CE61)*BY61),0)</f>
        <v>91591</v>
      </c>
      <c r="BZ48" s="195">
        <f>ROUND(((B48/CE61)*BZ61),0)</f>
        <v>39076</v>
      </c>
      <c r="CA48" s="195">
        <f>ROUND(((B48/CE61)*CA61),0)</f>
        <v>53218</v>
      </c>
      <c r="CB48" s="195">
        <f>ROUND(((B48/CE61)*CB61),0)</f>
        <v>3860</v>
      </c>
      <c r="CC48" s="195">
        <f>ROUND(((B48/CE61)*CC61),0)</f>
        <v>90653</v>
      </c>
      <c r="CD48" s="195"/>
      <c r="CE48" s="195">
        <f>SUM(C48:CD48)</f>
        <v>10159718</v>
      </c>
    </row>
    <row r="49" spans="1:84" ht="12.6" customHeight="1" x14ac:dyDescent="0.25">
      <c r="A49" s="175" t="s">
        <v>206</v>
      </c>
      <c r="B49" s="195">
        <f>B47+B48</f>
        <v>10159718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4601626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400419</v>
      </c>
      <c r="F52" s="195">
        <f>ROUND((B52/(CE76+CF76)*F76),0)</f>
        <v>253695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196528</v>
      </c>
      <c r="Q52" s="195">
        <f>ROUND((B52/(CE76+CF76)*Q76),0)</f>
        <v>27931</v>
      </c>
      <c r="R52" s="195">
        <f>ROUND((B52/(CE76+CF76)*R76),0)</f>
        <v>3720</v>
      </c>
      <c r="S52" s="195">
        <f>ROUND((B52/(CE76+CF76)*S76),0)</f>
        <v>27191</v>
      </c>
      <c r="T52" s="195">
        <f>ROUND((B52/(CE76+CF76)*T76),0)</f>
        <v>0</v>
      </c>
      <c r="U52" s="195">
        <f>ROUND((B52/(CE76+CF76)*U76),0)</f>
        <v>65035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133032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33034</v>
      </c>
      <c r="AC52" s="195">
        <f>ROUND((B52/(CE76+CF76)*AC76),0)</f>
        <v>16575</v>
      </c>
      <c r="AD52" s="195">
        <f>ROUND((B52/(CE76+CF76)*AD76),0)</f>
        <v>0</v>
      </c>
      <c r="AE52" s="195">
        <f>ROUND((B52/(CE76+CF76)*AE76),0)</f>
        <v>40786</v>
      </c>
      <c r="AF52" s="195">
        <f>ROUND((B52/(CE76+CF76)*AF76),0)</f>
        <v>0</v>
      </c>
      <c r="AG52" s="195">
        <f>ROUND((B52/(CE76+CF76)*AG76),0)</f>
        <v>109464</v>
      </c>
      <c r="AH52" s="195">
        <f>ROUND((B52/(CE76+CF76)*AH76),0)</f>
        <v>0</v>
      </c>
      <c r="AI52" s="195">
        <f>ROUND((B52/(CE76+CF76)*AI76),0)</f>
        <v>77618</v>
      </c>
      <c r="AJ52" s="195">
        <f>ROUND((B52/(CE76+CF76)*AJ76),0)</f>
        <v>1352423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147484</v>
      </c>
      <c r="AZ52" s="195">
        <f>ROUND((B52/(CE76+CF76)*AZ76),0)</f>
        <v>0</v>
      </c>
      <c r="BA52" s="195">
        <f>ROUND((B52/(CE76+CF76)*BA76),0)</f>
        <v>13147</v>
      </c>
      <c r="BB52" s="195">
        <f>ROUND((B52/(CE76+CF76)*BB76),0)</f>
        <v>11706</v>
      </c>
      <c r="BC52" s="195">
        <f>ROUND((B52/(CE76+CF76)*BC76),0)</f>
        <v>0</v>
      </c>
      <c r="BD52" s="195">
        <f>ROUND((B52/(CE76+CF76)*BD76),0)</f>
        <v>94038</v>
      </c>
      <c r="BE52" s="195">
        <f>ROUND((B52/(CE76+CF76)*BE76),0)</f>
        <v>490172</v>
      </c>
      <c r="BF52" s="195">
        <f>ROUND((B52/(CE76+CF76)*BF76),0)</f>
        <v>68444</v>
      </c>
      <c r="BG52" s="195">
        <f>ROUND((B52/(CE76+CF76)*BG76),0)</f>
        <v>0</v>
      </c>
      <c r="BH52" s="195">
        <f>ROUND((B52/(CE76+CF76)*BH76),0)</f>
        <v>71093</v>
      </c>
      <c r="BI52" s="195">
        <f>ROUND((B52/(CE76+CF76)*BI76),0)</f>
        <v>0</v>
      </c>
      <c r="BJ52" s="195">
        <f>ROUND((B52/(CE76+CF76)*BJ76),0)</f>
        <v>29080</v>
      </c>
      <c r="BK52" s="195">
        <f>ROUND((B52/(CE76+CF76)*BK76),0)</f>
        <v>37358</v>
      </c>
      <c r="BL52" s="195">
        <f>ROUND((B52/(CE76+CF76)*BL76),0)</f>
        <v>26548</v>
      </c>
      <c r="BM52" s="195">
        <f>ROUND((B52/(CE76+CF76)*BM76),0)</f>
        <v>0</v>
      </c>
      <c r="BN52" s="195">
        <f>ROUND((B52/(CE76+CF76)*BN76),0)</f>
        <v>572464</v>
      </c>
      <c r="BO52" s="195">
        <f>ROUND((B52/(CE76+CF76)*BO76),0)</f>
        <v>4110</v>
      </c>
      <c r="BP52" s="195">
        <f>ROUND((B52/(CE76+CF76)*BP76),0)</f>
        <v>23373</v>
      </c>
      <c r="BQ52" s="195">
        <f>ROUND((B52/(CE76+CF76)*BQ76),0)</f>
        <v>0</v>
      </c>
      <c r="BR52" s="195">
        <f>ROUND((B52/(CE76+CF76)*BR76),0)</f>
        <v>32742</v>
      </c>
      <c r="BS52" s="195">
        <f>ROUND((B52/(CE76+CF76)*BS76),0)</f>
        <v>17861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32839</v>
      </c>
      <c r="BW52" s="195">
        <f>ROUND((B52/(CE76+CF76)*BW76),0)</f>
        <v>18815</v>
      </c>
      <c r="BX52" s="195">
        <f>ROUND((B52/(CE76+CF76)*BX76),0)</f>
        <v>0</v>
      </c>
      <c r="BY52" s="195">
        <f>ROUND((B52/(CE76+CF76)*BY76),0)</f>
        <v>12057</v>
      </c>
      <c r="BZ52" s="195">
        <f>ROUND((B52/(CE76+CF76)*BZ76),0)</f>
        <v>0</v>
      </c>
      <c r="CA52" s="195">
        <f>ROUND((B52/(CE76+CF76)*CA76),0)</f>
        <v>153561</v>
      </c>
      <c r="CB52" s="195">
        <f>ROUND((B52/(CE76+CF76)*CB76),0)</f>
        <v>2006</v>
      </c>
      <c r="CC52" s="195">
        <f>ROUND((B52/(CE76+CF76)*CC76),0)</f>
        <v>5278</v>
      </c>
      <c r="CD52" s="195"/>
      <c r="CE52" s="195">
        <f>SUM(C52:CD52)</f>
        <v>4601627</v>
      </c>
    </row>
    <row r="53" spans="1:84" ht="12.6" customHeight="1" x14ac:dyDescent="0.25">
      <c r="A53" s="175" t="s">
        <v>206</v>
      </c>
      <c r="B53" s="195">
        <f>B51+B52</f>
        <v>4601626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7220</v>
      </c>
      <c r="F59" s="184">
        <v>1917</v>
      </c>
      <c r="G59" s="184"/>
      <c r="H59" s="184"/>
      <c r="I59" s="184"/>
      <c r="J59" s="184">
        <v>113</v>
      </c>
      <c r="K59" s="184"/>
      <c r="L59" s="184"/>
      <c r="M59" s="184"/>
      <c r="N59" s="184"/>
      <c r="O59" s="184">
        <v>1046</v>
      </c>
      <c r="P59" s="185">
        <v>257353</v>
      </c>
      <c r="Q59" s="185">
        <v>125775</v>
      </c>
      <c r="R59" s="185">
        <v>256944</v>
      </c>
      <c r="S59" s="251"/>
      <c r="T59" s="251"/>
      <c r="U59" s="224">
        <v>464460</v>
      </c>
      <c r="V59" s="185">
        <v>670</v>
      </c>
      <c r="W59" s="185">
        <v>9957</v>
      </c>
      <c r="X59" s="185">
        <v>6233</v>
      </c>
      <c r="Y59" s="185">
        <f>12000+5728+8838+2515</f>
        <v>29081</v>
      </c>
      <c r="Z59" s="185"/>
      <c r="AA59" s="185">
        <v>667</v>
      </c>
      <c r="AB59" s="251"/>
      <c r="AC59" s="185">
        <v>14415</v>
      </c>
      <c r="AD59" s="185"/>
      <c r="AE59" s="185">
        <v>14566</v>
      </c>
      <c r="AF59" s="185"/>
      <c r="AG59" s="185">
        <v>20482</v>
      </c>
      <c r="AH59" s="185"/>
      <c r="AI59" s="185">
        <v>5300</v>
      </c>
      <c r="AJ59" s="185">
        <v>53099</v>
      </c>
      <c r="AK59" s="185"/>
      <c r="AL59" s="185">
        <v>199</v>
      </c>
      <c r="AM59" s="185"/>
      <c r="AN59" s="185"/>
      <c r="AO59" s="185"/>
      <c r="AP59" s="185">
        <v>4719</v>
      </c>
      <c r="AQ59" s="185"/>
      <c r="AR59" s="185"/>
      <c r="AS59" s="185"/>
      <c r="AT59" s="185"/>
      <c r="AU59" s="185"/>
      <c r="AV59" s="251"/>
      <c r="AW59" s="251"/>
      <c r="AX59" s="251"/>
      <c r="AY59" s="185">
        <v>28005</v>
      </c>
      <c r="AZ59" s="185">
        <v>28005</v>
      </c>
      <c r="BA59" s="251"/>
      <c r="BB59" s="251"/>
      <c r="BC59" s="251"/>
      <c r="BD59" s="251"/>
      <c r="BE59" s="185">
        <v>236253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/>
      <c r="D60" s="187"/>
      <c r="E60" s="187">
        <v>40.44</v>
      </c>
      <c r="F60" s="223">
        <v>30.3</v>
      </c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13.22</v>
      </c>
      <c r="Q60" s="221">
        <v>2.8</v>
      </c>
      <c r="R60" s="221">
        <v>7.09</v>
      </c>
      <c r="S60" s="221">
        <v>3.81</v>
      </c>
      <c r="T60" s="221"/>
      <c r="U60" s="221">
        <v>20.010000000000002</v>
      </c>
      <c r="V60" s="221"/>
      <c r="W60" s="221">
        <v>0.99</v>
      </c>
      <c r="X60" s="221">
        <v>1.73</v>
      </c>
      <c r="Y60" s="221">
        <v>16.61</v>
      </c>
      <c r="Z60" s="221"/>
      <c r="AA60" s="221">
        <v>0.57999999999999996</v>
      </c>
      <c r="AB60" s="221">
        <v>8.42</v>
      </c>
      <c r="AC60" s="221">
        <v>5.35</v>
      </c>
      <c r="AD60" s="221"/>
      <c r="AE60" s="221">
        <v>4.7300000000000004</v>
      </c>
      <c r="AF60" s="221"/>
      <c r="AG60" s="221">
        <v>23.11</v>
      </c>
      <c r="AH60" s="221"/>
      <c r="AI60" s="221">
        <v>6.69</v>
      </c>
      <c r="AJ60" s="221">
        <v>65.650000000000006</v>
      </c>
      <c r="AK60" s="221"/>
      <c r="AL60" s="221">
        <v>7.0000000000000007E-2</v>
      </c>
      <c r="AM60" s="221"/>
      <c r="AN60" s="221"/>
      <c r="AO60" s="221"/>
      <c r="AP60" s="221">
        <v>5.14</v>
      </c>
      <c r="AQ60" s="221"/>
      <c r="AR60" s="221"/>
      <c r="AS60" s="221"/>
      <c r="AT60" s="221"/>
      <c r="AU60" s="221"/>
      <c r="AV60" s="221">
        <v>1.84</v>
      </c>
      <c r="AW60" s="221"/>
      <c r="AX60" s="221"/>
      <c r="AY60" s="221">
        <v>16.12</v>
      </c>
      <c r="AZ60" s="221"/>
      <c r="BA60" s="221"/>
      <c r="BB60" s="221">
        <v>10.68</v>
      </c>
      <c r="BC60" s="221"/>
      <c r="BD60" s="221">
        <v>6.37</v>
      </c>
      <c r="BE60" s="221">
        <v>15.42</v>
      </c>
      <c r="BF60" s="221">
        <v>23.5</v>
      </c>
      <c r="BG60" s="221"/>
      <c r="BH60" s="221">
        <v>6.95</v>
      </c>
      <c r="BI60" s="221"/>
      <c r="BJ60" s="221">
        <v>4.51</v>
      </c>
      <c r="BK60" s="221">
        <v>13.77</v>
      </c>
      <c r="BL60" s="221">
        <v>15.44</v>
      </c>
      <c r="BM60" s="221">
        <v>0.9</v>
      </c>
      <c r="BN60" s="221">
        <v>8.24</v>
      </c>
      <c r="BO60" s="221">
        <v>0.55000000000000004</v>
      </c>
      <c r="BP60" s="221">
        <v>3.09</v>
      </c>
      <c r="BQ60" s="221"/>
      <c r="BR60" s="221">
        <v>4.57</v>
      </c>
      <c r="BS60" s="221">
        <v>0.03</v>
      </c>
      <c r="BT60" s="221"/>
      <c r="BU60" s="221"/>
      <c r="BV60" s="221">
        <v>12.06</v>
      </c>
      <c r="BW60" s="221">
        <v>1.1100000000000001</v>
      </c>
      <c r="BX60" s="221"/>
      <c r="BY60" s="221">
        <v>2.59</v>
      </c>
      <c r="BZ60" s="221">
        <v>0.54</v>
      </c>
      <c r="CA60" s="221">
        <v>3.01</v>
      </c>
      <c r="CB60" s="221">
        <v>0.18</v>
      </c>
      <c r="CC60" s="221">
        <v>4.17</v>
      </c>
      <c r="CD60" s="252" t="s">
        <v>221</v>
      </c>
      <c r="CE60" s="254">
        <f t="shared" ref="CE60:CE70" si="0">SUM(C60:CD60)</f>
        <v>412.37999999999994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f>1642759+1991259+376343+461542</f>
        <v>4471903</v>
      </c>
      <c r="F61" s="185">
        <f>3053013+100472</f>
        <v>3153485</v>
      </c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f>1276375</f>
        <v>1276375</v>
      </c>
      <c r="Q61" s="185">
        <f>416322</f>
        <v>416322</v>
      </c>
      <c r="R61" s="185">
        <f>2067573+1426</f>
        <v>2068999</v>
      </c>
      <c r="S61" s="185">
        <f>257076+37954</f>
        <v>295030</v>
      </c>
      <c r="T61" s="185"/>
      <c r="U61" s="185">
        <f>1495773+218753</f>
        <v>1714526</v>
      </c>
      <c r="V61" s="185"/>
      <c r="W61" s="185">
        <f>104145</f>
        <v>104145</v>
      </c>
      <c r="X61" s="185">
        <f>145866</f>
        <v>145866</v>
      </c>
      <c r="Y61" s="185">
        <f>834363+222410+550252+198585-652+87783</f>
        <v>1892741</v>
      </c>
      <c r="Z61" s="185"/>
      <c r="AA61" s="185">
        <f>85713</f>
        <v>85713</v>
      </c>
      <c r="AB61" s="185">
        <f>950122+97724</f>
        <v>1047846</v>
      </c>
      <c r="AC61" s="185">
        <f>471528+5256</f>
        <v>476784</v>
      </c>
      <c r="AD61" s="185"/>
      <c r="AE61" s="185">
        <f>506380</f>
        <v>506380</v>
      </c>
      <c r="AF61" s="185"/>
      <c r="AG61" s="185">
        <f>332726+2268219+1253+375129</f>
        <v>2977327</v>
      </c>
      <c r="AH61" s="185"/>
      <c r="AI61" s="185">
        <f>826954</f>
        <v>826954</v>
      </c>
      <c r="AJ61" s="185">
        <f>1659045+706532+462711+260167+1029137+1069885+57471-880+529614+277770+38490+317068+470348+87702+4154</f>
        <v>6969214</v>
      </c>
      <c r="AK61" s="185">
        <f>81803+15864</f>
        <v>97667</v>
      </c>
      <c r="AL61" s="185">
        <f>8722</f>
        <v>8722</v>
      </c>
      <c r="AM61" s="185"/>
      <c r="AN61" s="185"/>
      <c r="AO61" s="185"/>
      <c r="AP61" s="185">
        <f>471564+158796</f>
        <v>630360</v>
      </c>
      <c r="AQ61" s="185"/>
      <c r="AR61" s="185"/>
      <c r="AS61" s="185"/>
      <c r="AT61" s="185"/>
      <c r="AU61" s="185"/>
      <c r="AV61" s="185">
        <f>102488</f>
        <v>102488</v>
      </c>
      <c r="AW61" s="185"/>
      <c r="AX61" s="185"/>
      <c r="AY61" s="185">
        <f>788183+13935</f>
        <v>802118</v>
      </c>
      <c r="AZ61" s="185"/>
      <c r="BA61" s="185"/>
      <c r="BB61" s="185">
        <f>966257+134993+89178</f>
        <v>1190428</v>
      </c>
      <c r="BC61" s="185"/>
      <c r="BD61" s="185">
        <f>324784</f>
        <v>324784</v>
      </c>
      <c r="BE61" s="185">
        <f>623570+88750+376850+3291</f>
        <v>1092461</v>
      </c>
      <c r="BF61" s="185">
        <f>997512+25849</f>
        <v>1023361</v>
      </c>
      <c r="BG61" s="185"/>
      <c r="BH61" s="185">
        <f>706557</f>
        <v>706557</v>
      </c>
      <c r="BI61" s="185"/>
      <c r="BJ61" s="185">
        <f>361632+17765</f>
        <v>379397</v>
      </c>
      <c r="BK61" s="185">
        <f>661991</f>
        <v>661991</v>
      </c>
      <c r="BL61" s="185">
        <f>690249</f>
        <v>690249</v>
      </c>
      <c r="BM61" s="185">
        <f>8592+132414</f>
        <v>141006</v>
      </c>
      <c r="BN61" s="185">
        <f>1090490+233583+35945+31629</f>
        <v>1391647</v>
      </c>
      <c r="BO61" s="185">
        <f>71248+5406</f>
        <v>76654</v>
      </c>
      <c r="BP61" s="185">
        <f>161832</f>
        <v>161832</v>
      </c>
      <c r="BQ61" s="185"/>
      <c r="BR61" s="185">
        <f>504438+154944</f>
        <v>659382</v>
      </c>
      <c r="BS61" s="185">
        <f>-418</f>
        <v>-418</v>
      </c>
      <c r="BT61" s="185"/>
      <c r="BU61" s="185"/>
      <c r="BV61" s="185">
        <f>691596</f>
        <v>691596</v>
      </c>
      <c r="BW61" s="185">
        <f>80720+76422</f>
        <v>157142</v>
      </c>
      <c r="BX61" s="185"/>
      <c r="BY61" s="185">
        <f>365378</f>
        <v>365378</v>
      </c>
      <c r="BZ61" s="185">
        <f>155883</f>
        <v>155883</v>
      </c>
      <c r="CA61" s="185">
        <f>212301</f>
        <v>212301</v>
      </c>
      <c r="CB61" s="185">
        <f>15400</f>
        <v>15400</v>
      </c>
      <c r="CC61" s="185">
        <f>360211-491+1917</f>
        <v>361637</v>
      </c>
      <c r="CD61" s="252" t="s">
        <v>221</v>
      </c>
      <c r="CE61" s="195">
        <f t="shared" si="0"/>
        <v>40529633</v>
      </c>
      <c r="CF61" s="25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1120989</v>
      </c>
      <c r="F62" s="195">
        <f t="shared" si="1"/>
        <v>790496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319954</v>
      </c>
      <c r="Q62" s="195">
        <f t="shared" si="1"/>
        <v>104361</v>
      </c>
      <c r="R62" s="195">
        <f t="shared" si="1"/>
        <v>518644</v>
      </c>
      <c r="S62" s="195">
        <f t="shared" si="1"/>
        <v>73956</v>
      </c>
      <c r="T62" s="195">
        <f t="shared" si="1"/>
        <v>0</v>
      </c>
      <c r="U62" s="195">
        <f t="shared" si="1"/>
        <v>429787</v>
      </c>
      <c r="V62" s="195">
        <f t="shared" si="1"/>
        <v>0</v>
      </c>
      <c r="W62" s="195">
        <f t="shared" si="1"/>
        <v>26106</v>
      </c>
      <c r="X62" s="195">
        <f t="shared" si="1"/>
        <v>36565</v>
      </c>
      <c r="Y62" s="195">
        <f t="shared" si="1"/>
        <v>474461</v>
      </c>
      <c r="Z62" s="195">
        <f t="shared" si="1"/>
        <v>0</v>
      </c>
      <c r="AA62" s="195">
        <f t="shared" si="1"/>
        <v>21486</v>
      </c>
      <c r="AB62" s="195">
        <f t="shared" si="1"/>
        <v>262668</v>
      </c>
      <c r="AC62" s="195">
        <f t="shared" si="1"/>
        <v>119517</v>
      </c>
      <c r="AD62" s="195">
        <f t="shared" si="1"/>
        <v>0</v>
      </c>
      <c r="AE62" s="195">
        <f t="shared" si="1"/>
        <v>126936</v>
      </c>
      <c r="AF62" s="195">
        <f t="shared" si="1"/>
        <v>0</v>
      </c>
      <c r="AG62" s="195">
        <f t="shared" si="1"/>
        <v>746338</v>
      </c>
      <c r="AH62" s="195">
        <f t="shared" si="1"/>
        <v>0</v>
      </c>
      <c r="AI62" s="195">
        <f t="shared" si="1"/>
        <v>207296</v>
      </c>
      <c r="AJ62" s="195">
        <f t="shared" si="1"/>
        <v>1747000</v>
      </c>
      <c r="AK62" s="195">
        <f t="shared" si="1"/>
        <v>24483</v>
      </c>
      <c r="AL62" s="195">
        <f t="shared" si="1"/>
        <v>2186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158015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25691</v>
      </c>
      <c r="AW62" s="195">
        <f t="shared" si="1"/>
        <v>0</v>
      </c>
      <c r="AX62" s="195">
        <f t="shared" si="1"/>
        <v>0</v>
      </c>
      <c r="AY62" s="195">
        <f>ROUND(AY47+AY48,0)</f>
        <v>201070</v>
      </c>
      <c r="AZ62" s="195">
        <f>ROUND(AZ47+AZ48,0)</f>
        <v>0</v>
      </c>
      <c r="BA62" s="195">
        <f>ROUND(BA47+BA48,0)</f>
        <v>0</v>
      </c>
      <c r="BB62" s="195">
        <f t="shared" si="1"/>
        <v>298409</v>
      </c>
      <c r="BC62" s="195">
        <f t="shared" si="1"/>
        <v>0</v>
      </c>
      <c r="BD62" s="195">
        <f t="shared" si="1"/>
        <v>81415</v>
      </c>
      <c r="BE62" s="195">
        <f t="shared" si="1"/>
        <v>273851</v>
      </c>
      <c r="BF62" s="195">
        <f t="shared" si="1"/>
        <v>256530</v>
      </c>
      <c r="BG62" s="195">
        <f t="shared" si="1"/>
        <v>0</v>
      </c>
      <c r="BH62" s="195">
        <f t="shared" si="1"/>
        <v>177115</v>
      </c>
      <c r="BI62" s="195">
        <f t="shared" si="1"/>
        <v>0</v>
      </c>
      <c r="BJ62" s="195">
        <f t="shared" si="1"/>
        <v>95105</v>
      </c>
      <c r="BK62" s="195">
        <f t="shared" si="1"/>
        <v>165944</v>
      </c>
      <c r="BL62" s="195">
        <f t="shared" si="1"/>
        <v>173027</v>
      </c>
      <c r="BM62" s="195">
        <f t="shared" si="1"/>
        <v>35347</v>
      </c>
      <c r="BN62" s="195">
        <f t="shared" si="1"/>
        <v>348849</v>
      </c>
      <c r="BO62" s="195">
        <f t="shared" ref="BO62:CC62" si="2">ROUND(BO47+BO48,0)</f>
        <v>19215</v>
      </c>
      <c r="BP62" s="195">
        <f t="shared" si="2"/>
        <v>40567</v>
      </c>
      <c r="BQ62" s="195">
        <f t="shared" si="2"/>
        <v>0</v>
      </c>
      <c r="BR62" s="195">
        <f t="shared" si="2"/>
        <v>165290</v>
      </c>
      <c r="BS62" s="195">
        <f t="shared" si="2"/>
        <v>-105</v>
      </c>
      <c r="BT62" s="195">
        <f t="shared" si="2"/>
        <v>0</v>
      </c>
      <c r="BU62" s="195">
        <f t="shared" si="2"/>
        <v>0</v>
      </c>
      <c r="BV62" s="195">
        <f t="shared" si="2"/>
        <v>173365</v>
      </c>
      <c r="BW62" s="195">
        <f t="shared" si="2"/>
        <v>39391</v>
      </c>
      <c r="BX62" s="195">
        <f t="shared" si="2"/>
        <v>0</v>
      </c>
      <c r="BY62" s="195">
        <f t="shared" si="2"/>
        <v>91591</v>
      </c>
      <c r="BZ62" s="195">
        <f t="shared" si="2"/>
        <v>39076</v>
      </c>
      <c r="CA62" s="195">
        <f t="shared" si="2"/>
        <v>53218</v>
      </c>
      <c r="CB62" s="195">
        <f t="shared" si="2"/>
        <v>3860</v>
      </c>
      <c r="CC62" s="195">
        <f t="shared" si="2"/>
        <v>90653</v>
      </c>
      <c r="CD62" s="252" t="s">
        <v>221</v>
      </c>
      <c r="CE62" s="195">
        <f t="shared" si="0"/>
        <v>10159718</v>
      </c>
      <c r="CF62" s="255"/>
    </row>
    <row r="63" spans="1:84" ht="12.6" customHeight="1" x14ac:dyDescent="0.25">
      <c r="A63" s="171" t="s">
        <v>236</v>
      </c>
      <c r="B63" s="175"/>
      <c r="C63" s="184"/>
      <c r="D63" s="184"/>
      <c r="E63" s="184">
        <f>547732</f>
        <v>547732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f>18625</f>
        <v>18625</v>
      </c>
      <c r="Q63" s="185">
        <f>271542</f>
        <v>271542</v>
      </c>
      <c r="R63" s="185">
        <f>76477+11500+25350+36025</f>
        <v>149352</v>
      </c>
      <c r="S63" s="185"/>
      <c r="T63" s="185"/>
      <c r="U63" s="185">
        <f>7175+4100</f>
        <v>11275</v>
      </c>
      <c r="V63" s="185"/>
      <c r="W63" s="185">
        <f>504</f>
        <v>504</v>
      </c>
      <c r="X63" s="185"/>
      <c r="Y63" s="185">
        <f>40171+16699+294</f>
        <v>57164</v>
      </c>
      <c r="Z63" s="185"/>
      <c r="AA63" s="185">
        <f>3719</f>
        <v>3719</v>
      </c>
      <c r="AB63" s="185">
        <f>65567+43071</f>
        <v>108638</v>
      </c>
      <c r="AC63" s="185"/>
      <c r="AD63" s="185"/>
      <c r="AE63" s="185"/>
      <c r="AF63" s="185"/>
      <c r="AG63" s="185">
        <f>2244145</f>
        <v>2244145</v>
      </c>
      <c r="AH63" s="185"/>
      <c r="AI63" s="185"/>
      <c r="AJ63" s="185">
        <f>195804+475810+37000+174097+476+24227</f>
        <v>907414</v>
      </c>
      <c r="AK63" s="185"/>
      <c r="AL63" s="185"/>
      <c r="AM63" s="185"/>
      <c r="AN63" s="185"/>
      <c r="AO63" s="185"/>
      <c r="AP63" s="185">
        <f>1813</f>
        <v>1813</v>
      </c>
      <c r="AQ63" s="185"/>
      <c r="AR63" s="185"/>
      <c r="AS63" s="185"/>
      <c r="AT63" s="185"/>
      <c r="AU63" s="185"/>
      <c r="AV63" s="185">
        <v>17985</v>
      </c>
      <c r="AW63" s="185"/>
      <c r="AX63" s="185"/>
      <c r="AY63" s="185">
        <f>3</f>
        <v>3</v>
      </c>
      <c r="AZ63" s="185"/>
      <c r="BA63" s="185"/>
      <c r="BB63" s="185">
        <f>558</f>
        <v>558</v>
      </c>
      <c r="BC63" s="185"/>
      <c r="BD63" s="185"/>
      <c r="BE63" s="185">
        <f>7712</f>
        <v>7712</v>
      </c>
      <c r="BF63" s="185"/>
      <c r="BG63" s="185"/>
      <c r="BH63" s="185">
        <f>12102</f>
        <v>12102</v>
      </c>
      <c r="BI63" s="185"/>
      <c r="BJ63" s="185">
        <f>67437</f>
        <v>67437</v>
      </c>
      <c r="BK63" s="185">
        <f>28118+421009</f>
        <v>449127</v>
      </c>
      <c r="BL63" s="185"/>
      <c r="BM63" s="185">
        <f>60137</f>
        <v>60137</v>
      </c>
      <c r="BN63" s="185">
        <f>-64456+470637</f>
        <v>406181</v>
      </c>
      <c r="BO63" s="185"/>
      <c r="BP63" s="185">
        <f>67650</f>
        <v>67650</v>
      </c>
      <c r="BQ63" s="185"/>
      <c r="BR63" s="185">
        <f>89152</f>
        <v>89152</v>
      </c>
      <c r="BS63" s="185"/>
      <c r="BT63" s="185"/>
      <c r="BU63" s="185"/>
      <c r="BV63" s="185">
        <f>4986</f>
        <v>4986</v>
      </c>
      <c r="BW63" s="185">
        <f>6126</f>
        <v>6126</v>
      </c>
      <c r="BX63" s="185"/>
      <c r="BY63" s="185"/>
      <c r="BZ63" s="185"/>
      <c r="CA63" s="185"/>
      <c r="CB63" s="185"/>
      <c r="CC63" s="185">
        <f>15577+52260</f>
        <v>67837</v>
      </c>
      <c r="CD63" s="252" t="s">
        <v>221</v>
      </c>
      <c r="CE63" s="195">
        <f t="shared" si="0"/>
        <v>5578916</v>
      </c>
      <c r="CF63" s="255"/>
    </row>
    <row r="64" spans="1:84" ht="12.6" customHeight="1" x14ac:dyDescent="0.25">
      <c r="A64" s="171" t="s">
        <v>237</v>
      </c>
      <c r="B64" s="175"/>
      <c r="C64" s="184"/>
      <c r="D64" s="184"/>
      <c r="E64" s="185">
        <v>539229</v>
      </c>
      <c r="F64" s="185">
        <v>59664</v>
      </c>
      <c r="G64" s="184"/>
      <c r="H64" s="184"/>
      <c r="I64" s="185"/>
      <c r="J64" s="185"/>
      <c r="K64" s="185"/>
      <c r="L64" s="185"/>
      <c r="M64" s="184"/>
      <c r="N64" s="184"/>
      <c r="O64" s="184">
        <v>179140</v>
      </c>
      <c r="P64" s="185">
        <v>1416596</v>
      </c>
      <c r="Q64" s="185">
        <v>48322</v>
      </c>
      <c r="R64" s="185">
        <v>219324</v>
      </c>
      <c r="S64" s="185">
        <v>3382420</v>
      </c>
      <c r="T64" s="185"/>
      <c r="U64" s="185">
        <v>811761</v>
      </c>
      <c r="V64" s="185">
        <v>4309</v>
      </c>
      <c r="W64" s="185">
        <v>8210</v>
      </c>
      <c r="X64" s="185">
        <v>79358</v>
      </c>
      <c r="Y64" s="185">
        <v>94710</v>
      </c>
      <c r="Z64" s="185"/>
      <c r="AA64" s="185">
        <v>131312</v>
      </c>
      <c r="AB64" s="185">
        <v>2982121</v>
      </c>
      <c r="AC64" s="185">
        <v>39632</v>
      </c>
      <c r="AD64" s="185"/>
      <c r="AE64" s="185">
        <v>10408</v>
      </c>
      <c r="AF64" s="185"/>
      <c r="AG64" s="185">
        <v>255661</v>
      </c>
      <c r="AH64" s="185"/>
      <c r="AI64" s="185">
        <v>118141</v>
      </c>
      <c r="AJ64" s="185">
        <v>592787</v>
      </c>
      <c r="AK64" s="185">
        <v>1693</v>
      </c>
      <c r="AL64" s="185"/>
      <c r="AM64" s="185"/>
      <c r="AN64" s="185"/>
      <c r="AO64" s="185"/>
      <c r="AP64" s="185">
        <v>44261</v>
      </c>
      <c r="AQ64" s="185"/>
      <c r="AR64" s="185"/>
      <c r="AS64" s="185"/>
      <c r="AT64" s="185"/>
      <c r="AU64" s="185"/>
      <c r="AV64" s="185">
        <v>5443</v>
      </c>
      <c r="AW64" s="185"/>
      <c r="AX64" s="185"/>
      <c r="AY64" s="185">
        <v>491965</v>
      </c>
      <c r="AZ64" s="185"/>
      <c r="BA64" s="185">
        <v>418</v>
      </c>
      <c r="BB64" s="185">
        <v>1171</v>
      </c>
      <c r="BC64" s="185"/>
      <c r="BD64" s="185">
        <v>10468</v>
      </c>
      <c r="BE64" s="185">
        <v>38160</v>
      </c>
      <c r="BF64" s="185">
        <v>232749</v>
      </c>
      <c r="BG64" s="185"/>
      <c r="BH64" s="185">
        <v>9330</v>
      </c>
      <c r="BI64" s="185"/>
      <c r="BJ64" s="185">
        <v>8608</v>
      </c>
      <c r="BK64" s="185">
        <v>24450</v>
      </c>
      <c r="BL64" s="185">
        <v>15848</v>
      </c>
      <c r="BM64" s="185">
        <v>-874</v>
      </c>
      <c r="BN64" s="185">
        <v>32605</v>
      </c>
      <c r="BO64" s="185">
        <v>49873</v>
      </c>
      <c r="BP64" s="185">
        <v>12555</v>
      </c>
      <c r="BQ64" s="185"/>
      <c r="BR64" s="185">
        <v>15920</v>
      </c>
      <c r="BS64" s="185">
        <v>1169</v>
      </c>
      <c r="BT64" s="185"/>
      <c r="BU64" s="185"/>
      <c r="BV64" s="185">
        <v>7779</v>
      </c>
      <c r="BW64" s="185">
        <v>9402</v>
      </c>
      <c r="BX64" s="185"/>
      <c r="BY64" s="185">
        <v>12731</v>
      </c>
      <c r="BZ64" s="185"/>
      <c r="CA64" s="185">
        <v>143954</v>
      </c>
      <c r="CB64" s="185">
        <v>1032</v>
      </c>
      <c r="CC64" s="185">
        <v>16676</v>
      </c>
      <c r="CD64" s="252" t="s">
        <v>221</v>
      </c>
      <c r="CE64" s="195">
        <f t="shared" si="0"/>
        <v>12160491</v>
      </c>
      <c r="CF64" s="255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349103+143598</f>
        <v>492701</v>
      </c>
      <c r="BF65" s="185"/>
      <c r="BG65" s="185"/>
      <c r="BH65" s="185">
        <v>144504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2" t="s">
        <v>221</v>
      </c>
      <c r="CE65" s="195">
        <f t="shared" si="0"/>
        <v>637205</v>
      </c>
      <c r="CF65" s="255"/>
    </row>
    <row r="66" spans="1:84" ht="12.6" customHeight="1" x14ac:dyDescent="0.25">
      <c r="A66" s="171" t="s">
        <v>239</v>
      </c>
      <c r="B66" s="175"/>
      <c r="C66" s="184"/>
      <c r="D66" s="184"/>
      <c r="E66" s="184">
        <v>19895</v>
      </c>
      <c r="F66" s="184">
        <v>49858</v>
      </c>
      <c r="G66" s="184"/>
      <c r="H66" s="184"/>
      <c r="I66" s="184"/>
      <c r="J66" s="184"/>
      <c r="K66" s="185"/>
      <c r="L66" s="185"/>
      <c r="M66" s="184"/>
      <c r="N66" s="184"/>
      <c r="O66" s="185">
        <v>123</v>
      </c>
      <c r="P66" s="185">
        <v>113955</v>
      </c>
      <c r="Q66" s="185">
        <v>362</v>
      </c>
      <c r="R66" s="185">
        <v>25000</v>
      </c>
      <c r="S66" s="184">
        <v>84760</v>
      </c>
      <c r="T66" s="184"/>
      <c r="U66" s="185">
        <v>452934</v>
      </c>
      <c r="V66" s="185">
        <v>23289</v>
      </c>
      <c r="W66" s="185">
        <v>140199</v>
      </c>
      <c r="X66" s="185">
        <v>128428</v>
      </c>
      <c r="Y66" s="185">
        <v>535625</v>
      </c>
      <c r="Z66" s="185"/>
      <c r="AA66" s="185">
        <v>23889</v>
      </c>
      <c r="AB66" s="185">
        <v>108825</v>
      </c>
      <c r="AC66" s="185">
        <v>3567</v>
      </c>
      <c r="AD66" s="185"/>
      <c r="AE66" s="185">
        <v>5286</v>
      </c>
      <c r="AF66" s="185"/>
      <c r="AG66" s="185">
        <v>17057</v>
      </c>
      <c r="AH66" s="185"/>
      <c r="AI66" s="185">
        <v>1952</v>
      </c>
      <c r="AJ66" s="185">
        <v>415589</v>
      </c>
      <c r="AK66" s="185">
        <v>266</v>
      </c>
      <c r="AL66" s="185"/>
      <c r="AM66" s="185"/>
      <c r="AN66" s="185"/>
      <c r="AO66" s="185"/>
      <c r="AP66" s="185">
        <v>24299</v>
      </c>
      <c r="AQ66" s="185"/>
      <c r="AR66" s="185"/>
      <c r="AS66" s="185"/>
      <c r="AT66" s="185"/>
      <c r="AU66" s="185"/>
      <c r="AV66" s="185">
        <v>13494</v>
      </c>
      <c r="AW66" s="185"/>
      <c r="AX66" s="185">
        <v>33</v>
      </c>
      <c r="AY66" s="185">
        <v>28253</v>
      </c>
      <c r="AZ66" s="185"/>
      <c r="BA66" s="185">
        <v>278893</v>
      </c>
      <c r="BB66" s="185">
        <v>158503</v>
      </c>
      <c r="BC66" s="185"/>
      <c r="BD66" s="185">
        <v>203998</v>
      </c>
      <c r="BE66" s="185">
        <f>600+801980</f>
        <v>802580</v>
      </c>
      <c r="BF66" s="185">
        <v>20570</v>
      </c>
      <c r="BG66" s="185"/>
      <c r="BH66" s="185">
        <v>1972997</v>
      </c>
      <c r="BI66" s="185"/>
      <c r="BJ66" s="185">
        <v>203143</v>
      </c>
      <c r="BK66" s="185">
        <v>309943</v>
      </c>
      <c r="BL66" s="185">
        <v>5156</v>
      </c>
      <c r="BM66" s="185">
        <v>13167</v>
      </c>
      <c r="BN66" s="185">
        <v>183974</v>
      </c>
      <c r="BO66" s="185">
        <v>3433</v>
      </c>
      <c r="BP66" s="185">
        <v>973</v>
      </c>
      <c r="BQ66" s="185"/>
      <c r="BR66" s="185">
        <v>46267</v>
      </c>
      <c r="BS66" s="185"/>
      <c r="BT66" s="185"/>
      <c r="BU66" s="185"/>
      <c r="BV66" s="185">
        <v>646996</v>
      </c>
      <c r="BW66" s="185">
        <v>42193</v>
      </c>
      <c r="BX66" s="185"/>
      <c r="BY66" s="185">
        <v>457</v>
      </c>
      <c r="BZ66" s="185"/>
      <c r="CA66" s="185">
        <v>77436</v>
      </c>
      <c r="CB66" s="185"/>
      <c r="CC66" s="185">
        <v>40520</v>
      </c>
      <c r="CD66" s="252" t="s">
        <v>221</v>
      </c>
      <c r="CE66" s="195">
        <f t="shared" si="0"/>
        <v>7228137</v>
      </c>
      <c r="CF66" s="255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400419</v>
      </c>
      <c r="F67" s="195">
        <f t="shared" si="3"/>
        <v>253695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196528</v>
      </c>
      <c r="Q67" s="195">
        <f t="shared" si="3"/>
        <v>27931</v>
      </c>
      <c r="R67" s="195">
        <f t="shared" si="3"/>
        <v>3720</v>
      </c>
      <c r="S67" s="195">
        <f t="shared" si="3"/>
        <v>27191</v>
      </c>
      <c r="T67" s="195">
        <f t="shared" si="3"/>
        <v>0</v>
      </c>
      <c r="U67" s="195">
        <f t="shared" si="3"/>
        <v>65035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133032</v>
      </c>
      <c r="Z67" s="195">
        <f t="shared" si="3"/>
        <v>0</v>
      </c>
      <c r="AA67" s="195">
        <f t="shared" si="3"/>
        <v>0</v>
      </c>
      <c r="AB67" s="195">
        <f t="shared" si="3"/>
        <v>33034</v>
      </c>
      <c r="AC67" s="195">
        <f t="shared" si="3"/>
        <v>16575</v>
      </c>
      <c r="AD67" s="195">
        <f t="shared" si="3"/>
        <v>0</v>
      </c>
      <c r="AE67" s="195">
        <f t="shared" si="3"/>
        <v>40786</v>
      </c>
      <c r="AF67" s="195">
        <f t="shared" si="3"/>
        <v>0</v>
      </c>
      <c r="AG67" s="195">
        <f t="shared" si="3"/>
        <v>109464</v>
      </c>
      <c r="AH67" s="195">
        <f t="shared" si="3"/>
        <v>0</v>
      </c>
      <c r="AI67" s="195">
        <f t="shared" si="3"/>
        <v>77618</v>
      </c>
      <c r="AJ67" s="195">
        <f t="shared" si="3"/>
        <v>1352423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147484</v>
      </c>
      <c r="AZ67" s="195">
        <f>ROUND(AZ51+AZ52,0)</f>
        <v>0</v>
      </c>
      <c r="BA67" s="195">
        <f>ROUND(BA51+BA52,0)</f>
        <v>13147</v>
      </c>
      <c r="BB67" s="195">
        <f t="shared" si="3"/>
        <v>11706</v>
      </c>
      <c r="BC67" s="195">
        <f t="shared" si="3"/>
        <v>0</v>
      </c>
      <c r="BD67" s="195">
        <f t="shared" si="3"/>
        <v>94038</v>
      </c>
      <c r="BE67" s="195">
        <f t="shared" si="3"/>
        <v>490172</v>
      </c>
      <c r="BF67" s="195">
        <f t="shared" si="3"/>
        <v>68444</v>
      </c>
      <c r="BG67" s="195">
        <f t="shared" si="3"/>
        <v>0</v>
      </c>
      <c r="BH67" s="195">
        <f t="shared" si="3"/>
        <v>71093</v>
      </c>
      <c r="BI67" s="195">
        <f t="shared" si="3"/>
        <v>0</v>
      </c>
      <c r="BJ67" s="195">
        <f t="shared" si="3"/>
        <v>29080</v>
      </c>
      <c r="BK67" s="195">
        <f t="shared" si="3"/>
        <v>37358</v>
      </c>
      <c r="BL67" s="195">
        <f t="shared" si="3"/>
        <v>26548</v>
      </c>
      <c r="BM67" s="195">
        <f t="shared" si="3"/>
        <v>0</v>
      </c>
      <c r="BN67" s="195">
        <f t="shared" si="3"/>
        <v>572464</v>
      </c>
      <c r="BO67" s="195">
        <f t="shared" si="3"/>
        <v>4110</v>
      </c>
      <c r="BP67" s="195">
        <f t="shared" si="3"/>
        <v>23373</v>
      </c>
      <c r="BQ67" s="195">
        <f t="shared" ref="BQ67:CC67" si="4">ROUND(BQ51+BQ52,0)</f>
        <v>0</v>
      </c>
      <c r="BR67" s="195">
        <f t="shared" si="4"/>
        <v>32742</v>
      </c>
      <c r="BS67" s="195">
        <f t="shared" si="4"/>
        <v>17861</v>
      </c>
      <c r="BT67" s="195">
        <f t="shared" si="4"/>
        <v>0</v>
      </c>
      <c r="BU67" s="195">
        <f t="shared" si="4"/>
        <v>0</v>
      </c>
      <c r="BV67" s="195">
        <f t="shared" si="4"/>
        <v>32839</v>
      </c>
      <c r="BW67" s="195">
        <f t="shared" si="4"/>
        <v>18815</v>
      </c>
      <c r="BX67" s="195">
        <f t="shared" si="4"/>
        <v>0</v>
      </c>
      <c r="BY67" s="195">
        <f t="shared" si="4"/>
        <v>12057</v>
      </c>
      <c r="BZ67" s="195">
        <f t="shared" si="4"/>
        <v>0</v>
      </c>
      <c r="CA67" s="195">
        <f t="shared" si="4"/>
        <v>153561</v>
      </c>
      <c r="CB67" s="195">
        <f t="shared" si="4"/>
        <v>2006</v>
      </c>
      <c r="CC67" s="195">
        <f t="shared" si="4"/>
        <v>5278</v>
      </c>
      <c r="CD67" s="252" t="s">
        <v>221</v>
      </c>
      <c r="CE67" s="195">
        <f t="shared" si="0"/>
        <v>4601627</v>
      </c>
      <c r="CF67" s="255"/>
    </row>
    <row r="68" spans="1:84" ht="12.6" customHeight="1" x14ac:dyDescent="0.25">
      <c r="A68" s="171" t="s">
        <v>240</v>
      </c>
      <c r="B68" s="175"/>
      <c r="C68" s="184"/>
      <c r="D68" s="184"/>
      <c r="E68" s="184">
        <f>10238+10604</f>
        <v>20842</v>
      </c>
      <c r="F68" s="184">
        <v>-2535</v>
      </c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134211</v>
      </c>
      <c r="Q68" s="185">
        <v>-603</v>
      </c>
      <c r="R68" s="185"/>
      <c r="S68" s="185">
        <v>72842</v>
      </c>
      <c r="T68" s="185"/>
      <c r="U68" s="185">
        <v>65265</v>
      </c>
      <c r="V68" s="185"/>
      <c r="W68" s="185">
        <v>352572</v>
      </c>
      <c r="X68" s="185"/>
      <c r="Y68" s="185"/>
      <c r="Z68" s="185"/>
      <c r="AA68" s="185"/>
      <c r="AB68" s="185">
        <v>183825</v>
      </c>
      <c r="AC68" s="185">
        <v>2681</v>
      </c>
      <c r="AD68" s="185"/>
      <c r="AE68" s="185"/>
      <c r="AF68" s="185"/>
      <c r="AG68" s="185"/>
      <c r="AH68" s="185"/>
      <c r="AI68" s="185">
        <v>-1778</v>
      </c>
      <c r="AJ68" s="185">
        <f>435+1409+835-280+636+1188+1668+27000</f>
        <v>32891</v>
      </c>
      <c r="AK68" s="185"/>
      <c r="AL68" s="185"/>
      <c r="AM68" s="185"/>
      <c r="AN68" s="185"/>
      <c r="AO68" s="185"/>
      <c r="AP68" s="185">
        <v>1322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>
        <v>52161</v>
      </c>
      <c r="BE68" s="185">
        <f>14074+918</f>
        <v>14992</v>
      </c>
      <c r="BF68" s="185"/>
      <c r="BG68" s="185"/>
      <c r="BH68" s="185">
        <v>4236</v>
      </c>
      <c r="BI68" s="185"/>
      <c r="BJ68" s="185"/>
      <c r="BK68" s="185"/>
      <c r="BL68" s="185"/>
      <c r="BM68" s="185"/>
      <c r="BN68" s="185"/>
      <c r="BO68" s="185"/>
      <c r="BP68" s="185"/>
      <c r="BQ68" s="185"/>
      <c r="BR68" s="185">
        <v>333</v>
      </c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2" t="s">
        <v>221</v>
      </c>
      <c r="CE68" s="195">
        <f t="shared" si="0"/>
        <v>933257</v>
      </c>
      <c r="CF68" s="255"/>
    </row>
    <row r="69" spans="1:84" ht="12.6" customHeight="1" x14ac:dyDescent="0.25">
      <c r="A69" s="171" t="s">
        <v>241</v>
      </c>
      <c r="B69" s="175"/>
      <c r="C69" s="184"/>
      <c r="D69" s="184"/>
      <c r="E69" s="185">
        <f>239+460-35+1473+870-618</f>
        <v>2389</v>
      </c>
      <c r="F69" s="185">
        <f>13618+1105+300</f>
        <v>15023</v>
      </c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369</v>
      </c>
      <c r="Q69" s="185">
        <v>369</v>
      </c>
      <c r="R69" s="224">
        <f>20264+2905+204</f>
        <v>23373</v>
      </c>
      <c r="S69" s="185">
        <f>99+4141</f>
        <v>4240</v>
      </c>
      <c r="T69" s="184"/>
      <c r="U69" s="185">
        <f>1913+2003+717-180</f>
        <v>4453</v>
      </c>
      <c r="V69" s="185"/>
      <c r="W69" s="184">
        <v>2316</v>
      </c>
      <c r="X69" s="185"/>
      <c r="Y69" s="185">
        <f>1395+73+4676+3+539+903</f>
        <v>7589</v>
      </c>
      <c r="Z69" s="185"/>
      <c r="AA69" s="185">
        <v>6608</v>
      </c>
      <c r="AB69" s="185">
        <f>1294+5492</f>
        <v>6786</v>
      </c>
      <c r="AC69" s="185">
        <f>2898+230</f>
        <v>3128</v>
      </c>
      <c r="AD69" s="185"/>
      <c r="AE69" s="185">
        <f>2546+4626</f>
        <v>7172</v>
      </c>
      <c r="AF69" s="185"/>
      <c r="AG69" s="185">
        <f>7192+995-427+1342+167+5848+327</f>
        <v>15444</v>
      </c>
      <c r="AH69" s="185"/>
      <c r="AI69" s="185">
        <f>1947+180</f>
        <v>2127</v>
      </c>
      <c r="AJ69" s="185">
        <v>97975</v>
      </c>
      <c r="AK69" s="185"/>
      <c r="AL69" s="185"/>
      <c r="AM69" s="185"/>
      <c r="AN69" s="185"/>
      <c r="AO69" s="184"/>
      <c r="AP69" s="185">
        <f>8412+204+1156+1026</f>
        <v>10798</v>
      </c>
      <c r="AQ69" s="184"/>
      <c r="AR69" s="184"/>
      <c r="AS69" s="184"/>
      <c r="AT69" s="184"/>
      <c r="AU69" s="185"/>
      <c r="AV69" s="185">
        <f>4379+430+1329</f>
        <v>6138</v>
      </c>
      <c r="AW69" s="185"/>
      <c r="AX69" s="185"/>
      <c r="AY69" s="185">
        <f>112+551+1780</f>
        <v>2443</v>
      </c>
      <c r="AZ69" s="185"/>
      <c r="BA69" s="185"/>
      <c r="BB69" s="185">
        <f>7571+165+1131</f>
        <v>8867</v>
      </c>
      <c r="BC69" s="185"/>
      <c r="BD69" s="185">
        <f>532+1243</f>
        <v>1775</v>
      </c>
      <c r="BE69" s="185">
        <f>8106+350+1030+3719+232+25</f>
        <v>13462</v>
      </c>
      <c r="BF69" s="185">
        <f>1300+190</f>
        <v>1490</v>
      </c>
      <c r="BG69" s="185"/>
      <c r="BH69" s="224">
        <v>122</v>
      </c>
      <c r="BI69" s="185"/>
      <c r="BJ69" s="185">
        <v>3703</v>
      </c>
      <c r="BK69" s="185">
        <f>234+876+64210</f>
        <v>65320</v>
      </c>
      <c r="BL69" s="185">
        <f>792-88</f>
        <v>704</v>
      </c>
      <c r="BM69" s="185">
        <f>7543+9689+20234</f>
        <v>37466</v>
      </c>
      <c r="BN69" s="185">
        <f>36554+188685+9761+5896+4069-6536+101708+7874+6201+4080+3001+459221+127</f>
        <v>820641</v>
      </c>
      <c r="BO69" s="185"/>
      <c r="BP69" s="185">
        <f>6691+386590+15804+103095+548+403</f>
        <v>513131</v>
      </c>
      <c r="BQ69" s="185">
        <f>5418+10912+394+24247+1633+415+44317</f>
        <v>87336</v>
      </c>
      <c r="BR69" s="185"/>
      <c r="BS69" s="185"/>
      <c r="BT69" s="185"/>
      <c r="BU69" s="185"/>
      <c r="BV69" s="185">
        <f>10717+564</f>
        <v>11281</v>
      </c>
      <c r="BW69" s="185">
        <f>5018+12249+2235</f>
        <v>19502</v>
      </c>
      <c r="BX69" s="185"/>
      <c r="BY69" s="185">
        <f>5574+4016</f>
        <v>9590</v>
      </c>
      <c r="BZ69" s="185"/>
      <c r="CA69" s="185">
        <f>895+20+20</f>
        <v>935</v>
      </c>
      <c r="CB69" s="185">
        <f>199</f>
        <v>199</v>
      </c>
      <c r="CC69" s="185">
        <f>40308+159+2200+1150</f>
        <v>43817</v>
      </c>
      <c r="CD69" s="188">
        <f>-1088+29975+705414-763+150993</f>
        <v>884531</v>
      </c>
      <c r="CE69" s="195">
        <f t="shared" si="0"/>
        <v>2742612</v>
      </c>
      <c r="CF69" s="255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3135605</v>
      </c>
      <c r="CE70" s="195">
        <f t="shared" si="0"/>
        <v>3135605</v>
      </c>
      <c r="CF70" s="255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7123398</v>
      </c>
      <c r="F71" s="195">
        <f t="shared" si="5"/>
        <v>4319686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179263</v>
      </c>
      <c r="P71" s="195">
        <f t="shared" si="5"/>
        <v>3476613</v>
      </c>
      <c r="Q71" s="195">
        <f t="shared" si="5"/>
        <v>868606</v>
      </c>
      <c r="R71" s="195">
        <f t="shared" si="5"/>
        <v>3008412</v>
      </c>
      <c r="S71" s="195">
        <f t="shared" si="5"/>
        <v>3940439</v>
      </c>
      <c r="T71" s="195">
        <f t="shared" si="5"/>
        <v>0</v>
      </c>
      <c r="U71" s="195">
        <f t="shared" si="5"/>
        <v>3555036</v>
      </c>
      <c r="V71" s="195">
        <f t="shared" si="5"/>
        <v>27598</v>
      </c>
      <c r="W71" s="195">
        <f t="shared" si="5"/>
        <v>634052</v>
      </c>
      <c r="X71" s="195">
        <f t="shared" si="5"/>
        <v>390217</v>
      </c>
      <c r="Y71" s="195">
        <f t="shared" si="5"/>
        <v>3195322</v>
      </c>
      <c r="Z71" s="195">
        <f t="shared" si="5"/>
        <v>0</v>
      </c>
      <c r="AA71" s="195">
        <f t="shared" si="5"/>
        <v>272727</v>
      </c>
      <c r="AB71" s="195">
        <f t="shared" si="5"/>
        <v>4733743</v>
      </c>
      <c r="AC71" s="195">
        <f t="shared" si="5"/>
        <v>661884</v>
      </c>
      <c r="AD71" s="195">
        <f t="shared" si="5"/>
        <v>0</v>
      </c>
      <c r="AE71" s="195">
        <f t="shared" si="5"/>
        <v>696968</v>
      </c>
      <c r="AF71" s="195">
        <f t="shared" si="5"/>
        <v>0</v>
      </c>
      <c r="AG71" s="195">
        <f t="shared" si="5"/>
        <v>6365436</v>
      </c>
      <c r="AH71" s="195">
        <f t="shared" si="5"/>
        <v>0</v>
      </c>
      <c r="AI71" s="195">
        <f t="shared" si="5"/>
        <v>1232310</v>
      </c>
      <c r="AJ71" s="195">
        <f t="shared" ref="AJ71:BO71" si="6">SUM(AJ61:AJ69)-AJ70</f>
        <v>12115293</v>
      </c>
      <c r="AK71" s="195">
        <f t="shared" si="6"/>
        <v>124109</v>
      </c>
      <c r="AL71" s="195">
        <f t="shared" si="6"/>
        <v>10908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870868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171239</v>
      </c>
      <c r="AW71" s="195">
        <f t="shared" si="6"/>
        <v>0</v>
      </c>
      <c r="AX71" s="195">
        <f t="shared" si="6"/>
        <v>33</v>
      </c>
      <c r="AY71" s="195">
        <f t="shared" si="6"/>
        <v>1673336</v>
      </c>
      <c r="AZ71" s="195">
        <f t="shared" si="6"/>
        <v>0</v>
      </c>
      <c r="BA71" s="195">
        <f t="shared" si="6"/>
        <v>292458</v>
      </c>
      <c r="BB71" s="195">
        <f t="shared" si="6"/>
        <v>1669642</v>
      </c>
      <c r="BC71" s="195">
        <f t="shared" si="6"/>
        <v>0</v>
      </c>
      <c r="BD71" s="195">
        <f t="shared" si="6"/>
        <v>768639</v>
      </c>
      <c r="BE71" s="195">
        <f t="shared" si="6"/>
        <v>3226091</v>
      </c>
      <c r="BF71" s="195">
        <f t="shared" si="6"/>
        <v>1603144</v>
      </c>
      <c r="BG71" s="195">
        <f t="shared" si="6"/>
        <v>0</v>
      </c>
      <c r="BH71" s="195">
        <f t="shared" si="6"/>
        <v>3098056</v>
      </c>
      <c r="BI71" s="195">
        <f t="shared" si="6"/>
        <v>0</v>
      </c>
      <c r="BJ71" s="195">
        <f t="shared" si="6"/>
        <v>786473</v>
      </c>
      <c r="BK71" s="195">
        <f t="shared" si="6"/>
        <v>1714133</v>
      </c>
      <c r="BL71" s="195">
        <f t="shared" si="6"/>
        <v>911532</v>
      </c>
      <c r="BM71" s="195">
        <f t="shared" si="6"/>
        <v>286249</v>
      </c>
      <c r="BN71" s="195">
        <f t="shared" si="6"/>
        <v>3756361</v>
      </c>
      <c r="BO71" s="195">
        <f t="shared" si="6"/>
        <v>153285</v>
      </c>
      <c r="BP71" s="195">
        <f t="shared" ref="BP71:CC71" si="7">SUM(BP61:BP69)-BP70</f>
        <v>820081</v>
      </c>
      <c r="BQ71" s="195">
        <f t="shared" si="7"/>
        <v>87336</v>
      </c>
      <c r="BR71" s="195">
        <f t="shared" si="7"/>
        <v>1009086</v>
      </c>
      <c r="BS71" s="195">
        <f t="shared" si="7"/>
        <v>18507</v>
      </c>
      <c r="BT71" s="195">
        <f t="shared" si="7"/>
        <v>0</v>
      </c>
      <c r="BU71" s="195">
        <f t="shared" si="7"/>
        <v>0</v>
      </c>
      <c r="BV71" s="195">
        <f t="shared" si="7"/>
        <v>1568842</v>
      </c>
      <c r="BW71" s="195">
        <f t="shared" si="7"/>
        <v>292571</v>
      </c>
      <c r="BX71" s="195">
        <f t="shared" si="7"/>
        <v>0</v>
      </c>
      <c r="BY71" s="195">
        <f t="shared" si="7"/>
        <v>491804</v>
      </c>
      <c r="BZ71" s="195">
        <f t="shared" si="7"/>
        <v>194959</v>
      </c>
      <c r="CA71" s="195">
        <f t="shared" si="7"/>
        <v>641405</v>
      </c>
      <c r="CB71" s="195">
        <f t="shared" si="7"/>
        <v>22497</v>
      </c>
      <c r="CC71" s="195">
        <f t="shared" si="7"/>
        <v>626418</v>
      </c>
      <c r="CD71" s="248">
        <f>CD69-CD70</f>
        <v>-2251074</v>
      </c>
      <c r="CE71" s="195">
        <f>SUM(CE61:CE69)-CE70</f>
        <v>81435991</v>
      </c>
      <c r="CF71" s="255"/>
    </row>
    <row r="72" spans="1:84" ht="12.6" customHeight="1" x14ac:dyDescent="0.2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/>
      <c r="CF72" s="255"/>
    </row>
    <row r="73" spans="1:84" ht="12.6" customHeight="1" x14ac:dyDescent="0.25">
      <c r="A73" s="171" t="s">
        <v>245</v>
      </c>
      <c r="B73" s="175"/>
      <c r="C73" s="184"/>
      <c r="D73" s="184"/>
      <c r="E73" s="185">
        <f>6689668+9440037</f>
        <v>16129705</v>
      </c>
      <c r="F73" s="185">
        <v>4563299</v>
      </c>
      <c r="G73" s="184"/>
      <c r="H73" s="184"/>
      <c r="I73" s="185"/>
      <c r="J73" s="185">
        <v>3453767</v>
      </c>
      <c r="K73" s="185"/>
      <c r="L73" s="185"/>
      <c r="M73" s="184"/>
      <c r="N73" s="184"/>
      <c r="O73" s="184">
        <v>13681796</v>
      </c>
      <c r="P73" s="185">
        <v>12138013</v>
      </c>
      <c r="Q73" s="185">
        <v>2041098</v>
      </c>
      <c r="R73" s="185">
        <f>8723018+822</f>
        <v>8723840</v>
      </c>
      <c r="S73" s="185">
        <v>6366821</v>
      </c>
      <c r="T73" s="185">
        <v>20204</v>
      </c>
      <c r="U73" s="185">
        <f>5713030+115181</f>
        <v>5828211</v>
      </c>
      <c r="V73" s="185">
        <v>54211</v>
      </c>
      <c r="W73" s="185">
        <v>322793</v>
      </c>
      <c r="X73" s="185">
        <v>3474197</v>
      </c>
      <c r="Y73" s="185">
        <f>1088454+813953+474</f>
        <v>1902881</v>
      </c>
      <c r="Z73" s="185"/>
      <c r="AA73" s="185">
        <v>84716</v>
      </c>
      <c r="AB73" s="185">
        <v>7021359</v>
      </c>
      <c r="AC73" s="185">
        <v>2084914</v>
      </c>
      <c r="AD73" s="185"/>
      <c r="AE73" s="185">
        <v>846915</v>
      </c>
      <c r="AF73" s="185"/>
      <c r="AG73" s="185">
        <f>4356859+588098</f>
        <v>4944957</v>
      </c>
      <c r="AH73" s="185"/>
      <c r="AI73" s="185">
        <v>40869</v>
      </c>
      <c r="AJ73" s="185"/>
      <c r="AK73" s="185"/>
      <c r="AL73" s="185">
        <v>8612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93733178</v>
      </c>
      <c r="CF73" s="255"/>
    </row>
    <row r="74" spans="1:84" ht="12.6" customHeight="1" x14ac:dyDescent="0.25">
      <c r="A74" s="171" t="s">
        <v>246</v>
      </c>
      <c r="B74" s="175"/>
      <c r="C74" s="184"/>
      <c r="D74" s="184"/>
      <c r="E74" s="185">
        <f>732581+1131475</f>
        <v>1864056</v>
      </c>
      <c r="F74" s="185">
        <v>108320</v>
      </c>
      <c r="G74" s="184"/>
      <c r="H74" s="184"/>
      <c r="I74" s="184"/>
      <c r="J74" s="185">
        <v>15691</v>
      </c>
      <c r="K74" s="185"/>
      <c r="L74" s="185"/>
      <c r="M74" s="184"/>
      <c r="N74" s="184"/>
      <c r="O74" s="184">
        <v>276184</v>
      </c>
      <c r="P74" s="185">
        <v>27276284</v>
      </c>
      <c r="Q74" s="185">
        <v>4523611</v>
      </c>
      <c r="R74" s="185">
        <f>9092963+375419+90499</f>
        <v>9558881</v>
      </c>
      <c r="S74" s="185">
        <v>4285912</v>
      </c>
      <c r="T74" s="185">
        <v>36912</v>
      </c>
      <c r="U74" s="185">
        <f>8420174+129252</f>
        <v>8549426</v>
      </c>
      <c r="V74" s="185">
        <v>91450</v>
      </c>
      <c r="W74" s="185">
        <v>1887104</v>
      </c>
      <c r="X74" s="185">
        <v>13687296</v>
      </c>
      <c r="Y74" s="185">
        <f>3647917+6067524+891874+2238168</f>
        <v>12845483</v>
      </c>
      <c r="Z74" s="185"/>
      <c r="AA74" s="185">
        <v>350338</v>
      </c>
      <c r="AB74" s="185">
        <v>7803439</v>
      </c>
      <c r="AC74" s="185">
        <v>392633</v>
      </c>
      <c r="AD74" s="185"/>
      <c r="AE74" s="185">
        <v>1143469</v>
      </c>
      <c r="AF74" s="185"/>
      <c r="AG74" s="185">
        <f>25380225+4501361</f>
        <v>29881586</v>
      </c>
      <c r="AH74" s="185"/>
      <c r="AI74" s="185">
        <v>8229081</v>
      </c>
      <c r="AJ74" s="185">
        <f>4636179+2066300+3070520+1014530+1497951</f>
        <v>12285480</v>
      </c>
      <c r="AK74" s="185"/>
      <c r="AL74" s="185">
        <v>8209</v>
      </c>
      <c r="AM74" s="185"/>
      <c r="AN74" s="185"/>
      <c r="AO74" s="185"/>
      <c r="AP74" s="185">
        <v>1011222</v>
      </c>
      <c r="AQ74" s="185"/>
      <c r="AR74" s="185"/>
      <c r="AS74" s="185"/>
      <c r="AT74" s="185"/>
      <c r="AU74" s="185"/>
      <c r="AV74" s="185">
        <v>794471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146906538</v>
      </c>
      <c r="CF74" s="255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17993761</v>
      </c>
      <c r="F75" s="195">
        <f t="shared" si="9"/>
        <v>4671619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3469458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13957980</v>
      </c>
      <c r="P75" s="195">
        <f t="shared" si="9"/>
        <v>39414297</v>
      </c>
      <c r="Q75" s="195">
        <f t="shared" si="9"/>
        <v>6564709</v>
      </c>
      <c r="R75" s="195">
        <f t="shared" si="9"/>
        <v>18282721</v>
      </c>
      <c r="S75" s="195">
        <f t="shared" si="9"/>
        <v>10652733</v>
      </c>
      <c r="T75" s="195">
        <f t="shared" si="9"/>
        <v>57116</v>
      </c>
      <c r="U75" s="195">
        <f t="shared" si="9"/>
        <v>14377637</v>
      </c>
      <c r="V75" s="195">
        <f t="shared" si="9"/>
        <v>145661</v>
      </c>
      <c r="W75" s="195">
        <f t="shared" si="9"/>
        <v>2209897</v>
      </c>
      <c r="X75" s="195">
        <f t="shared" si="9"/>
        <v>17161493</v>
      </c>
      <c r="Y75" s="195">
        <f t="shared" si="9"/>
        <v>14748364</v>
      </c>
      <c r="Z75" s="195">
        <f t="shared" si="9"/>
        <v>0</v>
      </c>
      <c r="AA75" s="195">
        <f t="shared" si="9"/>
        <v>435054</v>
      </c>
      <c r="AB75" s="195">
        <f t="shared" si="9"/>
        <v>14824798</v>
      </c>
      <c r="AC75" s="195">
        <f t="shared" si="9"/>
        <v>2477547</v>
      </c>
      <c r="AD75" s="195">
        <f t="shared" si="9"/>
        <v>0</v>
      </c>
      <c r="AE75" s="195">
        <f t="shared" si="9"/>
        <v>1990384</v>
      </c>
      <c r="AF75" s="195">
        <f t="shared" si="9"/>
        <v>0</v>
      </c>
      <c r="AG75" s="195">
        <f t="shared" si="9"/>
        <v>34826543</v>
      </c>
      <c r="AH75" s="195">
        <f t="shared" si="9"/>
        <v>0</v>
      </c>
      <c r="AI75" s="195">
        <f t="shared" si="9"/>
        <v>8269950</v>
      </c>
      <c r="AJ75" s="195">
        <f t="shared" si="9"/>
        <v>12285480</v>
      </c>
      <c r="AK75" s="195">
        <f t="shared" si="9"/>
        <v>0</v>
      </c>
      <c r="AL75" s="195">
        <f t="shared" si="9"/>
        <v>16821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1011222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794471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240639716</v>
      </c>
      <c r="CF75" s="255"/>
    </row>
    <row r="76" spans="1:84" ht="12.6" customHeight="1" x14ac:dyDescent="0.25">
      <c r="A76" s="171" t="s">
        <v>248</v>
      </c>
      <c r="B76" s="175"/>
      <c r="C76" s="184"/>
      <c r="D76" s="184"/>
      <c r="E76" s="185">
        <v>20558</v>
      </c>
      <c r="F76" s="185">
        <v>13025</v>
      </c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10090</v>
      </c>
      <c r="Q76" s="185">
        <v>1434</v>
      </c>
      <c r="R76" s="185">
        <v>191</v>
      </c>
      <c r="S76" s="185">
        <v>1396</v>
      </c>
      <c r="T76" s="185"/>
      <c r="U76" s="185">
        <v>3339</v>
      </c>
      <c r="V76" s="185"/>
      <c r="W76" s="185"/>
      <c r="X76" s="185"/>
      <c r="Y76" s="185">
        <v>6830</v>
      </c>
      <c r="Z76" s="185"/>
      <c r="AA76" s="185"/>
      <c r="AB76" s="185">
        <v>1696</v>
      </c>
      <c r="AC76" s="185">
        <v>851</v>
      </c>
      <c r="AD76" s="185"/>
      <c r="AE76" s="185">
        <v>2094</v>
      </c>
      <c r="AF76" s="185"/>
      <c r="AG76" s="185">
        <v>5620</v>
      </c>
      <c r="AH76" s="185"/>
      <c r="AI76" s="185">
        <v>3985</v>
      </c>
      <c r="AJ76" s="185">
        <v>69435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7572</v>
      </c>
      <c r="AZ76" s="185"/>
      <c r="BA76" s="185">
        <v>675</v>
      </c>
      <c r="BB76" s="185">
        <v>601</v>
      </c>
      <c r="BC76" s="185"/>
      <c r="BD76" s="185">
        <v>4828</v>
      </c>
      <c r="BE76" s="185">
        <v>25166</v>
      </c>
      <c r="BF76" s="185">
        <v>3514</v>
      </c>
      <c r="BG76" s="185"/>
      <c r="BH76" s="185">
        <v>3650</v>
      </c>
      <c r="BI76" s="185"/>
      <c r="BJ76" s="185">
        <v>1493</v>
      </c>
      <c r="BK76" s="185">
        <v>1918</v>
      </c>
      <c r="BL76" s="185">
        <v>1363</v>
      </c>
      <c r="BM76" s="185"/>
      <c r="BN76" s="185">
        <v>29391</v>
      </c>
      <c r="BO76" s="185">
        <v>211</v>
      </c>
      <c r="BP76" s="185">
        <v>1200</v>
      </c>
      <c r="BQ76" s="185"/>
      <c r="BR76" s="185">
        <v>1681</v>
      </c>
      <c r="BS76" s="185">
        <v>917</v>
      </c>
      <c r="BT76" s="185"/>
      <c r="BU76" s="185"/>
      <c r="BV76" s="185">
        <v>1686</v>
      </c>
      <c r="BW76" s="185">
        <v>966</v>
      </c>
      <c r="BX76" s="185"/>
      <c r="BY76" s="185">
        <v>619</v>
      </c>
      <c r="BZ76" s="185"/>
      <c r="CA76" s="185">
        <v>7884</v>
      </c>
      <c r="CB76" s="185">
        <v>103</v>
      </c>
      <c r="CC76" s="185">
        <v>271</v>
      </c>
      <c r="CD76" s="252" t="s">
        <v>221</v>
      </c>
      <c r="CE76" s="195">
        <f t="shared" si="8"/>
        <v>236253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20943</v>
      </c>
      <c r="F77" s="184">
        <v>5946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604</v>
      </c>
      <c r="AH77" s="184"/>
      <c r="AI77" s="184">
        <v>512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/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28005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20185</v>
      </c>
      <c r="F78" s="184">
        <v>12789</v>
      </c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9907</v>
      </c>
      <c r="Q78" s="184">
        <v>1408</v>
      </c>
      <c r="R78" s="184">
        <v>188</v>
      </c>
      <c r="S78" s="184">
        <v>1370</v>
      </c>
      <c r="T78" s="184"/>
      <c r="U78" s="184">
        <v>3278</v>
      </c>
      <c r="V78" s="184"/>
      <c r="W78" s="184"/>
      <c r="X78" s="184"/>
      <c r="Y78" s="184">
        <v>6706</v>
      </c>
      <c r="Z78" s="184"/>
      <c r="AA78" s="184"/>
      <c r="AB78" s="184">
        <v>1665</v>
      </c>
      <c r="AC78" s="184">
        <v>836</v>
      </c>
      <c r="AD78" s="184"/>
      <c r="AE78" s="184">
        <v>2056</v>
      </c>
      <c r="AF78" s="184"/>
      <c r="AG78" s="184">
        <v>5518</v>
      </c>
      <c r="AH78" s="184"/>
      <c r="AI78" s="184">
        <v>3912</v>
      </c>
      <c r="AJ78" s="184">
        <v>68174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2" t="s">
        <v>221</v>
      </c>
      <c r="AY78" s="252" t="s">
        <v>221</v>
      </c>
      <c r="AZ78" s="252" t="s">
        <v>221</v>
      </c>
      <c r="BA78" s="184">
        <v>662</v>
      </c>
      <c r="BB78" s="184">
        <v>590</v>
      </c>
      <c r="BC78" s="184"/>
      <c r="BD78" s="252" t="s">
        <v>221</v>
      </c>
      <c r="BE78" s="252" t="s">
        <v>221</v>
      </c>
      <c r="BF78" s="252" t="s">
        <v>221</v>
      </c>
      <c r="BG78" s="252" t="s">
        <v>221</v>
      </c>
      <c r="BH78" s="184">
        <v>3584</v>
      </c>
      <c r="BI78" s="184"/>
      <c r="BJ78" s="252" t="s">
        <v>221</v>
      </c>
      <c r="BK78" s="184">
        <v>1884</v>
      </c>
      <c r="BL78" s="184">
        <v>1338</v>
      </c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>
        <v>900</v>
      </c>
      <c r="BT78" s="184"/>
      <c r="BU78" s="184"/>
      <c r="BV78" s="184">
        <v>1656</v>
      </c>
      <c r="BW78" s="184">
        <v>949</v>
      </c>
      <c r="BX78" s="184"/>
      <c r="BY78" s="184">
        <v>608</v>
      </c>
      <c r="BZ78" s="184"/>
      <c r="CA78" s="184">
        <v>7741</v>
      </c>
      <c r="CB78" s="184">
        <v>101</v>
      </c>
      <c r="CC78" s="252" t="s">
        <v>221</v>
      </c>
      <c r="CD78" s="252" t="s">
        <v>221</v>
      </c>
      <c r="CE78" s="195">
        <f t="shared" si="8"/>
        <v>158005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101591</v>
      </c>
      <c r="F79" s="184">
        <v>74936.27</v>
      </c>
      <c r="G79" s="184"/>
      <c r="H79" s="184"/>
      <c r="I79" s="184"/>
      <c r="J79" s="184"/>
      <c r="K79" s="184"/>
      <c r="L79" s="184"/>
      <c r="M79" s="184"/>
      <c r="N79" s="184">
        <v>3418</v>
      </c>
      <c r="O79" s="184"/>
      <c r="P79" s="184">
        <v>28887</v>
      </c>
      <c r="Q79" s="184">
        <v>6636</v>
      </c>
      <c r="R79" s="184"/>
      <c r="S79" s="184">
        <v>1258</v>
      </c>
      <c r="T79" s="184"/>
      <c r="U79" s="184">
        <v>478</v>
      </c>
      <c r="V79" s="184"/>
      <c r="W79" s="184"/>
      <c r="X79" s="184">
        <v>10827</v>
      </c>
      <c r="Y79" s="184">
        <v>20943</v>
      </c>
      <c r="Z79" s="184"/>
      <c r="AA79" s="184">
        <v>695</v>
      </c>
      <c r="AB79" s="184"/>
      <c r="AC79" s="184"/>
      <c r="AD79" s="184"/>
      <c r="AE79" s="184">
        <v>512</v>
      </c>
      <c r="AF79" s="184"/>
      <c r="AG79" s="184">
        <v>102617</v>
      </c>
      <c r="AH79" s="184"/>
      <c r="AI79" s="184">
        <v>18003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 t="s">
        <v>221</v>
      </c>
      <c r="AY79" s="252" t="s">
        <v>221</v>
      </c>
      <c r="AZ79" s="252" t="s">
        <v>221</v>
      </c>
      <c r="BA79" s="252" t="s">
        <v>221</v>
      </c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/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8"/>
        <v>370801.27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38.42</v>
      </c>
      <c r="F80" s="187">
        <v>23.53</v>
      </c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5.35</v>
      </c>
      <c r="Q80" s="187">
        <v>2.94</v>
      </c>
      <c r="R80" s="187">
        <v>7.64</v>
      </c>
      <c r="S80" s="187">
        <v>0</v>
      </c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21.99</v>
      </c>
      <c r="AH80" s="187"/>
      <c r="AI80" s="187">
        <v>7.06</v>
      </c>
      <c r="AJ80" s="187">
        <v>10.69</v>
      </c>
      <c r="AK80" s="187"/>
      <c r="AL80" s="187"/>
      <c r="AM80" s="187"/>
      <c r="AN80" s="187"/>
      <c r="AO80" s="187"/>
      <c r="AP80" s="187">
        <v>1.75</v>
      </c>
      <c r="AQ80" s="187"/>
      <c r="AR80" s="187"/>
      <c r="AS80" s="187"/>
      <c r="AT80" s="187"/>
      <c r="AU80" s="187"/>
      <c r="AV80" s="187">
        <v>0.01</v>
      </c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119.38</v>
      </c>
      <c r="CF80" s="258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9" t="s">
        <v>1270</v>
      </c>
      <c r="D82" s="259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1271</v>
      </c>
      <c r="D83" s="259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" customHeight="1" x14ac:dyDescent="0.25">
      <c r="A85" s="173" t="s">
        <v>1251</v>
      </c>
      <c r="B85" s="172"/>
      <c r="C85" s="274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1281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1274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1279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1278</v>
      </c>
      <c r="D92" s="259"/>
      <c r="E92" s="175"/>
    </row>
    <row r="93" spans="1:5" ht="12.6" customHeight="1" x14ac:dyDescent="0.25">
      <c r="A93" s="173" t="s">
        <v>264</v>
      </c>
      <c r="B93" s="172" t="s">
        <v>256</v>
      </c>
      <c r="C93" s="273" t="s">
        <v>1280</v>
      </c>
      <c r="D93" s="259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60" t="s">
        <v>266</v>
      </c>
      <c r="B96" s="260"/>
      <c r="C96" s="260"/>
      <c r="D96" s="260"/>
      <c r="E96" s="260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>
        <v>1</v>
      </c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60" t="s">
        <v>269</v>
      </c>
      <c r="B100" s="260"/>
      <c r="C100" s="260"/>
      <c r="D100" s="260"/>
      <c r="E100" s="260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60" t="s">
        <v>271</v>
      </c>
      <c r="B103" s="260"/>
      <c r="C103" s="260"/>
      <c r="D103" s="260"/>
      <c r="E103" s="260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3172</v>
      </c>
      <c r="D111" s="174">
        <v>9391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1051</v>
      </c>
      <c r="D114" s="174">
        <v>1674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12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11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23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46</v>
      </c>
    </row>
    <row r="128" spans="1:5" ht="12.6" customHeight="1" x14ac:dyDescent="0.25">
      <c r="A128" s="173" t="s">
        <v>292</v>
      </c>
      <c r="B128" s="172" t="s">
        <v>256</v>
      </c>
      <c r="C128" s="189">
        <v>50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1109</v>
      </c>
      <c r="C138" s="189">
        <v>1055</v>
      </c>
      <c r="D138" s="174">
        <v>1008</v>
      </c>
      <c r="E138" s="175">
        <f>SUM(B138:D138)</f>
        <v>3172</v>
      </c>
    </row>
    <row r="139" spans="1:6" ht="12.6" customHeight="1" x14ac:dyDescent="0.25">
      <c r="A139" s="173" t="s">
        <v>215</v>
      </c>
      <c r="B139" s="174">
        <v>4570</v>
      </c>
      <c r="C139" s="189">
        <v>2515</v>
      </c>
      <c r="D139" s="174">
        <v>2306</v>
      </c>
      <c r="E139" s="175">
        <f>SUM(B139:D139)</f>
        <v>9391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38210288</v>
      </c>
      <c r="C141" s="189">
        <v>28687383</v>
      </c>
      <c r="D141" s="174">
        <v>26835510</v>
      </c>
      <c r="E141" s="175">
        <f>SUM(B141:D141)</f>
        <v>93733181</v>
      </c>
      <c r="F141" s="199"/>
    </row>
    <row r="142" spans="1:6" ht="12.6" customHeight="1" x14ac:dyDescent="0.25">
      <c r="A142" s="173" t="s">
        <v>246</v>
      </c>
      <c r="B142" s="174">
        <v>35519903</v>
      </c>
      <c r="C142" s="189">
        <v>44207722</v>
      </c>
      <c r="D142" s="174">
        <v>53882535</v>
      </c>
      <c r="E142" s="175">
        <f>SUM(B142:D142)</f>
        <v>133610160</v>
      </c>
      <c r="F142" s="199"/>
    </row>
    <row r="143" spans="1:6" ht="12.6" customHeight="1" x14ac:dyDescent="0.2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60" t="s">
        <v>306</v>
      </c>
      <c r="B164" s="260"/>
      <c r="C164" s="260"/>
      <c r="D164" s="260"/>
      <c r="E164" s="260"/>
    </row>
    <row r="165" spans="1:5" ht="11.4" customHeight="1" x14ac:dyDescent="0.25">
      <c r="A165" s="173" t="s">
        <v>307</v>
      </c>
      <c r="B165" s="172" t="s">
        <v>256</v>
      </c>
      <c r="C165" s="189">
        <v>2627815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62378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517167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4547015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67024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2274988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63335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10159722</v>
      </c>
      <c r="E173" s="175"/>
    </row>
    <row r="174" spans="1:5" ht="11.4" customHeight="1" x14ac:dyDescent="0.25">
      <c r="A174" s="260" t="s">
        <v>314</v>
      </c>
      <c r="B174" s="260"/>
      <c r="C174" s="260"/>
      <c r="D174" s="260"/>
      <c r="E174" s="260"/>
    </row>
    <row r="175" spans="1:5" ht="11.4" customHeight="1" x14ac:dyDescent="0.25">
      <c r="A175" s="173" t="s">
        <v>315</v>
      </c>
      <c r="B175" s="172" t="s">
        <v>256</v>
      </c>
      <c r="C175" s="189">
        <v>11074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922183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933257</v>
      </c>
      <c r="E177" s="175"/>
    </row>
    <row r="178" spans="1:5" ht="11.4" customHeight="1" x14ac:dyDescent="0.25">
      <c r="A178" s="260" t="s">
        <v>317</v>
      </c>
      <c r="B178" s="260"/>
      <c r="C178" s="260"/>
      <c r="D178" s="260"/>
      <c r="E178" s="260"/>
    </row>
    <row r="179" spans="1:5" ht="11.4" customHeight="1" x14ac:dyDescent="0.25">
      <c r="A179" s="173" t="s">
        <v>318</v>
      </c>
      <c r="B179" s="172" t="s">
        <v>256</v>
      </c>
      <c r="C179" s="189">
        <v>385179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95679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480858</v>
      </c>
      <c r="E181" s="175"/>
    </row>
    <row r="182" spans="1:5" ht="11.4" customHeight="1" x14ac:dyDescent="0.25">
      <c r="A182" s="260" t="s">
        <v>320</v>
      </c>
      <c r="B182" s="260"/>
      <c r="C182" s="260"/>
      <c r="D182" s="260"/>
      <c r="E182" s="260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0</v>
      </c>
      <c r="E186" s="175"/>
    </row>
    <row r="187" spans="1:5" ht="11.4" customHeight="1" x14ac:dyDescent="0.25">
      <c r="A187" s="260" t="s">
        <v>323</v>
      </c>
      <c r="B187" s="260"/>
      <c r="C187" s="260"/>
      <c r="D187" s="260"/>
      <c r="E187" s="260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334497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334497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932777</v>
      </c>
      <c r="C195" s="189"/>
      <c r="D195" s="174"/>
      <c r="E195" s="175">
        <f t="shared" ref="E195:E203" si="10">SUM(B195:C195)-D195</f>
        <v>932777</v>
      </c>
    </row>
    <row r="196" spans="1:8" ht="12.6" customHeight="1" x14ac:dyDescent="0.25">
      <c r="A196" s="173" t="s">
        <v>333</v>
      </c>
      <c r="B196" s="174">
        <v>555844</v>
      </c>
      <c r="C196" s="189"/>
      <c r="D196" s="174"/>
      <c r="E196" s="175">
        <f t="shared" si="10"/>
        <v>555844</v>
      </c>
    </row>
    <row r="197" spans="1:8" ht="12.6" customHeight="1" x14ac:dyDescent="0.25">
      <c r="A197" s="173" t="s">
        <v>334</v>
      </c>
      <c r="B197" s="174">
        <v>49806913</v>
      </c>
      <c r="C197" s="189">
        <f>39400.35+2157.63+31398.33+1610053.28</f>
        <v>1683009.59</v>
      </c>
      <c r="D197" s="174"/>
      <c r="E197" s="175">
        <f t="shared" si="10"/>
        <v>51489922.590000004</v>
      </c>
    </row>
    <row r="198" spans="1:8" ht="12.6" customHeight="1" x14ac:dyDescent="0.25">
      <c r="A198" s="173" t="s">
        <v>335</v>
      </c>
      <c r="B198" s="174">
        <v>3911856</v>
      </c>
      <c r="C198" s="189">
        <v>96395</v>
      </c>
      <c r="D198" s="174"/>
      <c r="E198" s="175">
        <f t="shared" si="10"/>
        <v>4008251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30228148</v>
      </c>
      <c r="C200" s="189">
        <v>3206273</v>
      </c>
      <c r="D200" s="174">
        <v>1757604</v>
      </c>
      <c r="E200" s="175">
        <f t="shared" si="10"/>
        <v>31676817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954572</v>
      </c>
      <c r="C203" s="189">
        <v>1846378</v>
      </c>
      <c r="D203" s="174"/>
      <c r="E203" s="175">
        <f t="shared" si="10"/>
        <v>2800950</v>
      </c>
    </row>
    <row r="204" spans="1:8" ht="12.6" customHeight="1" x14ac:dyDescent="0.25">
      <c r="A204" s="173" t="s">
        <v>203</v>
      </c>
      <c r="B204" s="175">
        <f>SUM(B195:B203)</f>
        <v>86390110</v>
      </c>
      <c r="C204" s="191">
        <f>SUM(C195:C203)</f>
        <v>6832055.5899999999</v>
      </c>
      <c r="D204" s="175">
        <f>SUM(D195:D203)</f>
        <v>1757604</v>
      </c>
      <c r="E204" s="175">
        <f>SUM(E195:E203)</f>
        <v>91464561.590000004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2"/>
    </row>
    <row r="209" spans="1:8" ht="12.6" customHeight="1" x14ac:dyDescent="0.25">
      <c r="A209" s="173" t="s">
        <v>333</v>
      </c>
      <c r="B209" s="174">
        <v>251100</v>
      </c>
      <c r="C209" s="189">
        <v>54236</v>
      </c>
      <c r="D209" s="174"/>
      <c r="E209" s="175">
        <f t="shared" ref="E209:E216" si="11">SUM(B209:C209)-D209</f>
        <v>305336</v>
      </c>
      <c r="H209" s="262"/>
    </row>
    <row r="210" spans="1:8" ht="12.6" customHeight="1" x14ac:dyDescent="0.25">
      <c r="A210" s="173" t="s">
        <v>334</v>
      </c>
      <c r="B210" s="174">
        <v>33702159</v>
      </c>
      <c r="C210" s="189">
        <v>1744520</v>
      </c>
      <c r="D210" s="174"/>
      <c r="E210" s="175">
        <f t="shared" si="11"/>
        <v>35446679</v>
      </c>
      <c r="H210" s="262"/>
    </row>
    <row r="211" spans="1:8" ht="12.6" customHeight="1" x14ac:dyDescent="0.25">
      <c r="A211" s="173" t="s">
        <v>335</v>
      </c>
      <c r="B211" s="174">
        <v>1317860</v>
      </c>
      <c r="C211" s="189">
        <v>320942</v>
      </c>
      <c r="D211" s="174"/>
      <c r="E211" s="175">
        <f t="shared" si="11"/>
        <v>1638802</v>
      </c>
      <c r="H211" s="262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62"/>
    </row>
    <row r="213" spans="1:8" ht="12.6" customHeight="1" x14ac:dyDescent="0.25">
      <c r="A213" s="173" t="s">
        <v>337</v>
      </c>
      <c r="B213" s="174">
        <v>21453710</v>
      </c>
      <c r="C213" s="189">
        <v>2481928</v>
      </c>
      <c r="D213" s="174">
        <v>1630839</v>
      </c>
      <c r="E213" s="175">
        <f t="shared" si="11"/>
        <v>22304799</v>
      </c>
      <c r="H213" s="262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62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62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62"/>
    </row>
    <row r="217" spans="1:8" ht="12.6" customHeight="1" x14ac:dyDescent="0.25">
      <c r="A217" s="173" t="s">
        <v>203</v>
      </c>
      <c r="B217" s="175">
        <f>SUM(B208:B216)</f>
        <v>56724829</v>
      </c>
      <c r="C217" s="191">
        <f>SUM(C208:C216)</f>
        <v>4601626</v>
      </c>
      <c r="D217" s="175">
        <f>SUM(D208:D216)</f>
        <v>1630839</v>
      </c>
      <c r="E217" s="175">
        <f>SUM(E208:E216)</f>
        <v>59695616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1257</v>
      </c>
      <c r="C220" s="288"/>
      <c r="D220" s="208"/>
      <c r="E220" s="208"/>
    </row>
    <row r="221" spans="1:8" ht="12.6" customHeight="1" x14ac:dyDescent="0.25">
      <c r="A221" s="275" t="s">
        <v>1257</v>
      </c>
      <c r="B221" s="208"/>
      <c r="C221" s="189">
        <v>3217157</v>
      </c>
      <c r="D221" s="172">
        <f>C221</f>
        <v>3217157</v>
      </c>
      <c r="E221" s="208"/>
    </row>
    <row r="222" spans="1:8" ht="12.6" customHeight="1" x14ac:dyDescent="0.25">
      <c r="A222" s="260" t="s">
        <v>343</v>
      </c>
      <c r="B222" s="260"/>
      <c r="C222" s="260"/>
      <c r="D222" s="260"/>
      <c r="E222" s="260"/>
    </row>
    <row r="223" spans="1:8" ht="12.6" customHeight="1" x14ac:dyDescent="0.25">
      <c r="A223" s="173" t="s">
        <v>344</v>
      </c>
      <c r="B223" s="172" t="s">
        <v>256</v>
      </c>
      <c r="C223" s="189">
        <v>53564850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5110062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3189650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656484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253381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62774427</v>
      </c>
      <c r="E229" s="175"/>
    </row>
    <row r="230" spans="1:5" ht="12.6" customHeight="1" x14ac:dyDescent="0.25">
      <c r="A230" s="260" t="s">
        <v>351</v>
      </c>
      <c r="B230" s="260"/>
      <c r="C230" s="260"/>
      <c r="D230" s="260"/>
      <c r="E230" s="260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3319907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3319907</v>
      </c>
      <c r="E236" s="175"/>
    </row>
    <row r="237" spans="1:5" ht="12.6" customHeight="1" x14ac:dyDescent="0.25">
      <c r="A237" s="260" t="s">
        <v>356</v>
      </c>
      <c r="B237" s="260"/>
      <c r="C237" s="260"/>
      <c r="D237" s="260"/>
      <c r="E237" s="260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84952225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84952225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154263716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60" t="s">
        <v>361</v>
      </c>
      <c r="B249" s="260"/>
      <c r="C249" s="260"/>
      <c r="D249" s="260"/>
      <c r="E249" s="260"/>
    </row>
    <row r="250" spans="1:5" ht="12.45" customHeight="1" x14ac:dyDescent="0.25">
      <c r="A250" s="173" t="s">
        <v>362</v>
      </c>
      <c r="B250" s="172" t="s">
        <v>256</v>
      </c>
      <c r="C250" s="189">
        <v>16648158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35285842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23327763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15145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1695403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1136309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31453094</v>
      </c>
      <c r="E260" s="175"/>
    </row>
    <row r="261" spans="1:5" ht="11.25" customHeight="1" x14ac:dyDescent="0.25">
      <c r="A261" s="260" t="s">
        <v>372</v>
      </c>
      <c r="B261" s="260"/>
      <c r="C261" s="260"/>
      <c r="D261" s="260"/>
      <c r="E261" s="260"/>
    </row>
    <row r="262" spans="1:5" ht="12.45" customHeight="1" x14ac:dyDescent="0.25">
      <c r="A262" s="173" t="s">
        <v>362</v>
      </c>
      <c r="B262" s="172" t="s">
        <v>256</v>
      </c>
      <c r="C262" s="189">
        <v>34641342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262419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34903761</v>
      </c>
      <c r="E265" s="175"/>
    </row>
    <row r="266" spans="1:5" ht="11.25" customHeight="1" x14ac:dyDescent="0.25">
      <c r="A266" s="260" t="s">
        <v>375</v>
      </c>
      <c r="B266" s="260"/>
      <c r="C266" s="260"/>
      <c r="D266" s="260"/>
      <c r="E266" s="260"/>
    </row>
    <row r="267" spans="1:5" ht="12.45" customHeight="1" x14ac:dyDescent="0.25">
      <c r="A267" s="173" t="s">
        <v>332</v>
      </c>
      <c r="B267" s="172" t="s">
        <v>256</v>
      </c>
      <c r="C267" s="189">
        <v>932777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555844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51489923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4008251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31676817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2800950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91464562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59695616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31768946</v>
      </c>
      <c r="E277" s="175"/>
    </row>
    <row r="278" spans="1:5" ht="12.6" customHeight="1" x14ac:dyDescent="0.25">
      <c r="A278" s="260" t="s">
        <v>382</v>
      </c>
      <c r="B278" s="260"/>
      <c r="C278" s="260"/>
      <c r="D278" s="260"/>
      <c r="E278" s="260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27818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27818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60" t="s">
        <v>387</v>
      </c>
      <c r="B285" s="260"/>
      <c r="C285" s="260"/>
      <c r="D285" s="260"/>
      <c r="E285" s="260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98153619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60" t="s">
        <v>395</v>
      </c>
      <c r="B303" s="260"/>
      <c r="C303" s="260"/>
      <c r="D303" s="260"/>
      <c r="E303" s="260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2383540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4932388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7118597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12240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14446765</v>
      </c>
      <c r="E314" s="175"/>
    </row>
    <row r="315" spans="1:5" ht="12.6" customHeight="1" x14ac:dyDescent="0.25">
      <c r="A315" s="260" t="s">
        <v>406</v>
      </c>
      <c r="B315" s="260"/>
      <c r="C315" s="260"/>
      <c r="D315" s="260"/>
      <c r="E315" s="260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156178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156178</v>
      </c>
      <c r="E319" s="175"/>
    </row>
    <row r="320" spans="1:5" ht="12.6" customHeight="1" x14ac:dyDescent="0.25">
      <c r="A320" s="260" t="s">
        <v>411</v>
      </c>
      <c r="B320" s="260"/>
      <c r="C320" s="260"/>
      <c r="D320" s="260"/>
      <c r="E320" s="260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-41923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6397362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576000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6931439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6931439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76619237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98153619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98153619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60" t="s">
        <v>427</v>
      </c>
      <c r="B358" s="260"/>
      <c r="C358" s="260"/>
      <c r="D358" s="260"/>
      <c r="E358" s="260"/>
    </row>
    <row r="359" spans="1:5" ht="12.6" customHeight="1" x14ac:dyDescent="0.25">
      <c r="A359" s="173" t="s">
        <v>428</v>
      </c>
      <c r="B359" s="172" t="s">
        <v>256</v>
      </c>
      <c r="C359" s="189">
        <v>93733177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146906537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240639714</v>
      </c>
      <c r="E361" s="175"/>
    </row>
    <row r="362" spans="1:5" ht="12.6" customHeight="1" x14ac:dyDescent="0.25">
      <c r="A362" s="260" t="s">
        <v>431</v>
      </c>
      <c r="B362" s="260"/>
      <c r="C362" s="260"/>
      <c r="D362" s="260"/>
      <c r="E362" s="260"/>
    </row>
    <row r="363" spans="1:5" ht="12.6" customHeight="1" x14ac:dyDescent="0.25">
      <c r="A363" s="173" t="s">
        <v>1257</v>
      </c>
      <c r="B363" s="260"/>
      <c r="C363" s="189">
        <v>3217157</v>
      </c>
      <c r="D363" s="175"/>
      <c r="E363" s="260"/>
    </row>
    <row r="364" spans="1:5" ht="12.6" customHeight="1" x14ac:dyDescent="0.25">
      <c r="A364" s="173" t="s">
        <v>432</v>
      </c>
      <c r="B364" s="172" t="s">
        <v>256</v>
      </c>
      <c r="C364" s="189">
        <v>62774427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3319907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84952225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154263716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86375998</v>
      </c>
      <c r="E368" s="175"/>
    </row>
    <row r="369" spans="1:5" ht="12.6" customHeight="1" x14ac:dyDescent="0.25">
      <c r="A369" s="260" t="s">
        <v>436</v>
      </c>
      <c r="B369" s="260"/>
      <c r="C369" s="260"/>
      <c r="D369" s="260"/>
      <c r="E369" s="260"/>
    </row>
    <row r="370" spans="1:5" ht="12.6" customHeight="1" x14ac:dyDescent="0.25">
      <c r="A370" s="173" t="s">
        <v>437</v>
      </c>
      <c r="B370" s="172" t="s">
        <v>256</v>
      </c>
      <c r="C370" s="189">
        <v>3135605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3135605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89511603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60" t="s">
        <v>441</v>
      </c>
      <c r="B377" s="260"/>
      <c r="C377" s="260"/>
      <c r="D377" s="260"/>
      <c r="E377" s="260"/>
    </row>
    <row r="378" spans="1:5" ht="12.6" customHeight="1" x14ac:dyDescent="0.25">
      <c r="A378" s="173" t="s">
        <v>442</v>
      </c>
      <c r="B378" s="172" t="s">
        <v>256</v>
      </c>
      <c r="C378" s="189">
        <v>40529633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10159718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5578916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12160481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637205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7228137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4601626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933257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480858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/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334497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2742612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85386940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4124663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2746267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6870930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6870930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3"/>
    </row>
    <row r="412" spans="1:5" ht="12.6" customHeight="1" x14ac:dyDescent="0.25">
      <c r="A412" s="179" t="str">
        <f>C84&amp;"   "&amp;"H-"&amp;FIXED(C83,0,TRUE)&amp;"     FYE "&amp;C82</f>
        <v>Samaritan Hospital   H-0     FYE 12/31/2018</v>
      </c>
      <c r="B412" s="179"/>
      <c r="C412" s="179"/>
      <c r="D412" s="179"/>
      <c r="E412" s="263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3172</v>
      </c>
      <c r="C414" s="194">
        <f>E138</f>
        <v>3172</v>
      </c>
      <c r="D414" s="179"/>
    </row>
    <row r="415" spans="1:5" ht="12.6" customHeight="1" x14ac:dyDescent="0.25">
      <c r="A415" s="179" t="s">
        <v>464</v>
      </c>
      <c r="B415" s="179">
        <f>D111</f>
        <v>9391</v>
      </c>
      <c r="C415" s="179">
        <f>E139</f>
        <v>9391</v>
      </c>
      <c r="D415" s="194">
        <f>SUM(C59:H59)+N59</f>
        <v>9137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1051</v>
      </c>
    </row>
    <row r="424" spans="1:7" ht="12.6" customHeight="1" x14ac:dyDescent="0.25">
      <c r="A424" s="179" t="s">
        <v>1244</v>
      </c>
      <c r="B424" s="179">
        <f>D114</f>
        <v>1674</v>
      </c>
      <c r="D424" s="179">
        <f>J59</f>
        <v>113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40529633</v>
      </c>
      <c r="C427" s="179">
        <f t="shared" ref="C427:C434" si="13">CE61</f>
        <v>40529633</v>
      </c>
      <c r="D427" s="179"/>
    </row>
    <row r="428" spans="1:7" ht="12.6" customHeight="1" x14ac:dyDescent="0.25">
      <c r="A428" s="179" t="s">
        <v>3</v>
      </c>
      <c r="B428" s="179">
        <f t="shared" si="12"/>
        <v>10159718</v>
      </c>
      <c r="C428" s="179">
        <f t="shared" si="13"/>
        <v>10159718</v>
      </c>
      <c r="D428" s="179">
        <f>D173</f>
        <v>10159722</v>
      </c>
    </row>
    <row r="429" spans="1:7" ht="12.6" customHeight="1" x14ac:dyDescent="0.25">
      <c r="A429" s="179" t="s">
        <v>236</v>
      </c>
      <c r="B429" s="179">
        <f t="shared" si="12"/>
        <v>5578916</v>
      </c>
      <c r="C429" s="179">
        <f t="shared" si="13"/>
        <v>5578916</v>
      </c>
      <c r="D429" s="179"/>
    </row>
    <row r="430" spans="1:7" ht="12.6" customHeight="1" x14ac:dyDescent="0.25">
      <c r="A430" s="179" t="s">
        <v>237</v>
      </c>
      <c r="B430" s="179">
        <f t="shared" si="12"/>
        <v>12160481</v>
      </c>
      <c r="C430" s="179">
        <f t="shared" si="13"/>
        <v>12160491</v>
      </c>
      <c r="D430" s="179"/>
    </row>
    <row r="431" spans="1:7" ht="12.6" customHeight="1" x14ac:dyDescent="0.25">
      <c r="A431" s="179" t="s">
        <v>444</v>
      </c>
      <c r="B431" s="179">
        <f t="shared" si="12"/>
        <v>637205</v>
      </c>
      <c r="C431" s="179">
        <f t="shared" si="13"/>
        <v>637205</v>
      </c>
      <c r="D431" s="179"/>
    </row>
    <row r="432" spans="1:7" ht="12.6" customHeight="1" x14ac:dyDescent="0.25">
      <c r="A432" s="179" t="s">
        <v>445</v>
      </c>
      <c r="B432" s="179">
        <f t="shared" si="12"/>
        <v>7228137</v>
      </c>
      <c r="C432" s="179">
        <f t="shared" si="13"/>
        <v>7228137</v>
      </c>
      <c r="D432" s="179"/>
    </row>
    <row r="433" spans="1:7" ht="12.6" customHeight="1" x14ac:dyDescent="0.25">
      <c r="A433" s="179" t="s">
        <v>6</v>
      </c>
      <c r="B433" s="179">
        <f t="shared" si="12"/>
        <v>4601626</v>
      </c>
      <c r="C433" s="179">
        <f t="shared" si="13"/>
        <v>4601627</v>
      </c>
      <c r="D433" s="179">
        <f>C217</f>
        <v>4601626</v>
      </c>
    </row>
    <row r="434" spans="1:7" ht="12.6" customHeight="1" x14ac:dyDescent="0.25">
      <c r="A434" s="179" t="s">
        <v>474</v>
      </c>
      <c r="B434" s="179">
        <f t="shared" si="12"/>
        <v>933257</v>
      </c>
      <c r="C434" s="179">
        <f t="shared" si="13"/>
        <v>933257</v>
      </c>
      <c r="D434" s="179">
        <f>D177</f>
        <v>933257</v>
      </c>
    </row>
    <row r="435" spans="1:7" ht="12.6" customHeight="1" x14ac:dyDescent="0.25">
      <c r="A435" s="179" t="s">
        <v>447</v>
      </c>
      <c r="B435" s="179">
        <f t="shared" si="12"/>
        <v>480858</v>
      </c>
      <c r="C435" s="179"/>
      <c r="D435" s="179">
        <f>D181</f>
        <v>480858</v>
      </c>
    </row>
    <row r="436" spans="1:7" ht="12.6" customHeight="1" x14ac:dyDescent="0.25">
      <c r="A436" s="179" t="s">
        <v>475</v>
      </c>
      <c r="B436" s="179">
        <f t="shared" si="12"/>
        <v>0</v>
      </c>
      <c r="C436" s="179"/>
      <c r="D436" s="179">
        <f>D186</f>
        <v>0</v>
      </c>
    </row>
    <row r="437" spans="1:7" ht="12.6" customHeight="1" x14ac:dyDescent="0.25">
      <c r="A437" s="194" t="s">
        <v>449</v>
      </c>
      <c r="B437" s="194">
        <f t="shared" si="12"/>
        <v>334497</v>
      </c>
      <c r="C437" s="194"/>
      <c r="D437" s="194">
        <f>D190</f>
        <v>334497</v>
      </c>
    </row>
    <row r="438" spans="1:7" ht="12.6" customHeight="1" x14ac:dyDescent="0.25">
      <c r="A438" s="194" t="s">
        <v>476</v>
      </c>
      <c r="B438" s="194">
        <f>C386+C387+C388</f>
        <v>815355</v>
      </c>
      <c r="C438" s="194">
        <f>CD69</f>
        <v>884531</v>
      </c>
      <c r="D438" s="194">
        <f>D181+D186+D190</f>
        <v>815355</v>
      </c>
    </row>
    <row r="439" spans="1:7" ht="12.6" customHeight="1" x14ac:dyDescent="0.25">
      <c r="A439" s="179" t="s">
        <v>451</v>
      </c>
      <c r="B439" s="194">
        <f>C389</f>
        <v>2742612</v>
      </c>
      <c r="C439" s="194">
        <f>SUM(C69:CC69)</f>
        <v>1858081</v>
      </c>
      <c r="D439" s="179"/>
    </row>
    <row r="440" spans="1:7" ht="12.6" customHeight="1" x14ac:dyDescent="0.25">
      <c r="A440" s="179" t="s">
        <v>477</v>
      </c>
      <c r="B440" s="194">
        <f>B438+B439</f>
        <v>3557967</v>
      </c>
      <c r="C440" s="194">
        <f>CE69</f>
        <v>2742612</v>
      </c>
      <c r="D440" s="179"/>
    </row>
    <row r="441" spans="1:7" ht="12.6" customHeight="1" x14ac:dyDescent="0.25">
      <c r="A441" s="179" t="s">
        <v>478</v>
      </c>
      <c r="B441" s="179">
        <f>D390</f>
        <v>85386940</v>
      </c>
      <c r="C441" s="179">
        <f>SUM(C427:C437)+C440</f>
        <v>84571596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3217157</v>
      </c>
      <c r="C444" s="179">
        <f>C363</f>
        <v>3217157</v>
      </c>
      <c r="D444" s="179"/>
    </row>
    <row r="445" spans="1:7" ht="12.6" customHeight="1" x14ac:dyDescent="0.25">
      <c r="A445" s="179" t="s">
        <v>343</v>
      </c>
      <c r="B445" s="179">
        <f>D229</f>
        <v>62774427</v>
      </c>
      <c r="C445" s="179">
        <f>C364</f>
        <v>62774427</v>
      </c>
      <c r="D445" s="179"/>
    </row>
    <row r="446" spans="1:7" ht="12.6" customHeight="1" x14ac:dyDescent="0.25">
      <c r="A446" s="179" t="s">
        <v>351</v>
      </c>
      <c r="B446" s="179">
        <f>D236</f>
        <v>3319907</v>
      </c>
      <c r="C446" s="179">
        <f>C365</f>
        <v>3319907</v>
      </c>
      <c r="D446" s="179"/>
    </row>
    <row r="447" spans="1:7" ht="12.6" customHeight="1" x14ac:dyDescent="0.25">
      <c r="A447" s="179" t="s">
        <v>356</v>
      </c>
      <c r="B447" s="179">
        <f>D240</f>
        <v>84952225</v>
      </c>
      <c r="C447" s="179">
        <f>C366</f>
        <v>84952225</v>
      </c>
      <c r="D447" s="179"/>
    </row>
    <row r="448" spans="1:7" ht="12.6" customHeight="1" x14ac:dyDescent="0.25">
      <c r="A448" s="179" t="s">
        <v>358</v>
      </c>
      <c r="B448" s="179">
        <f>D242</f>
        <v>154263716</v>
      </c>
      <c r="C448" s="179">
        <f>D367</f>
        <v>154263716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3319907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3135605</v>
      </c>
      <c r="C458" s="194">
        <f>CE70</f>
        <v>3135605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93733177</v>
      </c>
      <c r="C463" s="194">
        <f>CE73</f>
        <v>93733178</v>
      </c>
      <c r="D463" s="194">
        <f>E141+E147+E153</f>
        <v>93733181</v>
      </c>
    </row>
    <row r="464" spans="1:7" ht="12.6" customHeight="1" x14ac:dyDescent="0.25">
      <c r="A464" s="179" t="s">
        <v>246</v>
      </c>
      <c r="B464" s="194">
        <f>C360</f>
        <v>146906537</v>
      </c>
      <c r="C464" s="194">
        <f>CE74</f>
        <v>146906538</v>
      </c>
      <c r="D464" s="194">
        <f>E142+E148+E154</f>
        <v>133610160</v>
      </c>
    </row>
    <row r="465" spans="1:7" ht="12.6" customHeight="1" x14ac:dyDescent="0.25">
      <c r="A465" s="179" t="s">
        <v>247</v>
      </c>
      <c r="B465" s="194">
        <f>D361</f>
        <v>240639714</v>
      </c>
      <c r="C465" s="194">
        <f>CE75</f>
        <v>240639716</v>
      </c>
      <c r="D465" s="194">
        <f>D463+D464</f>
        <v>227343341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932777</v>
      </c>
      <c r="C468" s="179">
        <f>E195</f>
        <v>932777</v>
      </c>
      <c r="D468" s="179"/>
    </row>
    <row r="469" spans="1:7" ht="12.6" customHeight="1" x14ac:dyDescent="0.25">
      <c r="A469" s="179" t="s">
        <v>333</v>
      </c>
      <c r="B469" s="179">
        <f t="shared" si="14"/>
        <v>555844</v>
      </c>
      <c r="C469" s="179">
        <f>E196</f>
        <v>555844</v>
      </c>
      <c r="D469" s="179"/>
    </row>
    <row r="470" spans="1:7" ht="12.6" customHeight="1" x14ac:dyDescent="0.25">
      <c r="A470" s="179" t="s">
        <v>334</v>
      </c>
      <c r="B470" s="179">
        <f t="shared" si="14"/>
        <v>51489923</v>
      </c>
      <c r="C470" s="179">
        <f>E197</f>
        <v>51489922.590000004</v>
      </c>
      <c r="D470" s="179"/>
    </row>
    <row r="471" spans="1:7" ht="12.6" customHeight="1" x14ac:dyDescent="0.25">
      <c r="A471" s="179" t="s">
        <v>494</v>
      </c>
      <c r="B471" s="179">
        <f t="shared" si="14"/>
        <v>4008251</v>
      </c>
      <c r="C471" s="179">
        <f>E198</f>
        <v>4008251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31676817</v>
      </c>
      <c r="C473" s="179">
        <f>SUM(E200:E201)</f>
        <v>31676817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2800950</v>
      </c>
      <c r="C475" s="179">
        <f>E203</f>
        <v>2800950</v>
      </c>
      <c r="D475" s="179"/>
    </row>
    <row r="476" spans="1:7" ht="12.6" customHeight="1" x14ac:dyDescent="0.25">
      <c r="A476" s="179" t="s">
        <v>203</v>
      </c>
      <c r="B476" s="179">
        <f>D275</f>
        <v>91464562</v>
      </c>
      <c r="C476" s="179">
        <f>E204</f>
        <v>91464561.590000004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59695616</v>
      </c>
      <c r="C478" s="179">
        <f>E217</f>
        <v>59695616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98153619</v>
      </c>
    </row>
    <row r="482" spans="1:12" ht="12.6" customHeight="1" x14ac:dyDescent="0.25">
      <c r="A482" s="180" t="s">
        <v>499</v>
      </c>
      <c r="C482" s="180">
        <f>D339</f>
        <v>98153619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078</v>
      </c>
      <c r="B493" s="264" t="str">
        <f>RIGHT('Prior Year'!C83,4)</f>
        <v>2017</v>
      </c>
      <c r="C493" s="264" t="str">
        <f>RIGHT(C82,4)</f>
        <v>2018</v>
      </c>
      <c r="D493" s="264" t="str">
        <f>RIGHT('Prior Year'!C83,4)</f>
        <v>2017</v>
      </c>
      <c r="E493" s="264" t="str">
        <f>RIGHT(C82,4)</f>
        <v>2018</v>
      </c>
      <c r="F493" s="264" t="str">
        <f>RIGHT('Prior Year'!C83,4)</f>
        <v>2017</v>
      </c>
      <c r="G493" s="264" t="str">
        <f>RIGHT(C82,4)</f>
        <v>2018</v>
      </c>
      <c r="H493" s="264"/>
      <c r="K493" s="264"/>
      <c r="L493" s="264"/>
    </row>
    <row r="494" spans="1:12" ht="12.6" customHeight="1" x14ac:dyDescent="0.2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" customHeight="1" x14ac:dyDescent="0.25">
      <c r="A496" s="180" t="s">
        <v>512</v>
      </c>
      <c r="B496" s="243">
        <f>'Prior Year'!C72</f>
        <v>0</v>
      </c>
      <c r="C496" s="243">
        <f>C71</f>
        <v>0</v>
      </c>
      <c r="D496" s="243">
        <f>'Prior Year'!C59</f>
        <v>0</v>
      </c>
      <c r="E496" s="180">
        <f>C59</f>
        <v>0</v>
      </c>
      <c r="F496" s="266" t="str">
        <f t="shared" ref="F496:G511" si="15">IF(B496=0,"",IF(D496=0,"",B496/D496))</f>
        <v/>
      </c>
      <c r="G496" s="267" t="str">
        <f t="shared" si="15"/>
        <v/>
      </c>
      <c r="H496" s="268" t="str">
        <f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" customHeight="1" x14ac:dyDescent="0.25">
      <c r="A497" s="180" t="s">
        <v>513</v>
      </c>
      <c r="B497" s="243">
        <f>'Prior Year'!D72</f>
        <v>0</v>
      </c>
      <c r="C497" s="243">
        <f>D71</f>
        <v>0</v>
      </c>
      <c r="D497" s="243">
        <f>'Prior Year'!D59</f>
        <v>0</v>
      </c>
      <c r="E497" s="180">
        <f>D59</f>
        <v>0</v>
      </c>
      <c r="F497" s="266" t="str">
        <f t="shared" si="15"/>
        <v/>
      </c>
      <c r="G497" s="266" t="str">
        <f t="shared" si="15"/>
        <v/>
      </c>
      <c r="H497" s="268" t="str">
        <f t="shared" ref="H497:H550" si="16">IF(B497=0,"",IF(C497=0,"",IF(D497=0,"",IF(E497=0,"",IF(G497/F497-1&lt;-0.25,G497/F497-1,IF(G497/F497-1&gt;0.25,G497/F497-1,""))))))</f>
        <v/>
      </c>
      <c r="I497" s="270"/>
      <c r="K497" s="264"/>
      <c r="L497" s="264"/>
    </row>
    <row r="498" spans="1:12" ht="12.6" customHeight="1" x14ac:dyDescent="0.25">
      <c r="A498" s="180" t="s">
        <v>514</v>
      </c>
      <c r="B498" s="243">
        <f>'Prior Year'!E72</f>
        <v>5421254</v>
      </c>
      <c r="C498" s="243">
        <f>E71</f>
        <v>7123398</v>
      </c>
      <c r="D498" s="243">
        <f>'Prior Year'!E59</f>
        <v>6887</v>
      </c>
      <c r="E498" s="180">
        <f>E59</f>
        <v>7220</v>
      </c>
      <c r="F498" s="266">
        <f t="shared" si="15"/>
        <v>787.17206330768113</v>
      </c>
      <c r="G498" s="266">
        <f t="shared" si="15"/>
        <v>986.62022160664822</v>
      </c>
      <c r="H498" s="268">
        <f t="shared" si="16"/>
        <v>0.25337301410429891</v>
      </c>
      <c r="I498" s="270"/>
      <c r="K498" s="264"/>
      <c r="L498" s="264"/>
    </row>
    <row r="499" spans="1:12" ht="12.6" customHeight="1" x14ac:dyDescent="0.25">
      <c r="A499" s="180" t="s">
        <v>515</v>
      </c>
      <c r="B499" s="243">
        <f>'Prior Year'!F72</f>
        <v>4276150</v>
      </c>
      <c r="C499" s="243">
        <f>F71</f>
        <v>4319686</v>
      </c>
      <c r="D499" s="243">
        <f>'Prior Year'!F59</f>
        <v>1814</v>
      </c>
      <c r="E499" s="180">
        <f>F59</f>
        <v>1917</v>
      </c>
      <c r="F499" s="266">
        <f t="shared" si="15"/>
        <v>2357.3042998897463</v>
      </c>
      <c r="G499" s="266">
        <f t="shared" si="15"/>
        <v>2253.357329160146</v>
      </c>
      <c r="H499" s="268" t="str">
        <f t="shared" si="16"/>
        <v/>
      </c>
      <c r="I499" s="270"/>
      <c r="K499" s="264"/>
      <c r="L499" s="264"/>
    </row>
    <row r="500" spans="1:12" ht="12.6" customHeight="1" x14ac:dyDescent="0.25">
      <c r="A500" s="180" t="s">
        <v>516</v>
      </c>
      <c r="B500" s="243">
        <f>'Prior Year'!G72</f>
        <v>0</v>
      </c>
      <c r="C500" s="243">
        <f>G71</f>
        <v>0</v>
      </c>
      <c r="D500" s="243">
        <f>'Prior Year'!G59</f>
        <v>0</v>
      </c>
      <c r="E500" s="180">
        <f>G59</f>
        <v>0</v>
      </c>
      <c r="F500" s="266" t="str">
        <f t="shared" si="15"/>
        <v/>
      </c>
      <c r="G500" s="266" t="str">
        <f t="shared" si="15"/>
        <v/>
      </c>
      <c r="H500" s="268" t="str">
        <f t="shared" si="16"/>
        <v/>
      </c>
      <c r="I500" s="270"/>
      <c r="K500" s="264"/>
      <c r="L500" s="264"/>
    </row>
    <row r="501" spans="1:12" ht="12.6" customHeight="1" x14ac:dyDescent="0.25">
      <c r="A501" s="180" t="s">
        <v>517</v>
      </c>
      <c r="B501" s="243">
        <f>'Prior Year'!H72</f>
        <v>0</v>
      </c>
      <c r="C501" s="243">
        <f>H71</f>
        <v>0</v>
      </c>
      <c r="D501" s="243">
        <f>'Prior Year'!H59</f>
        <v>0</v>
      </c>
      <c r="E501" s="180">
        <f>H59</f>
        <v>0</v>
      </c>
      <c r="F501" s="266" t="str">
        <f t="shared" si="15"/>
        <v/>
      </c>
      <c r="G501" s="266" t="str">
        <f t="shared" si="15"/>
        <v/>
      </c>
      <c r="H501" s="268" t="str">
        <f t="shared" si="16"/>
        <v/>
      </c>
      <c r="I501" s="270"/>
      <c r="K501" s="264"/>
      <c r="L501" s="264"/>
    </row>
    <row r="502" spans="1:12" ht="12.6" customHeight="1" x14ac:dyDescent="0.25">
      <c r="A502" s="180" t="s">
        <v>518</v>
      </c>
      <c r="B502" s="243">
        <f>'Prior Year'!I72</f>
        <v>0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str">
        <f t="shared" si="15"/>
        <v/>
      </c>
      <c r="G502" s="266" t="str">
        <f t="shared" si="15"/>
        <v/>
      </c>
      <c r="H502" s="268" t="str">
        <f t="shared" si="16"/>
        <v/>
      </c>
      <c r="I502" s="270"/>
      <c r="K502" s="264"/>
      <c r="L502" s="264"/>
    </row>
    <row r="503" spans="1:12" ht="12.6" customHeight="1" x14ac:dyDescent="0.25">
      <c r="A503" s="180" t="s">
        <v>519</v>
      </c>
      <c r="B503" s="243">
        <f>'Prior Year'!J72</f>
        <v>52318</v>
      </c>
      <c r="C503" s="243">
        <f>J71</f>
        <v>0</v>
      </c>
      <c r="D503" s="243">
        <f>'Prior Year'!J59</f>
        <v>127</v>
      </c>
      <c r="E503" s="180">
        <f>J59</f>
        <v>113</v>
      </c>
      <c r="F503" s="266">
        <f t="shared" si="15"/>
        <v>411.95275590551182</v>
      </c>
      <c r="G503" s="266" t="str">
        <f t="shared" si="15"/>
        <v/>
      </c>
      <c r="H503" s="268" t="str">
        <f t="shared" si="16"/>
        <v/>
      </c>
      <c r="I503" s="270"/>
      <c r="K503" s="264"/>
      <c r="L503" s="264"/>
    </row>
    <row r="504" spans="1:12" ht="12.6" customHeight="1" x14ac:dyDescent="0.25">
      <c r="A504" s="180" t="s">
        <v>520</v>
      </c>
      <c r="B504" s="243">
        <f>'Prior Year'!K72</f>
        <v>0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str">
        <f t="shared" si="15"/>
        <v/>
      </c>
      <c r="G504" s="266" t="str">
        <f t="shared" si="15"/>
        <v/>
      </c>
      <c r="H504" s="268" t="str">
        <f t="shared" si="16"/>
        <v/>
      </c>
      <c r="I504" s="270"/>
      <c r="K504" s="264"/>
      <c r="L504" s="264"/>
    </row>
    <row r="505" spans="1:12" ht="12.6" customHeight="1" x14ac:dyDescent="0.25">
      <c r="A505" s="180" t="s">
        <v>521</v>
      </c>
      <c r="B505" s="243">
        <f>'Prior Year'!L72</f>
        <v>0</v>
      </c>
      <c r="C505" s="243">
        <f>L71</f>
        <v>0</v>
      </c>
      <c r="D505" s="243">
        <f>'Prior Year'!L59</f>
        <v>0</v>
      </c>
      <c r="E505" s="180">
        <f>L59</f>
        <v>0</v>
      </c>
      <c r="F505" s="266" t="str">
        <f t="shared" si="15"/>
        <v/>
      </c>
      <c r="G505" s="266" t="str">
        <f t="shared" si="15"/>
        <v/>
      </c>
      <c r="H505" s="268" t="str">
        <f t="shared" si="16"/>
        <v/>
      </c>
      <c r="I505" s="270"/>
      <c r="K505" s="264"/>
      <c r="L505" s="264"/>
    </row>
    <row r="506" spans="1:12" ht="12.6" customHeight="1" x14ac:dyDescent="0.25">
      <c r="A506" s="180" t="s">
        <v>522</v>
      </c>
      <c r="B506" s="243">
        <f>'Prior Year'!M72</f>
        <v>0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str">
        <f t="shared" si="15"/>
        <v/>
      </c>
      <c r="G506" s="266" t="str">
        <f t="shared" si="15"/>
        <v/>
      </c>
      <c r="H506" s="268" t="str">
        <f t="shared" si="16"/>
        <v/>
      </c>
      <c r="I506" s="270"/>
      <c r="K506" s="264"/>
      <c r="L506" s="264"/>
    </row>
    <row r="507" spans="1:12" ht="12.6" customHeight="1" x14ac:dyDescent="0.25">
      <c r="A507" s="180" t="s">
        <v>523</v>
      </c>
      <c r="B507" s="243">
        <f>'Prior Year'!N72</f>
        <v>0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str">
        <f t="shared" si="15"/>
        <v/>
      </c>
      <c r="G507" s="266" t="str">
        <f t="shared" si="15"/>
        <v/>
      </c>
      <c r="H507" s="268" t="str">
        <f t="shared" si="16"/>
        <v/>
      </c>
      <c r="I507" s="270"/>
      <c r="K507" s="264"/>
      <c r="L507" s="264"/>
    </row>
    <row r="508" spans="1:12" ht="12.6" customHeight="1" x14ac:dyDescent="0.25">
      <c r="A508" s="180" t="s">
        <v>524</v>
      </c>
      <c r="B508" s="243">
        <f>'Prior Year'!O72</f>
        <v>149934</v>
      </c>
      <c r="C508" s="243">
        <f>O71</f>
        <v>179263</v>
      </c>
      <c r="D508" s="243">
        <f>'Prior Year'!O59</f>
        <v>1027</v>
      </c>
      <c r="E508" s="180">
        <f>O59</f>
        <v>1046</v>
      </c>
      <c r="F508" s="266">
        <f t="shared" si="15"/>
        <v>145.99221032132425</v>
      </c>
      <c r="G508" s="266">
        <f t="shared" si="15"/>
        <v>171.37954110898661</v>
      </c>
      <c r="H508" s="268" t="str">
        <f t="shared" si="16"/>
        <v/>
      </c>
      <c r="I508" s="270"/>
      <c r="K508" s="264"/>
      <c r="L508" s="264"/>
    </row>
    <row r="509" spans="1:12" ht="12.6" customHeight="1" x14ac:dyDescent="0.25">
      <c r="A509" s="180" t="s">
        <v>525</v>
      </c>
      <c r="B509" s="243">
        <f>'Prior Year'!P72</f>
        <v>3416957</v>
      </c>
      <c r="C509" s="243">
        <f>P71</f>
        <v>3476613</v>
      </c>
      <c r="D509" s="243">
        <f>'Prior Year'!P59</f>
        <v>245887</v>
      </c>
      <c r="E509" s="180">
        <f>P59</f>
        <v>257353</v>
      </c>
      <c r="F509" s="266">
        <f t="shared" si="15"/>
        <v>13.896452435468325</v>
      </c>
      <c r="G509" s="266">
        <f t="shared" si="15"/>
        <v>13.509121712200752</v>
      </c>
      <c r="H509" s="268" t="str">
        <f t="shared" si="16"/>
        <v/>
      </c>
      <c r="I509" s="270"/>
      <c r="K509" s="264"/>
      <c r="L509" s="264"/>
    </row>
    <row r="510" spans="1:12" ht="12.6" customHeight="1" x14ac:dyDescent="0.25">
      <c r="A510" s="180" t="s">
        <v>526</v>
      </c>
      <c r="B510" s="243">
        <f>'Prior Year'!Q72</f>
        <v>510292</v>
      </c>
      <c r="C510" s="243">
        <f>Q71</f>
        <v>868606</v>
      </c>
      <c r="D510" s="243">
        <f>'Prior Year'!Q59</f>
        <v>111885</v>
      </c>
      <c r="E510" s="180">
        <f>Q59</f>
        <v>125775</v>
      </c>
      <c r="F510" s="266">
        <f t="shared" si="15"/>
        <v>4.5608615989632213</v>
      </c>
      <c r="G510" s="266">
        <f t="shared" si="15"/>
        <v>6.9060306102166571</v>
      </c>
      <c r="H510" s="268">
        <f t="shared" si="16"/>
        <v>0.51419429429442487</v>
      </c>
      <c r="I510" s="270"/>
      <c r="K510" s="264"/>
      <c r="L510" s="264"/>
    </row>
    <row r="511" spans="1:12" ht="12.6" customHeight="1" x14ac:dyDescent="0.25">
      <c r="A511" s="180" t="s">
        <v>527</v>
      </c>
      <c r="B511" s="243">
        <f>'Prior Year'!R72</f>
        <v>2650521</v>
      </c>
      <c r="C511" s="243">
        <f>R71</f>
        <v>3008412</v>
      </c>
      <c r="D511" s="243">
        <f>'Prior Year'!R59</f>
        <v>188967</v>
      </c>
      <c r="E511" s="180">
        <f>R59</f>
        <v>256944</v>
      </c>
      <c r="F511" s="266">
        <f t="shared" si="15"/>
        <v>14.026369683595549</v>
      </c>
      <c r="G511" s="266">
        <f t="shared" si="15"/>
        <v>11.708434522697553</v>
      </c>
      <c r="H511" s="268" t="str">
        <f t="shared" si="16"/>
        <v/>
      </c>
      <c r="I511" s="270"/>
      <c r="K511" s="264"/>
      <c r="L511" s="264"/>
    </row>
    <row r="512" spans="1:12" ht="12.6" customHeight="1" x14ac:dyDescent="0.25">
      <c r="A512" s="180" t="s">
        <v>528</v>
      </c>
      <c r="B512" s="243">
        <f>'Prior Year'!S72</f>
        <v>3905134</v>
      </c>
      <c r="C512" s="243">
        <f>S71</f>
        <v>3940439</v>
      </c>
      <c r="D512" s="181" t="s">
        <v>529</v>
      </c>
      <c r="E512" s="181" t="s">
        <v>529</v>
      </c>
      <c r="F512" s="266" t="str">
        <f t="shared" ref="F512:G527" si="17">IF(B512=0,"",IF(D512=0,"",B512/D512))</f>
        <v/>
      </c>
      <c r="G512" s="266" t="str">
        <f t="shared" si="17"/>
        <v/>
      </c>
      <c r="H512" s="268" t="str">
        <f t="shared" si="16"/>
        <v/>
      </c>
      <c r="I512" s="270"/>
      <c r="K512" s="264"/>
      <c r="L512" s="264"/>
    </row>
    <row r="513" spans="1:12" ht="12.6" customHeight="1" x14ac:dyDescent="0.25">
      <c r="A513" s="180" t="s">
        <v>1246</v>
      </c>
      <c r="B513" s="243">
        <f>'Prior Year'!T72</f>
        <v>0</v>
      </c>
      <c r="C513" s="243">
        <f>T71</f>
        <v>0</v>
      </c>
      <c r="D513" s="181" t="s">
        <v>529</v>
      </c>
      <c r="E513" s="181" t="s">
        <v>529</v>
      </c>
      <c r="F513" s="266" t="str">
        <f t="shared" si="17"/>
        <v/>
      </c>
      <c r="G513" s="266" t="str">
        <f t="shared" si="17"/>
        <v/>
      </c>
      <c r="H513" s="268" t="str">
        <f t="shared" si="16"/>
        <v/>
      </c>
      <c r="I513" s="270"/>
      <c r="K513" s="264"/>
      <c r="L513" s="264"/>
    </row>
    <row r="514" spans="1:12" ht="12.6" customHeight="1" x14ac:dyDescent="0.25">
      <c r="A514" s="180" t="s">
        <v>530</v>
      </c>
      <c r="B514" s="243">
        <f>'Prior Year'!U72</f>
        <v>2934402</v>
      </c>
      <c r="C514" s="243">
        <f>U71</f>
        <v>3555036</v>
      </c>
      <c r="D514" s="243">
        <f>'Prior Year'!U59</f>
        <v>401004</v>
      </c>
      <c r="E514" s="180">
        <f>U59</f>
        <v>464460</v>
      </c>
      <c r="F514" s="266">
        <f t="shared" si="17"/>
        <v>7.3176377292994585</v>
      </c>
      <c r="G514" s="266">
        <f t="shared" si="17"/>
        <v>7.6541273737243252</v>
      </c>
      <c r="H514" s="268" t="str">
        <f t="shared" si="16"/>
        <v/>
      </c>
      <c r="I514" s="270"/>
      <c r="K514" s="264"/>
      <c r="L514" s="264"/>
    </row>
    <row r="515" spans="1:12" ht="12.6" customHeight="1" x14ac:dyDescent="0.25">
      <c r="A515" s="180" t="s">
        <v>531</v>
      </c>
      <c r="B515" s="243">
        <f>'Prior Year'!V72</f>
        <v>21675</v>
      </c>
      <c r="C515" s="243">
        <f>V71</f>
        <v>27598</v>
      </c>
      <c r="D515" s="243">
        <f>'Prior Year'!V59</f>
        <v>836</v>
      </c>
      <c r="E515" s="180">
        <f>V59</f>
        <v>670</v>
      </c>
      <c r="F515" s="266">
        <f t="shared" si="17"/>
        <v>25.927033492822968</v>
      </c>
      <c r="G515" s="266">
        <f t="shared" si="17"/>
        <v>41.191044776119405</v>
      </c>
      <c r="H515" s="268">
        <f t="shared" si="16"/>
        <v>0.58872957014236782</v>
      </c>
      <c r="I515" s="270"/>
      <c r="K515" s="264"/>
      <c r="L515" s="264"/>
    </row>
    <row r="516" spans="1:12" ht="12.6" customHeight="1" x14ac:dyDescent="0.25">
      <c r="A516" s="180" t="s">
        <v>532</v>
      </c>
      <c r="B516" s="243">
        <f>'Prior Year'!W72</f>
        <v>580533</v>
      </c>
      <c r="C516" s="243">
        <f>W71</f>
        <v>634052</v>
      </c>
      <c r="D516" s="243">
        <f>'Prior Year'!W59</f>
        <v>9935</v>
      </c>
      <c r="E516" s="180">
        <f>W59</f>
        <v>9957</v>
      </c>
      <c r="F516" s="266">
        <f t="shared" si="17"/>
        <v>58.433115249119275</v>
      </c>
      <c r="G516" s="266">
        <f t="shared" si="17"/>
        <v>63.679019785075823</v>
      </c>
      <c r="H516" s="268" t="str">
        <f t="shared" si="16"/>
        <v/>
      </c>
      <c r="I516" s="270"/>
      <c r="K516" s="264"/>
      <c r="L516" s="264"/>
    </row>
    <row r="517" spans="1:12" ht="12.6" customHeight="1" x14ac:dyDescent="0.25">
      <c r="A517" s="180" t="s">
        <v>533</v>
      </c>
      <c r="B517" s="243">
        <f>'Prior Year'!X72</f>
        <v>384586</v>
      </c>
      <c r="C517" s="243">
        <f>X71</f>
        <v>390217</v>
      </c>
      <c r="D517" s="243">
        <f>'Prior Year'!X59</f>
        <v>6143</v>
      </c>
      <c r="E517" s="180">
        <f>X59</f>
        <v>6233</v>
      </c>
      <c r="F517" s="266">
        <f t="shared" si="17"/>
        <v>62.605567312388082</v>
      </c>
      <c r="G517" s="266">
        <f t="shared" si="17"/>
        <v>62.605005615273541</v>
      </c>
      <c r="H517" s="268" t="str">
        <f t="shared" si="16"/>
        <v/>
      </c>
      <c r="I517" s="270"/>
      <c r="K517" s="264"/>
      <c r="L517" s="264"/>
    </row>
    <row r="518" spans="1:12" ht="12.6" customHeight="1" x14ac:dyDescent="0.25">
      <c r="A518" s="180" t="s">
        <v>534</v>
      </c>
      <c r="B518" s="243">
        <f>'Prior Year'!Y72</f>
        <v>1638891</v>
      </c>
      <c r="C518" s="243">
        <f>Y71</f>
        <v>3195322</v>
      </c>
      <c r="D518" s="243">
        <f>'Prior Year'!Y59</f>
        <v>34062</v>
      </c>
      <c r="E518" s="180">
        <f>Y59</f>
        <v>29081</v>
      </c>
      <c r="F518" s="266">
        <f t="shared" si="17"/>
        <v>48.114937466971995</v>
      </c>
      <c r="G518" s="266">
        <f t="shared" si="17"/>
        <v>109.8766204738489</v>
      </c>
      <c r="H518" s="268">
        <f t="shared" si="16"/>
        <v>1.2836280427314821</v>
      </c>
      <c r="I518" s="270"/>
      <c r="K518" s="264"/>
      <c r="L518" s="264"/>
    </row>
    <row r="519" spans="1:12" ht="12.6" customHeight="1" x14ac:dyDescent="0.25">
      <c r="A519" s="180" t="s">
        <v>535</v>
      </c>
      <c r="B519" s="243">
        <f>'Prior Year'!Z72</f>
        <v>0</v>
      </c>
      <c r="C519" s="243">
        <f>Z71</f>
        <v>0</v>
      </c>
      <c r="D519" s="243">
        <f>'Prior Year'!Z59</f>
        <v>0</v>
      </c>
      <c r="E519" s="180">
        <f>Z59</f>
        <v>0</v>
      </c>
      <c r="F519" s="266" t="str">
        <f t="shared" si="17"/>
        <v/>
      </c>
      <c r="G519" s="266" t="str">
        <f t="shared" si="17"/>
        <v/>
      </c>
      <c r="H519" s="268" t="str">
        <f t="shared" si="16"/>
        <v/>
      </c>
      <c r="I519" s="270"/>
      <c r="K519" s="264"/>
      <c r="L519" s="264"/>
    </row>
    <row r="520" spans="1:12" ht="12.6" customHeight="1" x14ac:dyDescent="0.25">
      <c r="A520" s="180" t="s">
        <v>536</v>
      </c>
      <c r="B520" s="243">
        <f>'Prior Year'!AA72</f>
        <v>238239</v>
      </c>
      <c r="C520" s="243">
        <f>AA71</f>
        <v>272727</v>
      </c>
      <c r="D520" s="243">
        <f>'Prior Year'!AA59</f>
        <v>1613</v>
      </c>
      <c r="E520" s="180">
        <f>AA59</f>
        <v>667</v>
      </c>
      <c r="F520" s="266">
        <f t="shared" si="17"/>
        <v>147.69931804091755</v>
      </c>
      <c r="G520" s="266">
        <f t="shared" si="17"/>
        <v>408.88605697151422</v>
      </c>
      <c r="H520" s="268">
        <f t="shared" si="16"/>
        <v>1.7683679409964466</v>
      </c>
      <c r="I520" s="270"/>
      <c r="K520" s="264"/>
      <c r="L520" s="264"/>
    </row>
    <row r="521" spans="1:12" ht="12.6" customHeight="1" x14ac:dyDescent="0.25">
      <c r="A521" s="180" t="s">
        <v>537</v>
      </c>
      <c r="B521" s="243">
        <f>'Prior Year'!AB72</f>
        <v>3433461</v>
      </c>
      <c r="C521" s="243">
        <f>AB71</f>
        <v>4733743</v>
      </c>
      <c r="D521" s="181" t="s">
        <v>529</v>
      </c>
      <c r="E521" s="181" t="s">
        <v>529</v>
      </c>
      <c r="F521" s="266" t="str">
        <f t="shared" si="17"/>
        <v/>
      </c>
      <c r="G521" s="266" t="str">
        <f t="shared" si="17"/>
        <v/>
      </c>
      <c r="H521" s="268" t="str">
        <f t="shared" si="16"/>
        <v/>
      </c>
      <c r="I521" s="270"/>
      <c r="K521" s="264"/>
      <c r="L521" s="264"/>
    </row>
    <row r="522" spans="1:12" ht="12.6" customHeight="1" x14ac:dyDescent="0.25">
      <c r="A522" s="180" t="s">
        <v>538</v>
      </c>
      <c r="B522" s="243">
        <f>'Prior Year'!AC72</f>
        <v>629178</v>
      </c>
      <c r="C522" s="243">
        <f>AC71</f>
        <v>661884</v>
      </c>
      <c r="D522" s="243">
        <f>'Prior Year'!AC59</f>
        <v>14004</v>
      </c>
      <c r="E522" s="180">
        <f>AC59</f>
        <v>14415</v>
      </c>
      <c r="F522" s="266">
        <f t="shared" si="17"/>
        <v>44.928449014567263</v>
      </c>
      <c r="G522" s="266">
        <f t="shared" si="17"/>
        <v>45.916337148803329</v>
      </c>
      <c r="H522" s="268" t="str">
        <f t="shared" si="16"/>
        <v/>
      </c>
      <c r="I522" s="270"/>
      <c r="K522" s="264"/>
      <c r="L522" s="264"/>
    </row>
    <row r="523" spans="1:12" ht="12.6" customHeight="1" x14ac:dyDescent="0.25">
      <c r="A523" s="180" t="s">
        <v>539</v>
      </c>
      <c r="B523" s="243">
        <f>'Prior Year'!AD72</f>
        <v>0</v>
      </c>
      <c r="C523" s="243">
        <f>AD71</f>
        <v>0</v>
      </c>
      <c r="D523" s="243">
        <f>'Prior Year'!AD59</f>
        <v>0</v>
      </c>
      <c r="E523" s="180">
        <f>AD59</f>
        <v>0</v>
      </c>
      <c r="F523" s="266" t="str">
        <f t="shared" si="17"/>
        <v/>
      </c>
      <c r="G523" s="266" t="str">
        <f t="shared" si="17"/>
        <v/>
      </c>
      <c r="H523" s="268" t="str">
        <f t="shared" si="16"/>
        <v/>
      </c>
      <c r="I523" s="270"/>
      <c r="K523" s="264"/>
      <c r="L523" s="264"/>
    </row>
    <row r="524" spans="1:12" ht="12.6" customHeight="1" x14ac:dyDescent="0.25">
      <c r="A524" s="180" t="s">
        <v>540</v>
      </c>
      <c r="B524" s="243">
        <f>'Prior Year'!AE72</f>
        <v>685937</v>
      </c>
      <c r="C524" s="243">
        <f>AE71</f>
        <v>696968</v>
      </c>
      <c r="D524" s="243">
        <f>'Prior Year'!AE59</f>
        <v>13679</v>
      </c>
      <c r="E524" s="180">
        <f>AE59</f>
        <v>14566</v>
      </c>
      <c r="F524" s="266">
        <f t="shared" si="17"/>
        <v>50.145259156371083</v>
      </c>
      <c r="G524" s="266">
        <f t="shared" si="17"/>
        <v>47.848963339283266</v>
      </c>
      <c r="H524" s="268" t="str">
        <f t="shared" si="16"/>
        <v/>
      </c>
      <c r="I524" s="270"/>
      <c r="K524" s="264"/>
      <c r="L524" s="264"/>
    </row>
    <row r="525" spans="1:12" ht="12.6" customHeight="1" x14ac:dyDescent="0.25">
      <c r="A525" s="180" t="s">
        <v>541</v>
      </c>
      <c r="B525" s="243">
        <f>'Prior Year'!AF72</f>
        <v>0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str">
        <f t="shared" si="17"/>
        <v/>
      </c>
      <c r="G525" s="266" t="str">
        <f t="shared" si="17"/>
        <v/>
      </c>
      <c r="H525" s="268" t="str">
        <f t="shared" si="16"/>
        <v/>
      </c>
      <c r="I525" s="270"/>
      <c r="K525" s="264"/>
      <c r="L525" s="264"/>
    </row>
    <row r="526" spans="1:12" ht="12.6" customHeight="1" x14ac:dyDescent="0.25">
      <c r="A526" s="180" t="s">
        <v>542</v>
      </c>
      <c r="B526" s="243">
        <f>'Prior Year'!AG72</f>
        <v>5902410</v>
      </c>
      <c r="C526" s="243">
        <f>AG71</f>
        <v>6365436</v>
      </c>
      <c r="D526" s="243">
        <f>'Prior Year'!AG59</f>
        <v>20292</v>
      </c>
      <c r="E526" s="180">
        <f>AG59</f>
        <v>20482</v>
      </c>
      <c r="F526" s="266">
        <f t="shared" si="17"/>
        <v>290.87374334713189</v>
      </c>
      <c r="G526" s="266">
        <f t="shared" si="17"/>
        <v>310.78195488721803</v>
      </c>
      <c r="H526" s="268" t="str">
        <f t="shared" si="16"/>
        <v/>
      </c>
      <c r="I526" s="270"/>
      <c r="K526" s="264"/>
      <c r="L526" s="264"/>
    </row>
    <row r="527" spans="1:12" ht="12.6" customHeight="1" x14ac:dyDescent="0.25">
      <c r="A527" s="180" t="s">
        <v>543</v>
      </c>
      <c r="B527" s="243">
        <f>'Prior Year'!AH72</f>
        <v>0</v>
      </c>
      <c r="C527" s="243">
        <f>AH71</f>
        <v>0</v>
      </c>
      <c r="D527" s="243">
        <f>'Prior Year'!AH59</f>
        <v>0</v>
      </c>
      <c r="E527" s="180">
        <f>AH59</f>
        <v>0</v>
      </c>
      <c r="F527" s="266" t="str">
        <f t="shared" si="17"/>
        <v/>
      </c>
      <c r="G527" s="266" t="str">
        <f t="shared" si="17"/>
        <v/>
      </c>
      <c r="H527" s="268" t="str">
        <f t="shared" si="16"/>
        <v/>
      </c>
      <c r="I527" s="270"/>
      <c r="K527" s="264"/>
      <c r="L527" s="264"/>
    </row>
    <row r="528" spans="1:12" ht="12.6" customHeight="1" x14ac:dyDescent="0.25">
      <c r="A528" s="180" t="s">
        <v>544</v>
      </c>
      <c r="B528" s="243">
        <f>'Prior Year'!AI72</f>
        <v>1091401</v>
      </c>
      <c r="C528" s="243">
        <f>AI71</f>
        <v>1232310</v>
      </c>
      <c r="D528" s="243">
        <f>'Prior Year'!AI59</f>
        <v>4439</v>
      </c>
      <c r="E528" s="180">
        <f>AI59</f>
        <v>5300</v>
      </c>
      <c r="F528" s="266">
        <f t="shared" ref="F528:G540" si="18">IF(B528=0,"",IF(D528=0,"",B528/D528))</f>
        <v>245.86641135390855</v>
      </c>
      <c r="G528" s="266">
        <f t="shared" si="18"/>
        <v>232.51132075471699</v>
      </c>
      <c r="H528" s="268" t="str">
        <f t="shared" si="16"/>
        <v/>
      </c>
      <c r="I528" s="270"/>
      <c r="K528" s="264"/>
      <c r="L528" s="264"/>
    </row>
    <row r="529" spans="1:12" ht="12.6" customHeight="1" x14ac:dyDescent="0.25">
      <c r="A529" s="180" t="s">
        <v>545</v>
      </c>
      <c r="B529" s="243">
        <f>'Prior Year'!AJ72</f>
        <v>8424612</v>
      </c>
      <c r="C529" s="243">
        <f>AJ71</f>
        <v>12115293</v>
      </c>
      <c r="D529" s="243">
        <f>'Prior Year'!AJ59</f>
        <v>37175</v>
      </c>
      <c r="E529" s="180">
        <f>AJ59</f>
        <v>53099</v>
      </c>
      <c r="F529" s="266">
        <f t="shared" si="18"/>
        <v>226.62036314727641</v>
      </c>
      <c r="G529" s="266">
        <f t="shared" si="18"/>
        <v>228.16424038117478</v>
      </c>
      <c r="H529" s="268" t="str">
        <f t="shared" si="16"/>
        <v/>
      </c>
      <c r="I529" s="270"/>
      <c r="K529" s="264"/>
      <c r="L529" s="264"/>
    </row>
    <row r="530" spans="1:12" ht="12.6" customHeight="1" x14ac:dyDescent="0.25">
      <c r="A530" s="180" t="s">
        <v>546</v>
      </c>
      <c r="B530" s="243">
        <f>'Prior Year'!AK72</f>
        <v>0</v>
      </c>
      <c r="C530" s="243">
        <f>AK71</f>
        <v>124109</v>
      </c>
      <c r="D530" s="243">
        <f>'Prior Year'!AK59</f>
        <v>0</v>
      </c>
      <c r="E530" s="180">
        <f>AK59</f>
        <v>0</v>
      </c>
      <c r="F530" s="266" t="str">
        <f t="shared" si="18"/>
        <v/>
      </c>
      <c r="G530" s="266" t="str">
        <f t="shared" si="18"/>
        <v/>
      </c>
      <c r="H530" s="268" t="str">
        <f t="shared" si="16"/>
        <v/>
      </c>
      <c r="I530" s="270"/>
      <c r="K530" s="264"/>
      <c r="L530" s="264"/>
    </row>
    <row r="531" spans="1:12" ht="12.6" customHeight="1" x14ac:dyDescent="0.25">
      <c r="A531" s="180" t="s">
        <v>547</v>
      </c>
      <c r="B531" s="243">
        <f>'Prior Year'!AL72</f>
        <v>13616</v>
      </c>
      <c r="C531" s="243">
        <f>AL71</f>
        <v>10908</v>
      </c>
      <c r="D531" s="243">
        <f>'Prior Year'!AL59</f>
        <v>273</v>
      </c>
      <c r="E531" s="180">
        <f>AL59</f>
        <v>199</v>
      </c>
      <c r="F531" s="266">
        <f t="shared" si="18"/>
        <v>49.875457875457876</v>
      </c>
      <c r="G531" s="266">
        <f t="shared" si="18"/>
        <v>54.814070351758794</v>
      </c>
      <c r="H531" s="268" t="str">
        <f t="shared" si="16"/>
        <v/>
      </c>
      <c r="I531" s="270"/>
      <c r="K531" s="264"/>
      <c r="L531" s="264"/>
    </row>
    <row r="532" spans="1:12" ht="12.6" customHeight="1" x14ac:dyDescent="0.25">
      <c r="A532" s="180" t="s">
        <v>548</v>
      </c>
      <c r="B532" s="243">
        <f>'Prior Year'!AM72</f>
        <v>0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str">
        <f t="shared" si="18"/>
        <v/>
      </c>
      <c r="G532" s="266" t="str">
        <f t="shared" si="18"/>
        <v/>
      </c>
      <c r="H532" s="268" t="str">
        <f t="shared" si="16"/>
        <v/>
      </c>
      <c r="I532" s="270"/>
      <c r="K532" s="264"/>
      <c r="L532" s="264"/>
    </row>
    <row r="533" spans="1:12" ht="12.6" customHeight="1" x14ac:dyDescent="0.25">
      <c r="A533" s="180" t="s">
        <v>1247</v>
      </c>
      <c r="B533" s="243">
        <f>'Prior Year'!AN72</f>
        <v>0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str">
        <f t="shared" si="18"/>
        <v/>
      </c>
      <c r="G533" s="266" t="str">
        <f t="shared" si="18"/>
        <v/>
      </c>
      <c r="H533" s="268" t="str">
        <f t="shared" si="16"/>
        <v/>
      </c>
      <c r="I533" s="270"/>
      <c r="K533" s="264"/>
      <c r="L533" s="264"/>
    </row>
    <row r="534" spans="1:12" ht="12.6" customHeight="1" x14ac:dyDescent="0.25">
      <c r="A534" s="180" t="s">
        <v>549</v>
      </c>
      <c r="B534" s="243">
        <f>'Prior Year'!AO72</f>
        <v>0</v>
      </c>
      <c r="C534" s="243">
        <f>AO71</f>
        <v>0</v>
      </c>
      <c r="D534" s="243">
        <f>'Prior Year'!AO59</f>
        <v>0</v>
      </c>
      <c r="E534" s="180">
        <f>AO59</f>
        <v>0</v>
      </c>
      <c r="F534" s="266" t="str">
        <f t="shared" si="18"/>
        <v/>
      </c>
      <c r="G534" s="266" t="str">
        <f t="shared" si="18"/>
        <v/>
      </c>
      <c r="H534" s="268" t="str">
        <f t="shared" si="16"/>
        <v/>
      </c>
      <c r="I534" s="270"/>
      <c r="K534" s="264"/>
      <c r="L534" s="264"/>
    </row>
    <row r="535" spans="1:12" ht="12.6" customHeight="1" x14ac:dyDescent="0.25">
      <c r="A535" s="180" t="s">
        <v>550</v>
      </c>
      <c r="B535" s="243">
        <f>'Prior Year'!AP72</f>
        <v>526887</v>
      </c>
      <c r="C535" s="243">
        <f>AP71</f>
        <v>870868</v>
      </c>
      <c r="D535" s="243">
        <f>'Prior Year'!AP59</f>
        <v>7145</v>
      </c>
      <c r="E535" s="180">
        <f>AP59</f>
        <v>4719</v>
      </c>
      <c r="F535" s="266">
        <f t="shared" si="18"/>
        <v>73.742057382785163</v>
      </c>
      <c r="G535" s="266">
        <f t="shared" si="18"/>
        <v>184.54503072684892</v>
      </c>
      <c r="H535" s="268">
        <f t="shared" si="16"/>
        <v>1.5025750199631718</v>
      </c>
      <c r="I535" s="270"/>
      <c r="K535" s="264"/>
      <c r="L535" s="264"/>
    </row>
    <row r="536" spans="1:12" ht="12.6" customHeight="1" x14ac:dyDescent="0.25">
      <c r="A536" s="180" t="s">
        <v>551</v>
      </c>
      <c r="B536" s="243">
        <f>'Prior Year'!AQ72</f>
        <v>0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str">
        <f t="shared" si="18"/>
        <v/>
      </c>
      <c r="G536" s="266" t="str">
        <f t="shared" si="18"/>
        <v/>
      </c>
      <c r="H536" s="268" t="str">
        <f t="shared" si="16"/>
        <v/>
      </c>
      <c r="I536" s="270"/>
      <c r="K536" s="264"/>
      <c r="L536" s="264"/>
    </row>
    <row r="537" spans="1:12" ht="12.6" customHeight="1" x14ac:dyDescent="0.25">
      <c r="A537" s="180" t="s">
        <v>552</v>
      </c>
      <c r="B537" s="243">
        <f>'Prior Year'!AR72</f>
        <v>0</v>
      </c>
      <c r="C537" s="243">
        <f>AR71</f>
        <v>0</v>
      </c>
      <c r="D537" s="243">
        <f>'Prior Year'!AR59</f>
        <v>0</v>
      </c>
      <c r="E537" s="180">
        <f>AR59</f>
        <v>0</v>
      </c>
      <c r="F537" s="266" t="str">
        <f t="shared" si="18"/>
        <v/>
      </c>
      <c r="G537" s="266" t="str">
        <f t="shared" si="18"/>
        <v/>
      </c>
      <c r="H537" s="268" t="str">
        <f t="shared" si="16"/>
        <v/>
      </c>
      <c r="I537" s="270"/>
      <c r="K537" s="264"/>
      <c r="L537" s="264"/>
    </row>
    <row r="538" spans="1:12" ht="12.6" customHeight="1" x14ac:dyDescent="0.25">
      <c r="A538" s="180" t="s">
        <v>553</v>
      </c>
      <c r="B538" s="243">
        <f>'Prior Year'!AS72</f>
        <v>0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str">
        <f t="shared" si="18"/>
        <v/>
      </c>
      <c r="G538" s="266" t="str">
        <f t="shared" si="18"/>
        <v/>
      </c>
      <c r="H538" s="268" t="str">
        <f t="shared" si="16"/>
        <v/>
      </c>
      <c r="I538" s="270"/>
      <c r="K538" s="264"/>
      <c r="L538" s="264"/>
    </row>
    <row r="539" spans="1:12" ht="12.6" customHeight="1" x14ac:dyDescent="0.25">
      <c r="A539" s="180" t="s">
        <v>554</v>
      </c>
      <c r="B539" s="243">
        <f>'Prior Year'!AT72</f>
        <v>0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str">
        <f t="shared" si="18"/>
        <v/>
      </c>
      <c r="G539" s="266" t="str">
        <f t="shared" si="18"/>
        <v/>
      </c>
      <c r="H539" s="268" t="str">
        <f t="shared" si="16"/>
        <v/>
      </c>
      <c r="I539" s="270"/>
      <c r="K539" s="264"/>
      <c r="L539" s="264"/>
    </row>
    <row r="540" spans="1:12" ht="12.6" customHeight="1" x14ac:dyDescent="0.25">
      <c r="A540" s="180" t="s">
        <v>555</v>
      </c>
      <c r="B540" s="243">
        <f>'Prior Year'!AU72</f>
        <v>0</v>
      </c>
      <c r="C540" s="243">
        <f>AU71</f>
        <v>0</v>
      </c>
      <c r="D540" s="243">
        <f>'Prior Year'!AU59</f>
        <v>0</v>
      </c>
      <c r="E540" s="180">
        <f>AU59</f>
        <v>0</v>
      </c>
      <c r="F540" s="266" t="str">
        <f t="shared" si="18"/>
        <v/>
      </c>
      <c r="G540" s="266" t="str">
        <f t="shared" si="18"/>
        <v/>
      </c>
      <c r="H540" s="268" t="str">
        <f t="shared" si="16"/>
        <v/>
      </c>
      <c r="I540" s="270"/>
      <c r="K540" s="264"/>
      <c r="L540" s="264"/>
    </row>
    <row r="541" spans="1:12" ht="12.6" customHeight="1" x14ac:dyDescent="0.25">
      <c r="A541" s="180" t="s">
        <v>556</v>
      </c>
      <c r="B541" s="243">
        <f>'Prior Year'!AV72</f>
        <v>128441</v>
      </c>
      <c r="C541" s="243">
        <f>AV71</f>
        <v>171239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1248</v>
      </c>
      <c r="B542" s="243">
        <f>'Prior Year'!AW72</f>
        <v>0</v>
      </c>
      <c r="C542" s="243">
        <f>AW71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557</v>
      </c>
      <c r="B543" s="243">
        <f>'Prior Year'!AX72</f>
        <v>0</v>
      </c>
      <c r="C543" s="243">
        <f>AX71</f>
        <v>33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" customHeight="1" x14ac:dyDescent="0.25">
      <c r="A544" s="180" t="s">
        <v>558</v>
      </c>
      <c r="B544" s="243">
        <f>'Prior Year'!AY72</f>
        <v>1584251</v>
      </c>
      <c r="C544" s="243">
        <f>AY71</f>
        <v>1673336</v>
      </c>
      <c r="D544" s="243">
        <f>'Prior Year'!AY59</f>
        <v>27498</v>
      </c>
      <c r="E544" s="180">
        <f>AY59</f>
        <v>28005</v>
      </c>
      <c r="F544" s="266">
        <f t="shared" ref="F544:G550" si="19">IF(B544=0,"",IF(D544=0,"",B544/D544))</f>
        <v>57.613317332169615</v>
      </c>
      <c r="G544" s="266">
        <f t="shared" si="19"/>
        <v>59.7513301196215</v>
      </c>
      <c r="H544" s="268" t="str">
        <f t="shared" si="16"/>
        <v/>
      </c>
      <c r="I544" s="270"/>
      <c r="K544" s="264"/>
      <c r="L544" s="264"/>
    </row>
    <row r="545" spans="1:13" ht="12.6" customHeight="1" x14ac:dyDescent="0.25">
      <c r="A545" s="180" t="s">
        <v>559</v>
      </c>
      <c r="B545" s="243">
        <f>'Prior Year'!AZ72</f>
        <v>0</v>
      </c>
      <c r="C545" s="243">
        <f>AZ71</f>
        <v>0</v>
      </c>
      <c r="D545" s="243">
        <f>'Prior Year'!AZ59</f>
        <v>27498</v>
      </c>
      <c r="E545" s="180">
        <f>AZ59</f>
        <v>28005</v>
      </c>
      <c r="F545" s="266" t="str">
        <f t="shared" si="19"/>
        <v/>
      </c>
      <c r="G545" s="266" t="str">
        <f t="shared" si="19"/>
        <v/>
      </c>
      <c r="H545" s="268" t="str">
        <f t="shared" si="16"/>
        <v/>
      </c>
      <c r="I545" s="270"/>
      <c r="K545" s="264"/>
      <c r="L545" s="264"/>
    </row>
    <row r="546" spans="1:13" ht="12.6" customHeight="1" x14ac:dyDescent="0.25">
      <c r="A546" s="180" t="s">
        <v>560</v>
      </c>
      <c r="B546" s="243">
        <f>'Prior Year'!BA72</f>
        <v>351543</v>
      </c>
      <c r="C546" s="243">
        <f>BA71</f>
        <v>292458</v>
      </c>
      <c r="D546" s="243">
        <f>'Prior Year'!BA59</f>
        <v>0</v>
      </c>
      <c r="E546" s="180">
        <f>BA59</f>
        <v>0</v>
      </c>
      <c r="F546" s="266" t="str">
        <f t="shared" si="19"/>
        <v/>
      </c>
      <c r="G546" s="266" t="str">
        <f t="shared" si="19"/>
        <v/>
      </c>
      <c r="H546" s="268" t="str">
        <f t="shared" si="16"/>
        <v/>
      </c>
      <c r="I546" s="270"/>
      <c r="K546" s="264"/>
      <c r="L546" s="264"/>
    </row>
    <row r="547" spans="1:13" ht="12.6" customHeight="1" x14ac:dyDescent="0.25">
      <c r="A547" s="180" t="s">
        <v>561</v>
      </c>
      <c r="B547" s="243">
        <f>'Prior Year'!BB72</f>
        <v>1317600</v>
      </c>
      <c r="C547" s="243">
        <f>BB71</f>
        <v>1669642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562</v>
      </c>
      <c r="B548" s="243">
        <f>'Prior Year'!BC72</f>
        <v>0</v>
      </c>
      <c r="C548" s="243">
        <f>BC71</f>
        <v>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563</v>
      </c>
      <c r="B549" s="243">
        <f>'Prior Year'!BD72</f>
        <v>756235</v>
      </c>
      <c r="C549" s="243">
        <f>BD71</f>
        <v>768639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" customHeight="1" x14ac:dyDescent="0.25">
      <c r="A550" s="180" t="s">
        <v>564</v>
      </c>
      <c r="B550" s="243">
        <f>'Prior Year'!BE72</f>
        <v>1860812</v>
      </c>
      <c r="C550" s="243">
        <f>BE71</f>
        <v>3226091</v>
      </c>
      <c r="D550" s="243">
        <f>'Prior Year'!BE59</f>
        <v>230046</v>
      </c>
      <c r="E550" s="180">
        <f>BE59</f>
        <v>236253</v>
      </c>
      <c r="F550" s="266">
        <f t="shared" si="19"/>
        <v>8.0888691826852028</v>
      </c>
      <c r="G550" s="266">
        <f t="shared" si="19"/>
        <v>13.655238240360969</v>
      </c>
      <c r="H550" s="268">
        <f t="shared" si="16"/>
        <v>0.68815169734614745</v>
      </c>
      <c r="I550" s="270"/>
      <c r="K550" s="264"/>
      <c r="L550" s="264"/>
    </row>
    <row r="551" spans="1:13" ht="12.6" customHeight="1" x14ac:dyDescent="0.25">
      <c r="A551" s="180" t="s">
        <v>565</v>
      </c>
      <c r="B551" s="243">
        <f>'Prior Year'!BF72</f>
        <v>1467169</v>
      </c>
      <c r="C551" s="243">
        <f>BF71</f>
        <v>1603144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" customHeight="1" x14ac:dyDescent="0.25">
      <c r="A552" s="180" t="s">
        <v>566</v>
      </c>
      <c r="B552" s="243">
        <f>'Prior Year'!BG72</f>
        <v>0</v>
      </c>
      <c r="C552" s="243">
        <f>BG71</f>
        <v>0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567</v>
      </c>
      <c r="B553" s="243">
        <f>'Prior Year'!BH72</f>
        <v>3045637</v>
      </c>
      <c r="C553" s="243">
        <f>BH71</f>
        <v>3098056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568</v>
      </c>
      <c r="B554" s="243">
        <f>'Prior Year'!BI72</f>
        <v>0</v>
      </c>
      <c r="C554" s="243">
        <f>BI71</f>
        <v>0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569</v>
      </c>
      <c r="B555" s="243">
        <f>'Prior Year'!BJ72</f>
        <v>769934</v>
      </c>
      <c r="C555" s="243">
        <f>BJ71</f>
        <v>786473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570</v>
      </c>
      <c r="B556" s="243">
        <f>'Prior Year'!BK72</f>
        <v>2810852</v>
      </c>
      <c r="C556" s="243">
        <f>BK71</f>
        <v>1714133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571</v>
      </c>
      <c r="B557" s="243">
        <f>'Prior Year'!BL72</f>
        <v>815160</v>
      </c>
      <c r="C557" s="243">
        <f>BL71</f>
        <v>911532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572</v>
      </c>
      <c r="B558" s="243">
        <f>'Prior Year'!BM72</f>
        <v>233037</v>
      </c>
      <c r="C558" s="243">
        <f>BM71</f>
        <v>286249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573</v>
      </c>
      <c r="B559" s="243">
        <f>'Prior Year'!BN72</f>
        <v>3324982</v>
      </c>
      <c r="C559" s="243">
        <f>BN71</f>
        <v>3756361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574</v>
      </c>
      <c r="B560" s="243">
        <f>'Prior Year'!BO72</f>
        <v>60636</v>
      </c>
      <c r="C560" s="243">
        <f>BO71</f>
        <v>153285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575</v>
      </c>
      <c r="B561" s="243">
        <f>'Prior Year'!BP72</f>
        <v>775863</v>
      </c>
      <c r="C561" s="243">
        <f>BP71</f>
        <v>820081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576</v>
      </c>
      <c r="B562" s="243">
        <f>'Prior Year'!BQ72</f>
        <v>0</v>
      </c>
      <c r="C562" s="243">
        <f>BQ71</f>
        <v>87336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577</v>
      </c>
      <c r="B563" s="243">
        <f>'Prior Year'!BR72</f>
        <v>1144105</v>
      </c>
      <c r="C563" s="243">
        <f>BR71</f>
        <v>1009086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1249</v>
      </c>
      <c r="B564" s="243">
        <f>'Prior Year'!BS72</f>
        <v>94874</v>
      </c>
      <c r="C564" s="243">
        <f>BS71</f>
        <v>18507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578</v>
      </c>
      <c r="B565" s="243">
        <f>'Prior Year'!BT72</f>
        <v>0</v>
      </c>
      <c r="C565" s="243">
        <f>BT71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579</v>
      </c>
      <c r="B566" s="243">
        <f>'Prior Year'!BU72</f>
        <v>8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580</v>
      </c>
      <c r="B567" s="243">
        <f>'Prior Year'!BV72</f>
        <v>1652678</v>
      </c>
      <c r="C567" s="243">
        <f>BV71</f>
        <v>1568842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581</v>
      </c>
      <c r="B568" s="243">
        <f>'Prior Year'!BW72</f>
        <v>232601</v>
      </c>
      <c r="C568" s="243">
        <f>BW71</f>
        <v>292571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582</v>
      </c>
      <c r="B569" s="243">
        <f>'Prior Year'!BX72</f>
        <v>0</v>
      </c>
      <c r="C569" s="243">
        <f>BX71</f>
        <v>0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583</v>
      </c>
      <c r="B570" s="243">
        <f>'Prior Year'!BY72</f>
        <v>399776</v>
      </c>
      <c r="C570" s="243">
        <f>BY71</f>
        <v>491804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584</v>
      </c>
      <c r="B571" s="243">
        <f>'Prior Year'!BZ72</f>
        <v>167525</v>
      </c>
      <c r="C571" s="243">
        <f>BZ71</f>
        <v>194959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585</v>
      </c>
      <c r="B572" s="243">
        <f>'Prior Year'!CA72</f>
        <v>146447</v>
      </c>
      <c r="C572" s="243">
        <f>CA71</f>
        <v>641405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586</v>
      </c>
      <c r="B573" s="243">
        <f>'Prior Year'!CB72</f>
        <v>1908</v>
      </c>
      <c r="C573" s="243">
        <f>CB71</f>
        <v>22497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587</v>
      </c>
      <c r="B574" s="243">
        <f>'Prior Year'!CC72</f>
        <v>610078</v>
      </c>
      <c r="C574" s="243">
        <f>CC71</f>
        <v>626418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" customHeight="1" x14ac:dyDescent="0.25">
      <c r="A575" s="180" t="s">
        <v>588</v>
      </c>
      <c r="B575" s="243">
        <f>'Prior Year'!CD72</f>
        <v>-2555384</v>
      </c>
      <c r="C575" s="243">
        <f>CD71</f>
        <v>-2251074</v>
      </c>
      <c r="D575" s="181" t="s">
        <v>529</v>
      </c>
      <c r="E575" s="181" t="s">
        <v>529</v>
      </c>
      <c r="F575" s="266"/>
      <c r="G575" s="266"/>
      <c r="H575" s="268"/>
    </row>
    <row r="576" spans="1:13" ht="12.6" customHeight="1" x14ac:dyDescent="0.25">
      <c r="M576" s="268"/>
    </row>
    <row r="577" spans="13:13" ht="12.6" customHeight="1" x14ac:dyDescent="0.25">
      <c r="M577" s="268"/>
    </row>
    <row r="578" spans="13:13" ht="12.6" customHeight="1" x14ac:dyDescent="0.25">
      <c r="M578" s="268"/>
    </row>
    <row r="612" spans="1:14" ht="12.6" customHeight="1" x14ac:dyDescent="0.25">
      <c r="A612" s="196"/>
      <c r="C612" s="181" t="s">
        <v>589</v>
      </c>
      <c r="D612" s="180">
        <f>CE76-(BE76+CD76)</f>
        <v>211087</v>
      </c>
      <c r="E612" s="180">
        <f>SUM(C624:D647)+SUM(C668:D713)</f>
        <v>75186867.552800521</v>
      </c>
      <c r="F612" s="180">
        <f>CE64-(AX64+BD64+BE64+BG64+BJ64+BN64+BP64+BQ64+CB64+CC64+CD64)</f>
        <v>12040387</v>
      </c>
      <c r="G612" s="180">
        <f>CE77-(AX77+AY77+BD77+BE77+BG77+BJ77+BN77+BP77+BQ77+CB77+CC77+CD77)</f>
        <v>28005</v>
      </c>
      <c r="H612" s="197">
        <f>CE60-(AX60+AY60+AZ60+BD60+BE60+BG60+BJ60+BN60+BO60+BP60+BQ60+BR60+CB60+CC60+CD60)</f>
        <v>349.15999999999997</v>
      </c>
      <c r="I612" s="180">
        <f>CE78-(AX78+AY78+AZ78+BD78+BE78+BF78+BG78+BJ78+BN78+BO78+BP78+BQ78+BR78+CB78+CC78+CD78)</f>
        <v>157904</v>
      </c>
      <c r="J612" s="180">
        <f>CE79-(AX79+AY79+AZ79+BA79+BD79+BE79+BF79+BG79+BJ79+BN79+BO79+BP79+BQ79+BR79+CB79+CC79+CD79)</f>
        <v>370801.27</v>
      </c>
      <c r="K612" s="180">
        <f>CE75-(AW75+AX75+AY75+AZ75+BA75+BB75+BC75+BD75+BE75+BF75+BG75+BH75+BI75+BJ75+BK75+BL75+BM75+BN75+BO75+BP75+BQ75+BR75+BS75+BT75+BU75+BV75+BW75+BX75+CB75+CC75+CD75)</f>
        <v>240639716</v>
      </c>
      <c r="L612" s="197">
        <f>CE80-(AW80+AX80+AY80+AZ80+BA80+BB80+BC80+BD80+BE80+BF80+BG80+BH80+BI80+BJ80+BK80+BL80+BM80+BN80+BO80+BP80+BQ80+BR80+BS80+BT80+BU80+BV80+BW80+BX80+BY80+BZ80+CA80+CB80+CC80+CD80)</f>
        <v>119.38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3226091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6">
        <f>CD69-CD70</f>
        <v>-2251074</v>
      </c>
      <c r="D615" s="269">
        <f>SUM(C614:C615)</f>
        <v>975017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33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786473</v>
      </c>
      <c r="D617" s="180">
        <f>(D615/D612)*BJ76</f>
        <v>6896.210477196606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3756361</v>
      </c>
      <c r="D619" s="180">
        <f>(D615/D612)*BN76</f>
        <v>135757.8848863265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626418</v>
      </c>
      <c r="D620" s="180">
        <f>(D615/D612)*CC76</f>
        <v>1251.7568917081583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820081</v>
      </c>
      <c r="D621" s="180">
        <f>(D615/D612)*BP76</f>
        <v>5542.8349448331728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22497</v>
      </c>
      <c r="D622" s="180">
        <f>(D615/D612)*CB76</f>
        <v>475.75999943151402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87336</v>
      </c>
      <c r="D623" s="180">
        <f>(D615/D612)*BQ76</f>
        <v>0</v>
      </c>
      <c r="E623" s="180">
        <f>SUM(C616:D623)</f>
        <v>6249123.4471994955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768639</v>
      </c>
      <c r="D624" s="180">
        <f>(D615/D612)*BD76</f>
        <v>22300.672594712134</v>
      </c>
      <c r="E624" s="180">
        <f>(E623/E612)*SUM(C624:D624)</f>
        <v>65738.603218984688</v>
      </c>
      <c r="F624" s="180">
        <f>SUM(C624:E624)</f>
        <v>856678.27581369679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1673336</v>
      </c>
      <c r="D625" s="180">
        <f>(D615/D612)*AY76</f>
        <v>34975.288501897325</v>
      </c>
      <c r="E625" s="180">
        <f>(E623/E612)*SUM(C625:D625)</f>
        <v>141985.5418314359</v>
      </c>
      <c r="F625" s="180">
        <f>(F624/F612)*AY64</f>
        <v>35003.503455552163</v>
      </c>
      <c r="G625" s="180">
        <f>SUM(C625:F625)</f>
        <v>1885300.3337888855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1009086</v>
      </c>
      <c r="D626" s="180">
        <f>(D615/D612)*BR76</f>
        <v>7764.5879518871361</v>
      </c>
      <c r="E626" s="180">
        <f>(E623/E612)*SUM(C626:D626)</f>
        <v>84515.089646556837</v>
      </c>
      <c r="F626" s="180">
        <f>(F624/F612)*BR64</f>
        <v>1132.7142683166292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153285</v>
      </c>
      <c r="D627" s="180">
        <f>(D615/D612)*BO76</f>
        <v>974.6151444664996</v>
      </c>
      <c r="E627" s="180">
        <f>(E623/E612)*SUM(C627:D627)</f>
        <v>12821.220105735736</v>
      </c>
      <c r="F627" s="180">
        <f>(F624/F612)*BO64</f>
        <v>3548.4835869192993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1273127.7107038822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1603144</v>
      </c>
      <c r="D629" s="180">
        <f>(D615/D612)*BF76</f>
        <v>16231.268330119809</v>
      </c>
      <c r="E629" s="180">
        <f>(E623/E612)*SUM(C629:D629)</f>
        <v>134593.66360794471</v>
      </c>
      <c r="F629" s="180">
        <f>(F624/F612)*BF64</f>
        <v>16560.182992237882</v>
      </c>
      <c r="G629" s="180">
        <f>(G625/G612)*BF77</f>
        <v>0</v>
      </c>
      <c r="H629" s="180">
        <f>(H628/H612)*BF60</f>
        <v>85687.080998800651</v>
      </c>
      <c r="I629" s="180">
        <f>SUM(C629:H629)</f>
        <v>1856216.1959291031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292458</v>
      </c>
      <c r="D630" s="180">
        <f>(D615/D612)*BA76</f>
        <v>3117.8446564686597</v>
      </c>
      <c r="E630" s="180">
        <f>(E623/E612)*SUM(C630:D630)</f>
        <v>24566.656404077505</v>
      </c>
      <c r="F630" s="180">
        <f>(F624/F612)*BA64</f>
        <v>29.740864582685361</v>
      </c>
      <c r="G630" s="180">
        <f>(G625/G612)*BA77</f>
        <v>0</v>
      </c>
      <c r="H630" s="180">
        <f>(H628/H612)*BA60</f>
        <v>0</v>
      </c>
      <c r="I630" s="180">
        <f>(I629/I612)*BA78</f>
        <v>7782.0392244975828</v>
      </c>
      <c r="J630" s="180">
        <f>SUM(C630:I630)</f>
        <v>327954.28114962642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1669642</v>
      </c>
      <c r="D632" s="180">
        <f>(D615/D612)*BB76</f>
        <v>2776.0365015372809</v>
      </c>
      <c r="E632" s="180">
        <f>(E623/E612)*SUM(C632:D632)</f>
        <v>139002.28996881278</v>
      </c>
      <c r="F632" s="180">
        <f>(F624/F612)*BB64</f>
        <v>83.317111067762099</v>
      </c>
      <c r="G632" s="180">
        <f>(G625/G612)*BB77</f>
        <v>0</v>
      </c>
      <c r="H632" s="180">
        <f>(H628/H612)*BB60</f>
        <v>38942.043619880467</v>
      </c>
      <c r="I632" s="180">
        <f>(I629/I612)*BB78</f>
        <v>6935.6542937365166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1714133</v>
      </c>
      <c r="D635" s="180">
        <f>(D615/D612)*BK76</f>
        <v>8859.2978534916874</v>
      </c>
      <c r="E635" s="180">
        <f>(E623/E612)*SUM(C635:D635)</f>
        <v>143205.74747044826</v>
      </c>
      <c r="F635" s="180">
        <f>(F624/F612)*BK64</f>
        <v>1739.6271269058782</v>
      </c>
      <c r="G635" s="180">
        <f>(G625/G612)*BK77</f>
        <v>0</v>
      </c>
      <c r="H635" s="180">
        <f>(H628/H612)*BK60</f>
        <v>50208.983206531273</v>
      </c>
      <c r="I635" s="180">
        <f>(I629/I612)*BK78</f>
        <v>22147.07235491457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3098056</v>
      </c>
      <c r="D636" s="180">
        <f>(D615/D612)*BH76</f>
        <v>16859.456290534235</v>
      </c>
      <c r="E636" s="180">
        <f>(E623/E612)*SUM(C636:D636)</f>
        <v>258894.82894442318</v>
      </c>
      <c r="F636" s="180">
        <f>(F624/F612)*BH64</f>
        <v>663.83317358003455</v>
      </c>
      <c r="G636" s="180">
        <f>(G625/G612)*BH77</f>
        <v>0</v>
      </c>
      <c r="H636" s="180">
        <f>(H628/H612)*BH60</f>
        <v>25341.498423049554</v>
      </c>
      <c r="I636" s="180">
        <f>(I629/I612)*BH78</f>
        <v>42131.160997884195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911532</v>
      </c>
      <c r="D637" s="180">
        <f>(D615/D612)*BL76</f>
        <v>6295.7366915063458</v>
      </c>
      <c r="E637" s="180">
        <f>(E623/E612)*SUM(C637:D637)</f>
        <v>76284.848890945708</v>
      </c>
      <c r="F637" s="180">
        <f>(F624/F612)*BL64</f>
        <v>1127.5914399674584</v>
      </c>
      <c r="G637" s="180">
        <f>(G625/G612)*BL77</f>
        <v>0</v>
      </c>
      <c r="H637" s="180">
        <f>(H628/H612)*BL60</f>
        <v>56298.235345594978</v>
      </c>
      <c r="I637" s="180">
        <f>(I629/I612)*BL78</f>
        <v>15728.65329664315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286249</v>
      </c>
      <c r="D638" s="180">
        <f>(D615/D612)*BM76</f>
        <v>0</v>
      </c>
      <c r="E638" s="180">
        <f>(E623/E612)*SUM(C638:D638)</f>
        <v>23791.459810201653</v>
      </c>
      <c r="F638" s="180">
        <f>(F624/F612)*BM64</f>
        <v>-62.18544412743303</v>
      </c>
      <c r="G638" s="180">
        <f>(G625/G612)*BM77</f>
        <v>0</v>
      </c>
      <c r="H638" s="180">
        <f>(H628/H612)*BM60</f>
        <v>3281.6328893157697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18507</v>
      </c>
      <c r="D639" s="180">
        <f>(D615/D612)*BS76</f>
        <v>4235.6497036766832</v>
      </c>
      <c r="E639" s="180">
        <f>(E623/E612)*SUM(C639:D639)</f>
        <v>1890.2453332676039</v>
      </c>
      <c r="F639" s="180">
        <f>(F624/F612)*BS64</f>
        <v>83.174810280285143</v>
      </c>
      <c r="G639" s="180">
        <f>(G625/G612)*BS77</f>
        <v>0</v>
      </c>
      <c r="H639" s="180">
        <f>(H628/H612)*BS60</f>
        <v>109.38776297719231</v>
      </c>
      <c r="I639" s="180">
        <f>(I629/I612)*BS78</f>
        <v>10579.811634513329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1568842</v>
      </c>
      <c r="D642" s="180">
        <f>(D615/D612)*BV76</f>
        <v>7787.6830974906079</v>
      </c>
      <c r="E642" s="180">
        <f>(E623/E612)*SUM(C642:D642)</f>
        <v>131040.88308076156</v>
      </c>
      <c r="F642" s="180">
        <f>(F624/F612)*BV64</f>
        <v>553.47891289164932</v>
      </c>
      <c r="G642" s="180">
        <f>(G625/G612)*BV77</f>
        <v>0</v>
      </c>
      <c r="H642" s="180">
        <f>(H628/H612)*BV60</f>
        <v>43973.880716831314</v>
      </c>
      <c r="I642" s="180">
        <f>(I629/I612)*BV78</f>
        <v>19466.853407504528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292571</v>
      </c>
      <c r="D643" s="180">
        <f>(D615/D612)*BW76</f>
        <v>4461.9821305907044</v>
      </c>
      <c r="E643" s="180">
        <f>(E623/E612)*SUM(C643:D643)</f>
        <v>24687.765744733762</v>
      </c>
      <c r="F643" s="180">
        <f>(F624/F612)*BW64</f>
        <v>668.95600192920517</v>
      </c>
      <c r="G643" s="180">
        <f>(G625/G612)*BW77</f>
        <v>0</v>
      </c>
      <c r="H643" s="180">
        <f>(H628/H612)*BW60</f>
        <v>4047.347230156116</v>
      </c>
      <c r="I643" s="180">
        <f>(I629/I612)*BW78</f>
        <v>11155.823601281278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10764811.743425731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491804</v>
      </c>
      <c r="D645" s="180">
        <f>(D615/D612)*BY76</f>
        <v>2859.1790257097782</v>
      </c>
      <c r="E645" s="180">
        <f>(E623/E612)*SUM(C645:D645)</f>
        <v>41113.712688522093</v>
      </c>
      <c r="F645" s="180">
        <f>(F624/F612)*BY64</f>
        <v>905.81566268461086</v>
      </c>
      <c r="G645" s="180">
        <f>(G625/G612)*BY77</f>
        <v>0</v>
      </c>
      <c r="H645" s="180">
        <f>(H628/H612)*BY60</f>
        <v>9443.8102036976034</v>
      </c>
      <c r="I645" s="180">
        <f>(I629/I612)*BY78</f>
        <v>7147.2505264267829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194959</v>
      </c>
      <c r="D646" s="180">
        <f>(D615/D612)*BZ76</f>
        <v>0</v>
      </c>
      <c r="E646" s="180">
        <f>(E623/E612)*SUM(C646:D646)</f>
        <v>16203.9315880129</v>
      </c>
      <c r="F646" s="180">
        <f>(F624/F612)*BZ64</f>
        <v>0</v>
      </c>
      <c r="G646" s="180">
        <f>(G625/G612)*BZ77</f>
        <v>0</v>
      </c>
      <c r="H646" s="180">
        <f>(H628/H612)*BZ60</f>
        <v>1968.9797335894618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641405</v>
      </c>
      <c r="D647" s="180">
        <f>(D615/D612)*CA76</f>
        <v>36416.425587553946</v>
      </c>
      <c r="E647" s="180">
        <f>(E623/E612)*SUM(C647:D647)</f>
        <v>56336.829841710824</v>
      </c>
      <c r="F647" s="180">
        <f>(F624/F612)*CA64</f>
        <v>10242.383780229398</v>
      </c>
      <c r="G647" s="180">
        <f>(G625/G612)*CA77</f>
        <v>0</v>
      </c>
      <c r="H647" s="180">
        <f>(H628/H612)*CA60</f>
        <v>10975.238885378296</v>
      </c>
      <c r="I647" s="180">
        <f>(I629/I612)*CA78</f>
        <v>90998.135403075212</v>
      </c>
      <c r="J647" s="180">
        <f>(J630/J612)*CA79</f>
        <v>0</v>
      </c>
      <c r="K647" s="180">
        <v>0</v>
      </c>
      <c r="L647" s="180">
        <f>SUM(C645:K647)</f>
        <v>1612779.6929265913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23461864</v>
      </c>
      <c r="L648" s="269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7123398</v>
      </c>
      <c r="D670" s="180">
        <f>(D615/D612)*E76</f>
        <v>94958.000663233644</v>
      </c>
      <c r="E670" s="180">
        <f>(E623/E612)*SUM(C670:D670)</f>
        <v>599950.48606460553</v>
      </c>
      <c r="F670" s="180">
        <f>(F624/F612)*E64</f>
        <v>38366.35566520776</v>
      </c>
      <c r="G670" s="180">
        <f>(G625/G612)*E77</f>
        <v>1409885.5522421219</v>
      </c>
      <c r="H670" s="180">
        <f>(H628/H612)*E60</f>
        <v>147454.70449325524</v>
      </c>
      <c r="I670" s="180">
        <f>(I629/I612)*E78</f>
        <v>237281.66426961284</v>
      </c>
      <c r="J670" s="180">
        <f>(J630/J612)*E79</f>
        <v>89851.912794882548</v>
      </c>
      <c r="K670" s="180">
        <f>(K644/K612)*E75</f>
        <v>804935.49834972341</v>
      </c>
      <c r="L670" s="180">
        <f>(L647/L612)*E80</f>
        <v>519040.00504472811</v>
      </c>
      <c r="M670" s="180">
        <f t="shared" si="20"/>
        <v>3941724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4319686</v>
      </c>
      <c r="D671" s="180">
        <f>(D615/D612)*F76</f>
        <v>60162.854297043399</v>
      </c>
      <c r="E671" s="180">
        <f>(E623/E612)*SUM(C671:D671)</f>
        <v>364029.21230036044</v>
      </c>
      <c r="F671" s="180">
        <f>(F624/F612)*F64</f>
        <v>4245.1170920127734</v>
      </c>
      <c r="G671" s="180">
        <f>(G625/G612)*F77</f>
        <v>400285.51275517629</v>
      </c>
      <c r="H671" s="180">
        <f>(H628/H612)*F60</f>
        <v>110481.64060696424</v>
      </c>
      <c r="I671" s="180">
        <f>(I629/I612)*F78</f>
        <v>150339.1233264344</v>
      </c>
      <c r="J671" s="180">
        <f>(J630/J612)*F79</f>
        <v>66277.201693198935</v>
      </c>
      <c r="K671" s="180">
        <f>(K644/K612)*F75</f>
        <v>208980.87775340778</v>
      </c>
      <c r="L671" s="180">
        <f>(L647/L612)*F80</f>
        <v>317881.60642119864</v>
      </c>
      <c r="M671" s="180">
        <f t="shared" si="20"/>
        <v>1682683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155203.23428956483</v>
      </c>
      <c r="L675" s="180">
        <f>(L647/L612)*J80</f>
        <v>0</v>
      </c>
      <c r="M675" s="180">
        <f t="shared" si="20"/>
        <v>155203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3023.0417845371003</v>
      </c>
      <c r="K679" s="180">
        <f>(K644/K612)*N75</f>
        <v>0</v>
      </c>
      <c r="L679" s="180">
        <f>(L647/L612)*N80</f>
        <v>0</v>
      </c>
      <c r="M679" s="180">
        <f t="shared" si="20"/>
        <v>3023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179263</v>
      </c>
      <c r="D680" s="180">
        <f>(D615/D612)*O76</f>
        <v>0</v>
      </c>
      <c r="E680" s="180">
        <f>(E623/E612)*SUM(C680:D680)</f>
        <v>14899.365447411796</v>
      </c>
      <c r="F680" s="180">
        <f>(F624/F612)*O64</f>
        <v>12745.881534311617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624398.28934348258</v>
      </c>
      <c r="L680" s="180">
        <f>(L647/L612)*O80</f>
        <v>0</v>
      </c>
      <c r="M680" s="180">
        <f t="shared" si="20"/>
        <v>652044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3476613</v>
      </c>
      <c r="D681" s="180">
        <f>(D615/D612)*P76</f>
        <v>46606.003827805594</v>
      </c>
      <c r="E681" s="180">
        <f>(E623/E612)*SUM(C681:D681)</f>
        <v>292830.79882238171</v>
      </c>
      <c r="F681" s="180">
        <f>(F624/F612)*P64</f>
        <v>100791.36316835826</v>
      </c>
      <c r="G681" s="180">
        <f>(G625/G612)*P77</f>
        <v>0</v>
      </c>
      <c r="H681" s="180">
        <f>(H628/H612)*P60</f>
        <v>48203.540885282753</v>
      </c>
      <c r="I681" s="180">
        <f>(I629/I612)*P78</f>
        <v>116460.21540347062</v>
      </c>
      <c r="J681" s="180">
        <f>(J630/J612)*P79</f>
        <v>25549.036872417557</v>
      </c>
      <c r="K681" s="180">
        <f>(K644/K612)*P75</f>
        <v>1763164.8435143162</v>
      </c>
      <c r="L681" s="180">
        <f>(L647/L612)*P80</f>
        <v>72276.523346936359</v>
      </c>
      <c r="M681" s="180">
        <f t="shared" si="20"/>
        <v>2465882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868606</v>
      </c>
      <c r="D682" s="180">
        <f>(D615/D612)*Q76</f>
        <v>6623.6877590756421</v>
      </c>
      <c r="E682" s="180">
        <f>(E623/E612)*SUM(C682:D682)</f>
        <v>72744.330778501899</v>
      </c>
      <c r="F682" s="180">
        <f>(F624/F612)*Q64</f>
        <v>3438.1293262309141</v>
      </c>
      <c r="G682" s="180">
        <f>(G625/G612)*Q77</f>
        <v>0</v>
      </c>
      <c r="H682" s="180">
        <f>(H628/H612)*Q60</f>
        <v>10209.52454453795</v>
      </c>
      <c r="I682" s="180">
        <f>(I629/I612)*Q78</f>
        <v>16551.527534883076</v>
      </c>
      <c r="J682" s="180">
        <f>(J630/J612)*Q79</f>
        <v>5869.1940556431236</v>
      </c>
      <c r="K682" s="180">
        <f>(K644/K612)*Q75</f>
        <v>293666.63869970897</v>
      </c>
      <c r="L682" s="180">
        <f>(L647/L612)*Q80</f>
        <v>39718.313764484657</v>
      </c>
      <c r="M682" s="180">
        <f t="shared" si="20"/>
        <v>448821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3008412</v>
      </c>
      <c r="D683" s="180">
        <f>(D615/D612)*R76</f>
        <v>882.23456205261334</v>
      </c>
      <c r="E683" s="180">
        <f>(E623/E612)*SUM(C683:D683)</f>
        <v>250116.16752776297</v>
      </c>
      <c r="F683" s="180">
        <f>(F624/F612)*R64</f>
        <v>15604.988956298766</v>
      </c>
      <c r="G683" s="180">
        <f>(G625/G612)*R77</f>
        <v>0</v>
      </c>
      <c r="H683" s="180">
        <f>(H628/H612)*R60</f>
        <v>25851.97465027645</v>
      </c>
      <c r="I683" s="180">
        <f>(I629/I612)*R78</f>
        <v>2210.0050969872291</v>
      </c>
      <c r="J683" s="180">
        <f>(J630/J612)*R79</f>
        <v>0</v>
      </c>
      <c r="K683" s="180">
        <f>(K644/K612)*R75</f>
        <v>817861.87664290715</v>
      </c>
      <c r="L683" s="180">
        <f>(L647/L612)*R80</f>
        <v>103213.57726553155</v>
      </c>
      <c r="M683" s="180">
        <f t="shared" si="20"/>
        <v>1215741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3940439</v>
      </c>
      <c r="D684" s="180">
        <f>(D615/D612)*S76</f>
        <v>6448.1646524892576</v>
      </c>
      <c r="E684" s="180">
        <f>(E623/E612)*SUM(C684:D684)</f>
        <v>328043.79177999031</v>
      </c>
      <c r="F684" s="180">
        <f>(F624/F612)*S64</f>
        <v>240660.51478891537</v>
      </c>
      <c r="G684" s="180">
        <f>(G625/G612)*S77</f>
        <v>0</v>
      </c>
      <c r="H684" s="180">
        <f>(H628/H612)*S60</f>
        <v>13892.245898103425</v>
      </c>
      <c r="I684" s="180">
        <f>(I629/I612)*S78</f>
        <v>16104.824376981402</v>
      </c>
      <c r="J684" s="180">
        <f>(J630/J612)*S79</f>
        <v>1112.6350394814722</v>
      </c>
      <c r="K684" s="180">
        <f>(K644/K612)*S75</f>
        <v>476540.89359870588</v>
      </c>
      <c r="L684" s="180">
        <f>(L647/L612)*S80</f>
        <v>0</v>
      </c>
      <c r="M684" s="180">
        <f t="shared" si="20"/>
        <v>1082803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2555.0353771922837</v>
      </c>
      <c r="L685" s="180">
        <f>(L647/L612)*T80</f>
        <v>0</v>
      </c>
      <c r="M685" s="180">
        <f t="shared" si="20"/>
        <v>2555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3555036</v>
      </c>
      <c r="D686" s="180">
        <f>(D615/D612)*U76</f>
        <v>15422.938233998304</v>
      </c>
      <c r="E686" s="180">
        <f>(E623/E612)*SUM(C686:D686)</f>
        <v>296757.12520557083</v>
      </c>
      <c r="F686" s="180">
        <f>(F624/F612)*U64</f>
        <v>57757.114771543667</v>
      </c>
      <c r="G686" s="180">
        <f>(G625/G612)*U77</f>
        <v>0</v>
      </c>
      <c r="H686" s="180">
        <f>(H628/H612)*U60</f>
        <v>72961.637905787284</v>
      </c>
      <c r="I686" s="180">
        <f>(I629/I612)*U78</f>
        <v>38534.02504214966</v>
      </c>
      <c r="J686" s="180">
        <f>(J630/J612)*U79</f>
        <v>422.76593710027322</v>
      </c>
      <c r="K686" s="180">
        <f>(K644/K612)*U75</f>
        <v>643171.28607445781</v>
      </c>
      <c r="L686" s="180">
        <f>(L647/L612)*U80</f>
        <v>0</v>
      </c>
      <c r="M686" s="180">
        <f t="shared" si="20"/>
        <v>1125027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27598</v>
      </c>
      <c r="D687" s="180">
        <f>(D615/D612)*V76</f>
        <v>0</v>
      </c>
      <c r="E687" s="180">
        <f>(E623/E612)*SUM(C687:D687)</f>
        <v>2293.7956389085912</v>
      </c>
      <c r="F687" s="180">
        <f>(F624/F612)*V64</f>
        <v>306.58704661911776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6516.0201708313816</v>
      </c>
      <c r="L687" s="180">
        <f>(L647/L612)*V80</f>
        <v>0</v>
      </c>
      <c r="M687" s="180">
        <f t="shared" si="20"/>
        <v>9116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634052</v>
      </c>
      <c r="D688" s="180">
        <f>(D615/D612)*W76</f>
        <v>0</v>
      </c>
      <c r="E688" s="180">
        <f>(E623/E612)*SUM(C688:D688)</f>
        <v>52698.953273471627</v>
      </c>
      <c r="F688" s="180">
        <f>(F624/F612)*W64</f>
        <v>584.14473259293493</v>
      </c>
      <c r="G688" s="180">
        <f>(G625/G612)*W77</f>
        <v>0</v>
      </c>
      <c r="H688" s="180">
        <f>(H628/H612)*W60</f>
        <v>3609.7961782473467</v>
      </c>
      <c r="I688" s="180">
        <f>(I629/I612)*W78</f>
        <v>0</v>
      </c>
      <c r="J688" s="180">
        <f>(J630/J612)*W79</f>
        <v>0</v>
      </c>
      <c r="K688" s="180">
        <f>(K644/K612)*W75</f>
        <v>98857.850951591419</v>
      </c>
      <c r="L688" s="180">
        <f>(L647/L612)*W80</f>
        <v>0</v>
      </c>
      <c r="M688" s="180">
        <f t="shared" si="20"/>
        <v>155751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390217</v>
      </c>
      <c r="D689" s="180">
        <f>(D615/D612)*X76</f>
        <v>0</v>
      </c>
      <c r="E689" s="180">
        <f>(E623/E612)*SUM(C689:D689)</f>
        <v>32432.714429596115</v>
      </c>
      <c r="F689" s="180">
        <f>(F624/F612)*X64</f>
        <v>5646.3529462984325</v>
      </c>
      <c r="G689" s="180">
        <f>(G625/G612)*X77</f>
        <v>0</v>
      </c>
      <c r="H689" s="180">
        <f>(H628/H612)*X60</f>
        <v>6308.0276650180904</v>
      </c>
      <c r="I689" s="180">
        <f>(I629/I612)*X78</f>
        <v>0</v>
      </c>
      <c r="J689" s="180">
        <f>(J630/J612)*X79</f>
        <v>9575.9138095913349</v>
      </c>
      <c r="K689" s="180">
        <f>(K644/K612)*X75</f>
        <v>767704.70166744408</v>
      </c>
      <c r="L689" s="180">
        <f>(L647/L612)*X80</f>
        <v>0</v>
      </c>
      <c r="M689" s="180">
        <f t="shared" si="20"/>
        <v>821668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3195322</v>
      </c>
      <c r="D690" s="180">
        <f>(D615/D612)*Y76</f>
        <v>31547.968894342142</v>
      </c>
      <c r="E690" s="180">
        <f>(E623/E612)*SUM(C690:D690)</f>
        <v>268199.87904829852</v>
      </c>
      <c r="F690" s="180">
        <f>(F624/F612)*Y64</f>
        <v>6738.6537909716044</v>
      </c>
      <c r="G690" s="180">
        <f>(G625/G612)*Y77</f>
        <v>0</v>
      </c>
      <c r="H690" s="180">
        <f>(H628/H612)*Y60</f>
        <v>60564.358101705482</v>
      </c>
      <c r="I690" s="180">
        <f>(I629/I612)*Y78</f>
        <v>78831.352023384883</v>
      </c>
      <c r="J690" s="180">
        <f>(J630/J612)*Y79</f>
        <v>18522.985398935194</v>
      </c>
      <c r="K690" s="180">
        <f>(K644/K612)*Y75</f>
        <v>659755.44113224128</v>
      </c>
      <c r="L690" s="180">
        <f>(L647/L612)*Y80</f>
        <v>0</v>
      </c>
      <c r="M690" s="180">
        <f t="shared" si="20"/>
        <v>1124161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272727</v>
      </c>
      <c r="D692" s="180">
        <f>(D615/D612)*AA76</f>
        <v>0</v>
      </c>
      <c r="E692" s="180">
        <f>(E623/E612)*SUM(C692:D692)</f>
        <v>22667.58472398809</v>
      </c>
      <c r="F692" s="180">
        <f>(F624/F612)*AA64</f>
        <v>9342.9005025875122</v>
      </c>
      <c r="G692" s="180">
        <f>(G625/G612)*AA77</f>
        <v>0</v>
      </c>
      <c r="H692" s="180">
        <f>(H628/H612)*AA60</f>
        <v>2114.8300842257181</v>
      </c>
      <c r="I692" s="180">
        <f>(I629/I612)*AA78</f>
        <v>0</v>
      </c>
      <c r="J692" s="180">
        <f>(J630/J612)*AA79</f>
        <v>614.69105917299134</v>
      </c>
      <c r="K692" s="180">
        <f>(K644/K612)*AA75</f>
        <v>19461.768348431469</v>
      </c>
      <c r="L692" s="180">
        <f>(L647/L612)*AA80</f>
        <v>0</v>
      </c>
      <c r="M692" s="180">
        <f t="shared" si="20"/>
        <v>54202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4733743</v>
      </c>
      <c r="D693" s="180">
        <f>(D615/D612)*AB76</f>
        <v>7833.8733886975515</v>
      </c>
      <c r="E693" s="180">
        <f>(E623/E612)*SUM(C693:D693)</f>
        <v>394094.07760449406</v>
      </c>
      <c r="F693" s="180">
        <f>(F624/F612)*AB64</f>
        <v>212179.08332579487</v>
      </c>
      <c r="G693" s="180">
        <f>(G625/G612)*AB77</f>
        <v>0</v>
      </c>
      <c r="H693" s="180">
        <f>(H628/H612)*AB60</f>
        <v>30701.498808931978</v>
      </c>
      <c r="I693" s="180">
        <f>(I629/I612)*AB78</f>
        <v>19572.651523849661</v>
      </c>
      <c r="J693" s="180">
        <f>(J630/J612)*AB79</f>
        <v>0</v>
      </c>
      <c r="K693" s="180">
        <f>(K644/K612)*AB75</f>
        <v>663174.65070609655</v>
      </c>
      <c r="L693" s="180">
        <f>(L647/L612)*AB80</f>
        <v>0</v>
      </c>
      <c r="M693" s="180">
        <f t="shared" si="20"/>
        <v>1327556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661884</v>
      </c>
      <c r="D694" s="180">
        <f>(D615/D612)*AC76</f>
        <v>3930.7937817108586</v>
      </c>
      <c r="E694" s="180">
        <f>(E623/E612)*SUM(C694:D694)</f>
        <v>55338.90391685308</v>
      </c>
      <c r="F694" s="180">
        <f>(F624/F612)*AC64</f>
        <v>2819.8324046435077</v>
      </c>
      <c r="G694" s="180">
        <f>(G625/G612)*AC77</f>
        <v>0</v>
      </c>
      <c r="H694" s="180">
        <f>(H628/H612)*AC60</f>
        <v>19507.484397599295</v>
      </c>
      <c r="I694" s="180">
        <f>(I629/I612)*AC78</f>
        <v>9827.4694738368271</v>
      </c>
      <c r="J694" s="180">
        <f>(J630/J612)*AC79</f>
        <v>0</v>
      </c>
      <c r="K694" s="180">
        <f>(K644/K612)*AC75</f>
        <v>110830.94463296818</v>
      </c>
      <c r="L694" s="180">
        <f>(L647/L612)*AC80</f>
        <v>0</v>
      </c>
      <c r="M694" s="180">
        <f t="shared" si="20"/>
        <v>202255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696968</v>
      </c>
      <c r="D696" s="180">
        <f>(D615/D612)*AE76</f>
        <v>9672.2469787338869</v>
      </c>
      <c r="E696" s="180">
        <f>(E623/E612)*SUM(C696:D696)</f>
        <v>58732.093513918022</v>
      </c>
      <c r="F696" s="180">
        <f>(F624/F612)*AE64</f>
        <v>740.53329803011786</v>
      </c>
      <c r="G696" s="180">
        <f>(G625/G612)*AE77</f>
        <v>0</v>
      </c>
      <c r="H696" s="180">
        <f>(H628/H612)*AE60</f>
        <v>17246.803962737325</v>
      </c>
      <c r="I696" s="180">
        <f>(I629/I612)*AE78</f>
        <v>24168.991911732672</v>
      </c>
      <c r="J696" s="180">
        <f>(J630/J612)*AE79</f>
        <v>452.83715438355625</v>
      </c>
      <c r="K696" s="180">
        <f>(K644/K612)*AE75</f>
        <v>89038.124767096539</v>
      </c>
      <c r="L696" s="180">
        <f>(L647/L612)*AE80</f>
        <v>0</v>
      </c>
      <c r="M696" s="180">
        <f t="shared" si="20"/>
        <v>200052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6365436</v>
      </c>
      <c r="D698" s="180">
        <f>(D615/D612)*AG76</f>
        <v>25958.943658302025</v>
      </c>
      <c r="E698" s="180">
        <f>(E623/E612)*SUM(C698:D698)</f>
        <v>531217.9813140746</v>
      </c>
      <c r="F698" s="180">
        <f>(F624/F612)*AG64</f>
        <v>18190.380813573978</v>
      </c>
      <c r="G698" s="180">
        <f>(G625/G612)*AG77</f>
        <v>40661.360528780104</v>
      </c>
      <c r="H698" s="180">
        <f>(H628/H612)*AG60</f>
        <v>84265.040080097155</v>
      </c>
      <c r="I698" s="180">
        <f>(I629/I612)*AG78</f>
        <v>64866.000665827283</v>
      </c>
      <c r="J698" s="180">
        <f>(J630/J612)*AG79</f>
        <v>90759.355998783969</v>
      </c>
      <c r="K698" s="180">
        <f>(K644/K612)*AG75</f>
        <v>1557935.594759932</v>
      </c>
      <c r="L698" s="180">
        <f>(L647/L612)*AG80</f>
        <v>297076.77540170663</v>
      </c>
      <c r="M698" s="180">
        <f t="shared" si="20"/>
        <v>2710931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1232310</v>
      </c>
      <c r="D700" s="180">
        <f>(D615/D612)*AI76</f>
        <v>18406.831045966828</v>
      </c>
      <c r="E700" s="180">
        <f>(E623/E612)*SUM(C700:D700)</f>
        <v>103952.77964210493</v>
      </c>
      <c r="F700" s="180">
        <f>(F624/F612)*AI64</f>
        <v>8405.7786666579705</v>
      </c>
      <c r="G700" s="180">
        <f>(G625/G612)*AI77</f>
        <v>34467.908262806974</v>
      </c>
      <c r="H700" s="180">
        <f>(H628/H612)*AI60</f>
        <v>24393.471143913888</v>
      </c>
      <c r="I700" s="180">
        <f>(I629/I612)*AI78</f>
        <v>45986.914571351277</v>
      </c>
      <c r="J700" s="180">
        <f>(J630/J612)*AI79</f>
        <v>15922.709551498365</v>
      </c>
      <c r="K700" s="180">
        <f>(K644/K612)*AI75</f>
        <v>369949.13540183706</v>
      </c>
      <c r="L700" s="180">
        <f>(L647/L612)*AI80</f>
        <v>95377.99155689172</v>
      </c>
      <c r="M700" s="180">
        <f t="shared" si="20"/>
        <v>716864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12115293</v>
      </c>
      <c r="D701" s="180">
        <f>(D615/D612)*AJ76</f>
        <v>320722.28699540946</v>
      </c>
      <c r="E701" s="180">
        <f>(E623/E612)*SUM(C701:D701)</f>
        <v>1033613.9441521356</v>
      </c>
      <c r="F701" s="180">
        <f>(F624/F612)*AJ64</f>
        <v>42177.028453053368</v>
      </c>
      <c r="G701" s="180">
        <f>(G625/G612)*AJ77</f>
        <v>0</v>
      </c>
      <c r="H701" s="180">
        <f>(H628/H612)*AJ60</f>
        <v>239376.88798175589</v>
      </c>
      <c r="I701" s="180">
        <f>(I629/I612)*AJ78</f>
        <v>801408.97596812411</v>
      </c>
      <c r="J701" s="180">
        <f>(J630/J612)*AJ79</f>
        <v>0</v>
      </c>
      <c r="K701" s="180">
        <f>(K644/K612)*AJ75</f>
        <v>549580.43325492425</v>
      </c>
      <c r="L701" s="180">
        <f>(L647/L612)*AJ80</f>
        <v>144417.95038855134</v>
      </c>
      <c r="M701" s="180">
        <f t="shared" si="20"/>
        <v>3131298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124109</v>
      </c>
      <c r="D702" s="180">
        <f>(D615/D612)*AK76</f>
        <v>0</v>
      </c>
      <c r="E702" s="180">
        <f>(E623/E612)*SUM(C702:D702)</f>
        <v>10315.264981132919</v>
      </c>
      <c r="F702" s="180">
        <f>(F624/F612)*AK64</f>
        <v>120.45761659924956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10436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10908</v>
      </c>
      <c r="D703" s="180">
        <f>(D615/D612)*AL76</f>
        <v>0</v>
      </c>
      <c r="E703" s="180">
        <f>(E623/E612)*SUM(C703:D703)</f>
        <v>906.61362523425282</v>
      </c>
      <c r="F703" s="180">
        <f>(F624/F612)*AL64</f>
        <v>0</v>
      </c>
      <c r="G703" s="180">
        <f>(G625/G612)*AL77</f>
        <v>0</v>
      </c>
      <c r="H703" s="180">
        <f>(H628/H612)*AL60</f>
        <v>255.23811361344877</v>
      </c>
      <c r="I703" s="180">
        <f>(I629/I612)*AL78</f>
        <v>0</v>
      </c>
      <c r="J703" s="180">
        <f>(J630/J612)*AL79</f>
        <v>0</v>
      </c>
      <c r="K703" s="180">
        <f>(K644/K612)*AL75</f>
        <v>752.47303872384975</v>
      </c>
      <c r="L703" s="180">
        <f>(L647/L612)*AL80</f>
        <v>0</v>
      </c>
      <c r="M703" s="180">
        <f t="shared" si="20"/>
        <v>1914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870868</v>
      </c>
      <c r="D707" s="180">
        <f>(D615/D612)*AP76</f>
        <v>0</v>
      </c>
      <c r="E707" s="180">
        <f>(E623/E612)*SUM(C707:D707)</f>
        <v>72381.811017647895</v>
      </c>
      <c r="F707" s="180">
        <f>(F624/F612)*AP64</f>
        <v>3149.1875772589397</v>
      </c>
      <c r="G707" s="180">
        <f>(G625/G612)*AP77</f>
        <v>0</v>
      </c>
      <c r="H707" s="180">
        <f>(H628/H612)*AP60</f>
        <v>18741.770056758949</v>
      </c>
      <c r="I707" s="180">
        <f>(I629/I612)*AP78</f>
        <v>0</v>
      </c>
      <c r="J707" s="180">
        <f>(J630/J612)*AP79</f>
        <v>0</v>
      </c>
      <c r="K707" s="180">
        <f>(K644/K612)*AP75</f>
        <v>45236.150714250565</v>
      </c>
      <c r="L707" s="180">
        <f>(L647/L612)*AP80</f>
        <v>23641.853431240866</v>
      </c>
      <c r="M707" s="180">
        <f t="shared" si="20"/>
        <v>163151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171239</v>
      </c>
      <c r="D713" s="180">
        <f>(D615/D612)*AV76</f>
        <v>0</v>
      </c>
      <c r="E713" s="180">
        <f>(E623/E612)*SUM(C713:D713)</f>
        <v>14232.454214474534</v>
      </c>
      <c r="F713" s="180">
        <f>(F624/F612)*AV64</f>
        <v>387.27159311855604</v>
      </c>
      <c r="G713" s="180">
        <f>(G625/G612)*AV77</f>
        <v>0</v>
      </c>
      <c r="H713" s="180">
        <f>(H628/H612)*AV60</f>
        <v>6709.1161292677962</v>
      </c>
      <c r="I713" s="180">
        <f>(I629/I612)*AV78</f>
        <v>0</v>
      </c>
      <c r="J713" s="180">
        <f>(J630/J612)*AV79</f>
        <v>0</v>
      </c>
      <c r="K713" s="180">
        <f>(K644/K612)*AV75</f>
        <v>35539.98023589416</v>
      </c>
      <c r="L713" s="180">
        <f>(L647/L612)*AV80</f>
        <v>135.09630532137638</v>
      </c>
      <c r="M713" s="180">
        <f t="shared" si="20"/>
        <v>57004</v>
      </c>
      <c r="N713" s="199" t="s">
        <v>741</v>
      </c>
    </row>
    <row r="715" spans="1:15" ht="12.6" customHeight="1" x14ac:dyDescent="0.25">
      <c r="C715" s="180">
        <f>SUM(C614:C647)+SUM(C668:C713)</f>
        <v>81435991</v>
      </c>
      <c r="D715" s="180">
        <f>SUM(D616:D647)+SUM(D668:D713)</f>
        <v>975017.00000000012</v>
      </c>
      <c r="E715" s="180">
        <f>SUM(E624:E647)+SUM(E668:E713)</f>
        <v>6249123.4471994946</v>
      </c>
      <c r="F715" s="180">
        <f>SUM(F625:F648)+SUM(F668:F713)</f>
        <v>856678.27581369667</v>
      </c>
      <c r="G715" s="180">
        <f>SUM(G626:G647)+SUM(G668:G713)</f>
        <v>1885300.3337888853</v>
      </c>
      <c r="H715" s="180">
        <f>SUM(H629:H647)+SUM(H668:H713)</f>
        <v>1273127.7107038826</v>
      </c>
      <c r="I715" s="180">
        <f>SUM(I630:I647)+SUM(I668:I713)</f>
        <v>1856216.1959291031</v>
      </c>
      <c r="J715" s="180">
        <f>SUM(J631:J647)+SUM(J668:J713)</f>
        <v>327954.28114962642</v>
      </c>
      <c r="K715" s="180">
        <f>SUM(K668:K713)</f>
        <v>10764811.743425727</v>
      </c>
      <c r="L715" s="180">
        <f>SUM(L668:L713)</f>
        <v>1612779.692926591</v>
      </c>
      <c r="M715" s="180">
        <f>SUM(M668:M713)</f>
        <v>23461865</v>
      </c>
      <c r="N715" s="198" t="s">
        <v>742</v>
      </c>
    </row>
    <row r="716" spans="1:15" ht="12.6" customHeight="1" x14ac:dyDescent="0.25">
      <c r="C716" s="180">
        <f>CE71</f>
        <v>81435991</v>
      </c>
      <c r="D716" s="180">
        <f>D615</f>
        <v>975017</v>
      </c>
      <c r="E716" s="180">
        <f>E623</f>
        <v>6249123.4471994955</v>
      </c>
      <c r="F716" s="180">
        <f>F624</f>
        <v>856678.27581369679</v>
      </c>
      <c r="G716" s="180">
        <f>G625</f>
        <v>1885300.3337888855</v>
      </c>
      <c r="H716" s="180">
        <f>H628</f>
        <v>1273127.7107038822</v>
      </c>
      <c r="I716" s="180">
        <f>I629</f>
        <v>1856216.1959291031</v>
      </c>
      <c r="J716" s="180">
        <f>J630</f>
        <v>327954.28114962642</v>
      </c>
      <c r="K716" s="180">
        <f>K644</f>
        <v>10764811.743425731</v>
      </c>
      <c r="L716" s="180">
        <f>L647</f>
        <v>1612779.6929265913</v>
      </c>
      <c r="M716" s="180">
        <f>C648</f>
        <v>23461864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3" transitionEvaluation="1" transitionEntry="1" codeName="Sheet10">
    <tabColor theme="9" tint="0.59999389629810485"/>
    <pageSetUpPr autoPageBreaks="0" fitToPage="1"/>
  </sheetPr>
  <dimension ref="A1:CF818"/>
  <sheetViews>
    <sheetView showGridLines="0" topLeftCell="A73" zoomScale="75" workbookViewId="0">
      <selection activeCell="Q24" sqref="Q24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1261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1255</v>
      </c>
      <c r="C16" s="236"/>
      <c r="E16" s="237" t="s">
        <v>1254</v>
      </c>
    </row>
    <row r="17" spans="1:6" ht="12.75" customHeight="1" x14ac:dyDescent="0.25">
      <c r="A17" s="180" t="s">
        <v>1230</v>
      </c>
      <c r="C17" s="237" t="s">
        <v>1254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9494158</v>
      </c>
      <c r="C48" s="248">
        <f>ROUND(((B48/CE61)*C61),0)</f>
        <v>0</v>
      </c>
      <c r="D48" s="248">
        <f>ROUND(((B48/CE61)*D61),0)</f>
        <v>0</v>
      </c>
      <c r="E48" s="195">
        <f>ROUND(((B48/CE61)*E61),0)</f>
        <v>1036658</v>
      </c>
      <c r="F48" s="195">
        <f>ROUND(((B48/CE61)*F61),0)</f>
        <v>851809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344586</v>
      </c>
      <c r="Q48" s="195">
        <f>ROUND(((B48/CE61)*Q61),0)</f>
        <v>98532</v>
      </c>
      <c r="R48" s="195">
        <f>ROUND(((B48/CE61)*R61),0)</f>
        <v>534117</v>
      </c>
      <c r="S48" s="195">
        <f>ROUND(((B48/CE61)*S61),0)</f>
        <v>70962</v>
      </c>
      <c r="T48" s="195">
        <f>ROUND(((B48/CE61)*T61),0)</f>
        <v>0</v>
      </c>
      <c r="U48" s="195">
        <f>ROUND(((B48/CE61)*U61),0)</f>
        <v>418382</v>
      </c>
      <c r="V48" s="195">
        <f>ROUND(((B48/CE61)*V61),0)</f>
        <v>0</v>
      </c>
      <c r="W48" s="195">
        <f>ROUND(((B48/CE61)*W61),0)</f>
        <v>29889</v>
      </c>
      <c r="X48" s="195">
        <f>ROUND(((B48/CE61)*X61),0)</f>
        <v>44698</v>
      </c>
      <c r="Y48" s="195">
        <f>ROUND(((B48/CE61)*Y61),0)</f>
        <v>239432</v>
      </c>
      <c r="Z48" s="195">
        <f>ROUND(((B48/CE61)*Z61),0)</f>
        <v>0</v>
      </c>
      <c r="AA48" s="195">
        <f>ROUND(((B48/CE61)*AA61),0)</f>
        <v>19334</v>
      </c>
      <c r="AB48" s="195">
        <f>ROUND(((B48/CE61)*AB61),0)</f>
        <v>278631</v>
      </c>
      <c r="AC48" s="195">
        <f>ROUND(((B48/CE61)*AC61),0)</f>
        <v>128042</v>
      </c>
      <c r="AD48" s="195">
        <f>ROUND(((B48/CE61)*AD61),0)</f>
        <v>0</v>
      </c>
      <c r="AE48" s="195">
        <f>ROUND(((B48/CE61)*AE61),0)</f>
        <v>140535</v>
      </c>
      <c r="AF48" s="195">
        <f>ROUND(((B48/CE61)*AF61),0)</f>
        <v>0</v>
      </c>
      <c r="AG48" s="195">
        <f>ROUND(((B48/CE61)*AG61),0)</f>
        <v>705366</v>
      </c>
      <c r="AH48" s="195">
        <f>ROUND(((B48/CE61)*AH61),0)</f>
        <v>0</v>
      </c>
      <c r="AI48" s="195">
        <f>ROUND(((B48/CE61)*AI61),0)</f>
        <v>204524</v>
      </c>
      <c r="AJ48" s="195">
        <f>ROUND(((B48/CE61)*AJ61),0)</f>
        <v>1420736</v>
      </c>
      <c r="AK48" s="195">
        <f>ROUND(((B48/CE61)*AK61),0)</f>
        <v>0</v>
      </c>
      <c r="AL48" s="195">
        <f>ROUND(((B48/CE61)*AL61),0)</f>
        <v>3083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56126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24767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220519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260471</v>
      </c>
      <c r="BC48" s="195">
        <f>ROUND(((B48/CE61)*BC61),0)</f>
        <v>0</v>
      </c>
      <c r="BD48" s="195">
        <f>ROUND(((B48/CE61)*BD61),0)</f>
        <v>90793</v>
      </c>
      <c r="BE48" s="195">
        <f>ROUND(((B48/CE61)*BE61),0)</f>
        <v>174303</v>
      </c>
      <c r="BF48" s="195">
        <f>ROUND(((B48/CE61)*BF61),0)</f>
        <v>276587</v>
      </c>
      <c r="BG48" s="195">
        <f>ROUND(((B48/CE61)*BG61),0)</f>
        <v>0</v>
      </c>
      <c r="BH48" s="195">
        <f>ROUND(((B48/CE61)*BH61),0)</f>
        <v>202342</v>
      </c>
      <c r="BI48" s="195">
        <f>ROUND(((B48/CE61)*BI61),0)</f>
        <v>0</v>
      </c>
      <c r="BJ48" s="195">
        <f>ROUND(((B48/CE61)*BJ61),0)</f>
        <v>110712</v>
      </c>
      <c r="BK48" s="195">
        <f>ROUND(((B48/CE61)*BK61),0)</f>
        <v>238333</v>
      </c>
      <c r="BL48" s="195">
        <f>ROUND(((B48/CE61)*BL61),0)</f>
        <v>175342</v>
      </c>
      <c r="BM48" s="195">
        <f>ROUND(((B48/CE61)*BM61),0)</f>
        <v>39182</v>
      </c>
      <c r="BN48" s="195">
        <f>ROUND(((B48/CE61)*BN61),0)</f>
        <v>396415</v>
      </c>
      <c r="BO48" s="195">
        <f>ROUND(((B48/CE61)*BO61),0)</f>
        <v>6490</v>
      </c>
      <c r="BP48" s="195">
        <f>ROUND(((B48/CE61)*BP61),0)</f>
        <v>34775</v>
      </c>
      <c r="BQ48" s="195">
        <f>ROUND(((B48/CE61)*BQ61),0)</f>
        <v>0</v>
      </c>
      <c r="BR48" s="195">
        <f>ROUND(((B48/CE61)*BR61),0)</f>
        <v>150904</v>
      </c>
      <c r="BS48" s="195">
        <f>ROUND(((B48/CE61)*BS61),0)</f>
        <v>17507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184047</v>
      </c>
      <c r="BW48" s="195">
        <f>ROUND(((B48/CE61)*BW61),0)</f>
        <v>33025</v>
      </c>
      <c r="BX48" s="195">
        <f>ROUND(((B48/CE61)*BX61),0)</f>
        <v>0</v>
      </c>
      <c r="BY48" s="195">
        <f>ROUND(((B48/CE61)*BY61),0)</f>
        <v>83697</v>
      </c>
      <c r="BZ48" s="195">
        <f>ROUND(((B48/CE61)*BZ61),0)</f>
        <v>37935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110570</v>
      </c>
      <c r="CD48" s="195"/>
      <c r="CE48" s="195">
        <f>SUM(C48:CD48)</f>
        <v>9494158</v>
      </c>
    </row>
    <row r="49" spans="1:84" ht="12.6" customHeight="1" x14ac:dyDescent="0.25">
      <c r="A49" s="175" t="s">
        <v>206</v>
      </c>
      <c r="B49" s="195">
        <f>B47+B48</f>
        <v>9494158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4388374</v>
      </c>
      <c r="C52" s="195">
        <f>ROUND((B52/(CE77+CF77)*C77),0)</f>
        <v>0</v>
      </c>
      <c r="D52" s="195">
        <f>ROUND((B52/(CE77+CF77)*D77),0)</f>
        <v>0</v>
      </c>
      <c r="E52" s="195">
        <f>ROUND((B52/(CE77+CF77)*E77),0)</f>
        <v>381865</v>
      </c>
      <c r="F52" s="195">
        <f>ROUND((B52/(CE77+CF77)*F77),0)</f>
        <v>241942</v>
      </c>
      <c r="G52" s="195">
        <f>ROUND((B52/(CE77+CF77)*G77),0)</f>
        <v>0</v>
      </c>
      <c r="H52" s="195">
        <f>ROUND((B52/(CE77+CF77)*H77),0)</f>
        <v>0</v>
      </c>
      <c r="I52" s="195">
        <f>ROUND((B52/(CE77+CF77)*I77),0)</f>
        <v>0</v>
      </c>
      <c r="J52" s="195">
        <f>ROUND((B52/(CE77+CF77)*J77),0)</f>
        <v>0</v>
      </c>
      <c r="K52" s="195">
        <f>ROUND((B52/(CE77+CF77)*K77),0)</f>
        <v>0</v>
      </c>
      <c r="L52" s="195">
        <f>ROUND((B52/(CE77+CF77)*L77),0)</f>
        <v>0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0</v>
      </c>
      <c r="P52" s="195">
        <f>ROUND((B52/(CE77+CF77)*P77),0)</f>
        <v>187422</v>
      </c>
      <c r="Q52" s="195">
        <f>ROUND((B52/(CE77+CF77)*Q77),0)</f>
        <v>26630</v>
      </c>
      <c r="R52" s="195">
        <f>ROUND((B52/(CE77+CF77)*R77),0)</f>
        <v>3548</v>
      </c>
      <c r="S52" s="195">
        <f>ROUND((B52/(CE77+CF77)*S77),0)</f>
        <v>25924</v>
      </c>
      <c r="T52" s="195">
        <f>ROUND((B52/(CE77+CF77)*T77),0)</f>
        <v>0</v>
      </c>
      <c r="U52" s="195">
        <f>ROUND((B52/(CE77+CF77)*U77),0)</f>
        <v>62016</v>
      </c>
      <c r="V52" s="195">
        <f>ROUND((B52/(CE77+CF77)*V77),0)</f>
        <v>0</v>
      </c>
      <c r="W52" s="195">
        <f>ROUND((B52/(CE77+CF77)*W77),0)</f>
        <v>0</v>
      </c>
      <c r="X52" s="195">
        <f>ROUND((B52/(CE77+CF77)*X77),0)</f>
        <v>0</v>
      </c>
      <c r="Y52" s="195">
        <f>ROUND((B52/(CE77+CF77)*Y77),0)</f>
        <v>126875</v>
      </c>
      <c r="Z52" s="195">
        <f>ROUND((B52/(CE77+CF77)*Z77),0)</f>
        <v>0</v>
      </c>
      <c r="AA52" s="195">
        <f>ROUND((B52/(CE77+CF77)*AA77),0)</f>
        <v>0</v>
      </c>
      <c r="AB52" s="195">
        <f>ROUND((B52/(CE77+CF77)*AB77),0)</f>
        <v>31495</v>
      </c>
      <c r="AC52" s="195">
        <f>ROUND((B52/(CE77+CF77)*AC77),0)</f>
        <v>15814</v>
      </c>
      <c r="AD52" s="195">
        <f>ROUND((B52/(CE77+CF77)*AD77),0)</f>
        <v>0</v>
      </c>
      <c r="AE52" s="195">
        <f>ROUND((B52/(CE77+CF77)*AE77),0)</f>
        <v>38896</v>
      </c>
      <c r="AF52" s="195">
        <f>ROUND((B52/(CE77+CF77)*AF77),0)</f>
        <v>0</v>
      </c>
      <c r="AG52" s="195">
        <f>ROUND((B52/(CE77+CF77)*AG77),0)</f>
        <v>104384</v>
      </c>
      <c r="AH52" s="195">
        <f>ROUND((B52/(CE77+CF77)*AH77),0)</f>
        <v>0</v>
      </c>
      <c r="AI52" s="195">
        <f>ROUND((B52/(CE77+CF77)*AI77),0)</f>
        <v>74015</v>
      </c>
      <c r="AJ52" s="195">
        <f>ROUND((B52/(CE77+CF77)*AJ77),0)</f>
        <v>1289752</v>
      </c>
      <c r="AK52" s="195">
        <f>ROUND((B52/(CE77+CF77)*AK77),0)</f>
        <v>0</v>
      </c>
      <c r="AL52" s="195">
        <f>ROUND((B52/(CE77+CF77)*AL77),0)</f>
        <v>0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0</v>
      </c>
      <c r="AP52" s="195">
        <f>ROUND((B52/(CE77+CF77)*AP77),0)</f>
        <v>0</v>
      </c>
      <c r="AQ52" s="195">
        <f>ROUND((B52/(CE77+CF77)*AQ77),0)</f>
        <v>0</v>
      </c>
      <c r="AR52" s="195">
        <f>ROUND((B52/(CE77+CF77)*AR77),0)</f>
        <v>0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0</v>
      </c>
      <c r="AV52" s="195">
        <f>ROUND((B52/(CE77+CF77)*AV77),0)</f>
        <v>0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140648</v>
      </c>
      <c r="AZ52" s="195">
        <f>ROUND((B52/(CE77+CF77)*AZ77),0)</f>
        <v>0</v>
      </c>
      <c r="BA52" s="195">
        <f>ROUND((B52/(CE77+CF77)*BA77),0)</f>
        <v>12533</v>
      </c>
      <c r="BB52" s="195">
        <f>ROUND((B52/(CE77+CF77)*BB77),0)</f>
        <v>11160</v>
      </c>
      <c r="BC52" s="195">
        <f>ROUND((B52/(CE77+CF77)*BC77),0)</f>
        <v>0</v>
      </c>
      <c r="BD52" s="195">
        <f>ROUND((B52/(CE77+CF77)*BD77),0)</f>
        <v>89677</v>
      </c>
      <c r="BE52" s="195">
        <f>ROUND((B52/(CE77+CF77)*BE77),0)</f>
        <v>467459</v>
      </c>
      <c r="BF52" s="195">
        <f>ROUND((B52/(CE77+CF77)*BF77),0)</f>
        <v>65278</v>
      </c>
      <c r="BG52" s="195">
        <f>ROUND((B52/(CE77+CF77)*BG77),0)</f>
        <v>0</v>
      </c>
      <c r="BH52" s="195">
        <f>ROUND((B52/(CE77+CF77)*BH77),0)</f>
        <v>67796</v>
      </c>
      <c r="BI52" s="195">
        <f>ROUND((B52/(CE77+CF77)*BI77),0)</f>
        <v>0</v>
      </c>
      <c r="BJ52" s="195">
        <f>ROUND((B52/(CE77+CF77)*BJ77),0)</f>
        <v>27737</v>
      </c>
      <c r="BK52" s="195">
        <f>ROUND((B52/(CE77+CF77)*BK77),0)</f>
        <v>35634</v>
      </c>
      <c r="BL52" s="195">
        <f>ROUND((B52/(CE77+CF77)*BL77),0)</f>
        <v>25314</v>
      </c>
      <c r="BM52" s="195">
        <f>ROUND((B52/(CE77+CF77)*BM77),0)</f>
        <v>0</v>
      </c>
      <c r="BN52" s="195">
        <f>ROUND((B52/(CE77+CF77)*BN77),0)</f>
        <v>545938</v>
      </c>
      <c r="BO52" s="195">
        <f>ROUND((B52/(CE77+CF77)*BO77),0)</f>
        <v>3911</v>
      </c>
      <c r="BP52" s="195">
        <f>ROUND((B52/(CE77+CF77)*BP77),0)</f>
        <v>22281</v>
      </c>
      <c r="BQ52" s="195">
        <f>ROUND((B52/(CE77+CF77)*BQ77),0)</f>
        <v>0</v>
      </c>
      <c r="BR52" s="195">
        <f>ROUND((B52/(CE77+CF77)*BR77),0)</f>
        <v>31228</v>
      </c>
      <c r="BS52" s="195">
        <f>ROUND((B52/(CE77+CF77)*BS77),0)</f>
        <v>17035</v>
      </c>
      <c r="BT52" s="195">
        <f>ROUND((B52/(CE77+CF77)*BT77),0)</f>
        <v>0</v>
      </c>
      <c r="BU52" s="195">
        <f>ROUND((B52/(CE77+CF77)*BU77),0)</f>
        <v>0</v>
      </c>
      <c r="BV52" s="195">
        <f>ROUND((B52/(CE77+CF77)*BV77),0)</f>
        <v>31323</v>
      </c>
      <c r="BW52" s="195">
        <f>ROUND((B52/(CE77+CF77)*BW77),0)</f>
        <v>17951</v>
      </c>
      <c r="BX52" s="195">
        <f>ROUND((B52/(CE77+CF77)*BX77),0)</f>
        <v>0</v>
      </c>
      <c r="BY52" s="195">
        <f>ROUND((B52/(CE77+CF77)*BY77),0)</f>
        <v>11503</v>
      </c>
      <c r="BZ52" s="195">
        <f>ROUND((B52/(CE77+CF77)*BZ77),0)</f>
        <v>0</v>
      </c>
      <c r="CA52" s="195">
        <f>ROUND((B52/(CE77+CF77)*CA77),0)</f>
        <v>146447</v>
      </c>
      <c r="CB52" s="195">
        <f>ROUND((B52/(CE77+CF77)*CB77),0)</f>
        <v>1908</v>
      </c>
      <c r="CC52" s="195">
        <f>ROUND((B52/(CE77+CF77)*CC77),0)</f>
        <v>5036</v>
      </c>
      <c r="CD52" s="195"/>
      <c r="CE52" s="195">
        <f>SUM(C52:CD52)</f>
        <v>4388375</v>
      </c>
    </row>
    <row r="53" spans="1:84" ht="12.6" customHeight="1" x14ac:dyDescent="0.25">
      <c r="A53" s="175" t="s">
        <v>206</v>
      </c>
      <c r="B53" s="195">
        <f>B51+B52</f>
        <v>4388374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6887</v>
      </c>
      <c r="F59" s="184">
        <v>1814</v>
      </c>
      <c r="G59" s="184"/>
      <c r="H59" s="184"/>
      <c r="I59" s="184"/>
      <c r="J59" s="184">
        <v>127</v>
      </c>
      <c r="K59" s="184"/>
      <c r="L59" s="184"/>
      <c r="M59" s="184"/>
      <c r="N59" s="184"/>
      <c r="O59" s="184">
        <v>1027</v>
      </c>
      <c r="P59" s="185">
        <v>245887</v>
      </c>
      <c r="Q59" s="185">
        <v>111885</v>
      </c>
      <c r="R59" s="185">
        <v>188967</v>
      </c>
      <c r="S59" s="251"/>
      <c r="T59" s="251"/>
      <c r="U59" s="224">
        <v>401004</v>
      </c>
      <c r="V59" s="185">
        <v>836</v>
      </c>
      <c r="W59" s="185">
        <v>9935</v>
      </c>
      <c r="X59" s="185">
        <v>6143</v>
      </c>
      <c r="Y59" s="185">
        <f>6090+2427+18620+6925</f>
        <v>34062</v>
      </c>
      <c r="Z59" s="185"/>
      <c r="AA59" s="185">
        <v>1613</v>
      </c>
      <c r="AB59" s="251"/>
      <c r="AC59" s="185">
        <v>14004</v>
      </c>
      <c r="AD59" s="185"/>
      <c r="AE59" s="185">
        <v>13679</v>
      </c>
      <c r="AF59" s="185"/>
      <c r="AG59" s="185">
        <v>20292</v>
      </c>
      <c r="AH59" s="185"/>
      <c r="AI59" s="185">
        <v>4439</v>
      </c>
      <c r="AJ59" s="185">
        <v>37175</v>
      </c>
      <c r="AK59" s="185"/>
      <c r="AL59" s="185">
        <v>273</v>
      </c>
      <c r="AM59" s="185"/>
      <c r="AN59" s="185"/>
      <c r="AO59" s="185"/>
      <c r="AP59" s="185">
        <v>7145</v>
      </c>
      <c r="AQ59" s="185"/>
      <c r="AR59" s="185"/>
      <c r="AS59" s="185"/>
      <c r="AT59" s="185"/>
      <c r="AU59" s="185"/>
      <c r="AV59" s="251"/>
      <c r="AW59" s="251"/>
      <c r="AX59" s="251"/>
      <c r="AY59" s="185">
        <f>2398+2109+2227+2152+2221+2158+2450+2390+2249+2262+2349+2533</f>
        <v>27498</v>
      </c>
      <c r="AZ59" s="185">
        <f>2398+2109+2227+2152+2221+2158+2450+2390+2249+2262+2349+2533</f>
        <v>27498</v>
      </c>
      <c r="BA59" s="251"/>
      <c r="BB59" s="251"/>
      <c r="BC59" s="251"/>
      <c r="BD59" s="251"/>
      <c r="BE59" s="185">
        <v>230046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/>
      <c r="D60" s="187"/>
      <c r="E60" s="187">
        <v>41.37</v>
      </c>
      <c r="F60" s="223">
        <v>30.68</v>
      </c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13.08</v>
      </c>
      <c r="Q60" s="221">
        <v>2.57</v>
      </c>
      <c r="R60" s="221">
        <v>7.41</v>
      </c>
      <c r="S60" s="221">
        <v>4.51</v>
      </c>
      <c r="T60" s="221"/>
      <c r="U60" s="221">
        <v>19.82</v>
      </c>
      <c r="V60" s="221"/>
      <c r="W60" s="221">
        <v>1.05</v>
      </c>
      <c r="X60" s="221">
        <v>1.82</v>
      </c>
      <c r="Y60" s="221">
        <v>16.329999999999998</v>
      </c>
      <c r="Z60" s="221"/>
      <c r="AA60" s="221">
        <v>0.34</v>
      </c>
      <c r="AB60" s="221">
        <v>7.43</v>
      </c>
      <c r="AC60" s="221">
        <v>5.56</v>
      </c>
      <c r="AD60" s="221"/>
      <c r="AE60" s="221">
        <v>4.3099999999999996</v>
      </c>
      <c r="AF60" s="221"/>
      <c r="AG60" s="221">
        <v>21.11</v>
      </c>
      <c r="AH60" s="221"/>
      <c r="AI60" s="221">
        <v>6.71</v>
      </c>
      <c r="AJ60" s="221">
        <v>53.64</v>
      </c>
      <c r="AK60" s="221"/>
      <c r="AL60" s="221">
        <v>0.11</v>
      </c>
      <c r="AM60" s="221"/>
      <c r="AN60" s="221"/>
      <c r="AO60" s="221"/>
      <c r="AP60" s="221">
        <v>7.21</v>
      </c>
      <c r="AQ60" s="221"/>
      <c r="AR60" s="221"/>
      <c r="AS60" s="221"/>
      <c r="AT60" s="221"/>
      <c r="AU60" s="221"/>
      <c r="AV60" s="221">
        <v>1.84</v>
      </c>
      <c r="AW60" s="221"/>
      <c r="AX60" s="221"/>
      <c r="AY60" s="221">
        <v>15.13</v>
      </c>
      <c r="AZ60" s="221"/>
      <c r="BA60" s="221"/>
      <c r="BB60" s="221">
        <v>9.09</v>
      </c>
      <c r="BC60" s="221"/>
      <c r="BD60" s="221">
        <v>5.78</v>
      </c>
      <c r="BE60" s="221">
        <v>16.34</v>
      </c>
      <c r="BF60" s="221">
        <v>22.74</v>
      </c>
      <c r="BG60" s="221"/>
      <c r="BH60" s="221">
        <v>7.22</v>
      </c>
      <c r="BI60" s="221"/>
      <c r="BJ60" s="221">
        <v>5.0199999999999996</v>
      </c>
      <c r="BK60" s="221">
        <v>10.27</v>
      </c>
      <c r="BL60" s="221">
        <v>15.01</v>
      </c>
      <c r="BM60" s="221">
        <v>0.91</v>
      </c>
      <c r="BN60" s="221">
        <v>7.72</v>
      </c>
      <c r="BO60" s="221">
        <v>0.37</v>
      </c>
      <c r="BP60" s="221">
        <v>1.77</v>
      </c>
      <c r="BQ60" s="221"/>
      <c r="BR60" s="221">
        <v>4.1900000000000004</v>
      </c>
      <c r="BS60" s="221">
        <v>0.86</v>
      </c>
      <c r="BT60" s="221"/>
      <c r="BU60" s="221"/>
      <c r="BV60" s="221">
        <v>11.03</v>
      </c>
      <c r="BW60" s="221">
        <v>1.59</v>
      </c>
      <c r="BX60" s="221"/>
      <c r="BY60" s="221">
        <v>2.76</v>
      </c>
      <c r="BZ60" s="221">
        <v>0.63</v>
      </c>
      <c r="CA60" s="221"/>
      <c r="CB60" s="221"/>
      <c r="CC60" s="221">
        <v>3.85</v>
      </c>
      <c r="CD60" s="252" t="s">
        <v>221</v>
      </c>
      <c r="CE60" s="254">
        <f t="shared" ref="CE60:CE71" si="0">SUM(C60:CD60)</f>
        <v>389.17999999999995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3541323</v>
      </c>
      <c r="F61" s="185">
        <v>2909859</v>
      </c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1177139</v>
      </c>
      <c r="Q61" s="185">
        <v>336593</v>
      </c>
      <c r="R61" s="185">
        <v>1824596</v>
      </c>
      <c r="S61" s="185">
        <v>242412</v>
      </c>
      <c r="T61" s="185"/>
      <c r="U61" s="185">
        <v>1429234</v>
      </c>
      <c r="V61" s="185"/>
      <c r="W61" s="185">
        <v>102102</v>
      </c>
      <c r="X61" s="185">
        <v>152694</v>
      </c>
      <c r="Y61" s="185">
        <v>817923</v>
      </c>
      <c r="Z61" s="185"/>
      <c r="AA61" s="185">
        <v>66048</v>
      </c>
      <c r="AB61" s="185">
        <v>951831</v>
      </c>
      <c r="AC61" s="185">
        <v>437403</v>
      </c>
      <c r="AD61" s="185"/>
      <c r="AE61" s="185">
        <v>480082</v>
      </c>
      <c r="AF61" s="185"/>
      <c r="AG61" s="185">
        <v>2409599</v>
      </c>
      <c r="AH61" s="185"/>
      <c r="AI61" s="185">
        <v>698673</v>
      </c>
      <c r="AJ61" s="185">
        <v>4853369</v>
      </c>
      <c r="AK61" s="185"/>
      <c r="AL61" s="185">
        <v>10533</v>
      </c>
      <c r="AM61" s="185"/>
      <c r="AN61" s="185"/>
      <c r="AO61" s="185"/>
      <c r="AP61" s="185">
        <v>191731</v>
      </c>
      <c r="AQ61" s="185"/>
      <c r="AR61" s="185"/>
      <c r="AS61" s="185"/>
      <c r="AT61" s="185"/>
      <c r="AU61" s="185"/>
      <c r="AV61" s="185">
        <v>84608</v>
      </c>
      <c r="AW61" s="185"/>
      <c r="AX61" s="185"/>
      <c r="AY61" s="185">
        <v>753315</v>
      </c>
      <c r="AZ61" s="185"/>
      <c r="BA61" s="185"/>
      <c r="BB61" s="185">
        <v>889793</v>
      </c>
      <c r="BC61" s="185"/>
      <c r="BD61" s="185">
        <v>310156</v>
      </c>
      <c r="BE61" s="185">
        <v>595434</v>
      </c>
      <c r="BF61" s="185">
        <v>944846</v>
      </c>
      <c r="BG61" s="185"/>
      <c r="BH61" s="185">
        <v>691219</v>
      </c>
      <c r="BI61" s="185"/>
      <c r="BJ61" s="185">
        <v>378204</v>
      </c>
      <c r="BK61" s="185">
        <v>814169</v>
      </c>
      <c r="BL61" s="185">
        <v>598985</v>
      </c>
      <c r="BM61" s="185">
        <v>133849</v>
      </c>
      <c r="BN61" s="185">
        <v>1354190</v>
      </c>
      <c r="BO61" s="185">
        <v>22170</v>
      </c>
      <c r="BP61" s="185">
        <v>118795</v>
      </c>
      <c r="BQ61" s="185"/>
      <c r="BR61" s="185">
        <v>515504</v>
      </c>
      <c r="BS61" s="185">
        <v>59805</v>
      </c>
      <c r="BT61" s="185"/>
      <c r="BU61" s="185"/>
      <c r="BV61" s="185">
        <v>628722</v>
      </c>
      <c r="BW61" s="185">
        <v>112815</v>
      </c>
      <c r="BX61" s="185"/>
      <c r="BY61" s="185">
        <v>285916</v>
      </c>
      <c r="BZ61" s="185">
        <v>129590</v>
      </c>
      <c r="CA61" s="185"/>
      <c r="CB61" s="185"/>
      <c r="CC61" s="185">
        <v>377718</v>
      </c>
      <c r="CD61" s="252" t="s">
        <v>221</v>
      </c>
      <c r="CE61" s="195">
        <f t="shared" si="0"/>
        <v>32432947</v>
      </c>
      <c r="CF61" s="25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1036658</v>
      </c>
      <c r="F62" s="195">
        <f t="shared" si="1"/>
        <v>851809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344586</v>
      </c>
      <c r="Q62" s="195">
        <f t="shared" si="1"/>
        <v>98532</v>
      </c>
      <c r="R62" s="195">
        <f t="shared" si="1"/>
        <v>534117</v>
      </c>
      <c r="S62" s="195">
        <f t="shared" si="1"/>
        <v>70962</v>
      </c>
      <c r="T62" s="195">
        <f t="shared" si="1"/>
        <v>0</v>
      </c>
      <c r="U62" s="195">
        <f t="shared" si="1"/>
        <v>418382</v>
      </c>
      <c r="V62" s="195">
        <f t="shared" si="1"/>
        <v>0</v>
      </c>
      <c r="W62" s="195">
        <f t="shared" si="1"/>
        <v>29889</v>
      </c>
      <c r="X62" s="195">
        <f t="shared" si="1"/>
        <v>44698</v>
      </c>
      <c r="Y62" s="195">
        <f t="shared" si="1"/>
        <v>239432</v>
      </c>
      <c r="Z62" s="195">
        <f t="shared" si="1"/>
        <v>0</v>
      </c>
      <c r="AA62" s="195">
        <f t="shared" si="1"/>
        <v>19334</v>
      </c>
      <c r="AB62" s="195">
        <f t="shared" si="1"/>
        <v>278631</v>
      </c>
      <c r="AC62" s="195">
        <f t="shared" si="1"/>
        <v>128042</v>
      </c>
      <c r="AD62" s="195">
        <f t="shared" si="1"/>
        <v>0</v>
      </c>
      <c r="AE62" s="195">
        <f t="shared" si="1"/>
        <v>140535</v>
      </c>
      <c r="AF62" s="195">
        <f t="shared" si="1"/>
        <v>0</v>
      </c>
      <c r="AG62" s="195">
        <f t="shared" si="1"/>
        <v>705366</v>
      </c>
      <c r="AH62" s="195">
        <f t="shared" si="1"/>
        <v>0</v>
      </c>
      <c r="AI62" s="195">
        <f t="shared" si="1"/>
        <v>204524</v>
      </c>
      <c r="AJ62" s="195">
        <f t="shared" si="1"/>
        <v>1420736</v>
      </c>
      <c r="AK62" s="195">
        <f t="shared" si="1"/>
        <v>0</v>
      </c>
      <c r="AL62" s="195">
        <f t="shared" si="1"/>
        <v>3083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56126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24767</v>
      </c>
      <c r="AW62" s="195">
        <f t="shared" si="1"/>
        <v>0</v>
      </c>
      <c r="AX62" s="195">
        <f t="shared" si="1"/>
        <v>0</v>
      </c>
      <c r="AY62" s="195">
        <f>ROUND(AY47+AY48,0)</f>
        <v>220519</v>
      </c>
      <c r="AZ62" s="195">
        <f>ROUND(AZ47+AZ48,0)</f>
        <v>0</v>
      </c>
      <c r="BA62" s="195">
        <f>ROUND(BA47+BA48,0)</f>
        <v>0</v>
      </c>
      <c r="BB62" s="195">
        <f t="shared" si="1"/>
        <v>260471</v>
      </c>
      <c r="BC62" s="195">
        <f t="shared" si="1"/>
        <v>0</v>
      </c>
      <c r="BD62" s="195">
        <f t="shared" si="1"/>
        <v>90793</v>
      </c>
      <c r="BE62" s="195">
        <f t="shared" si="1"/>
        <v>174303</v>
      </c>
      <c r="BF62" s="195">
        <f t="shared" si="1"/>
        <v>276587</v>
      </c>
      <c r="BG62" s="195">
        <f t="shared" si="1"/>
        <v>0</v>
      </c>
      <c r="BH62" s="195">
        <f t="shared" si="1"/>
        <v>202342</v>
      </c>
      <c r="BI62" s="195">
        <f t="shared" si="1"/>
        <v>0</v>
      </c>
      <c r="BJ62" s="195">
        <f t="shared" si="1"/>
        <v>110712</v>
      </c>
      <c r="BK62" s="195">
        <f t="shared" si="1"/>
        <v>238333</v>
      </c>
      <c r="BL62" s="195">
        <f t="shared" si="1"/>
        <v>175342</v>
      </c>
      <c r="BM62" s="195">
        <f t="shared" si="1"/>
        <v>39182</v>
      </c>
      <c r="BN62" s="195">
        <f t="shared" si="1"/>
        <v>396415</v>
      </c>
      <c r="BO62" s="195">
        <f t="shared" ref="BO62:CC62" si="2">ROUND(BO47+BO48,0)</f>
        <v>6490</v>
      </c>
      <c r="BP62" s="195">
        <f t="shared" si="2"/>
        <v>34775</v>
      </c>
      <c r="BQ62" s="195">
        <f t="shared" si="2"/>
        <v>0</v>
      </c>
      <c r="BR62" s="195">
        <f t="shared" si="2"/>
        <v>150904</v>
      </c>
      <c r="BS62" s="195">
        <f t="shared" si="2"/>
        <v>17507</v>
      </c>
      <c r="BT62" s="195">
        <f t="shared" si="2"/>
        <v>0</v>
      </c>
      <c r="BU62" s="195">
        <f t="shared" si="2"/>
        <v>0</v>
      </c>
      <c r="BV62" s="195">
        <f t="shared" si="2"/>
        <v>184047</v>
      </c>
      <c r="BW62" s="195">
        <f t="shared" si="2"/>
        <v>33025</v>
      </c>
      <c r="BX62" s="195">
        <f t="shared" si="2"/>
        <v>0</v>
      </c>
      <c r="BY62" s="195">
        <f t="shared" si="2"/>
        <v>83697</v>
      </c>
      <c r="BZ62" s="195">
        <f t="shared" si="2"/>
        <v>37935</v>
      </c>
      <c r="CA62" s="195">
        <f t="shared" si="2"/>
        <v>0</v>
      </c>
      <c r="CB62" s="195">
        <f t="shared" si="2"/>
        <v>0</v>
      </c>
      <c r="CC62" s="195">
        <f t="shared" si="2"/>
        <v>110570</v>
      </c>
      <c r="CD62" s="252" t="s">
        <v>221</v>
      </c>
      <c r="CE62" s="195">
        <f t="shared" si="0"/>
        <v>9494158</v>
      </c>
      <c r="CF62" s="255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92289</v>
      </c>
      <c r="S63" s="185"/>
      <c r="T63" s="185"/>
      <c r="U63" s="185">
        <v>9642</v>
      </c>
      <c r="V63" s="185"/>
      <c r="W63" s="185"/>
      <c r="X63" s="185">
        <v>3407</v>
      </c>
      <c r="Y63" s="185">
        <v>36590</v>
      </c>
      <c r="Z63" s="185"/>
      <c r="AA63" s="185">
        <v>1424</v>
      </c>
      <c r="AB63" s="185">
        <v>132177</v>
      </c>
      <c r="AC63" s="185"/>
      <c r="AD63" s="185"/>
      <c r="AE63" s="185"/>
      <c r="AF63" s="185"/>
      <c r="AG63" s="185">
        <v>2401385</v>
      </c>
      <c r="AH63" s="185"/>
      <c r="AI63" s="185"/>
      <c r="AJ63" s="185">
        <v>196006</v>
      </c>
      <c r="AK63" s="185"/>
      <c r="AL63" s="185"/>
      <c r="AM63" s="185"/>
      <c r="AN63" s="185"/>
      <c r="AO63" s="185"/>
      <c r="AP63" s="185">
        <v>7747</v>
      </c>
      <c r="AQ63" s="185"/>
      <c r="AR63" s="185"/>
      <c r="AS63" s="185"/>
      <c r="AT63" s="185"/>
      <c r="AU63" s="185"/>
      <c r="AV63" s="185">
        <v>12960</v>
      </c>
      <c r="AW63" s="185"/>
      <c r="AX63" s="185"/>
      <c r="AY63" s="185"/>
      <c r="AZ63" s="185"/>
      <c r="BA63" s="185"/>
      <c r="BB63" s="185">
        <v>12440</v>
      </c>
      <c r="BC63" s="185"/>
      <c r="BD63" s="185">
        <v>7885</v>
      </c>
      <c r="BE63" s="185">
        <v>-8880</v>
      </c>
      <c r="BF63" s="185">
        <v>19529</v>
      </c>
      <c r="BG63" s="185"/>
      <c r="BH63" s="185"/>
      <c r="BI63" s="185"/>
      <c r="BJ63" s="185">
        <v>89428</v>
      </c>
      <c r="BK63" s="185">
        <v>372555</v>
      </c>
      <c r="BL63" s="185"/>
      <c r="BM63" s="185">
        <v>7500</v>
      </c>
      <c r="BN63" s="185">
        <v>579298</v>
      </c>
      <c r="BO63" s="185"/>
      <c r="BP63" s="185">
        <v>72500</v>
      </c>
      <c r="BQ63" s="185"/>
      <c r="BR63" s="185">
        <v>89409</v>
      </c>
      <c r="BS63" s="185"/>
      <c r="BT63" s="185"/>
      <c r="BU63" s="185"/>
      <c r="BV63" s="185"/>
      <c r="BW63" s="185">
        <v>10800</v>
      </c>
      <c r="BX63" s="185"/>
      <c r="BY63" s="185"/>
      <c r="BZ63" s="185"/>
      <c r="CA63" s="185"/>
      <c r="CB63" s="185"/>
      <c r="CC63" s="185"/>
      <c r="CD63" s="252" t="s">
        <v>221</v>
      </c>
      <c r="CE63" s="195">
        <f t="shared" si="0"/>
        <v>4146091</v>
      </c>
      <c r="CF63" s="255"/>
    </row>
    <row r="64" spans="1:84" ht="12.6" customHeight="1" x14ac:dyDescent="0.25">
      <c r="A64" s="171" t="s">
        <v>237</v>
      </c>
      <c r="B64" s="175"/>
      <c r="C64" s="184"/>
      <c r="D64" s="184"/>
      <c r="E64" s="185">
        <v>368956</v>
      </c>
      <c r="F64" s="185">
        <v>139539</v>
      </c>
      <c r="G64" s="184"/>
      <c r="H64" s="184"/>
      <c r="I64" s="185"/>
      <c r="J64" s="185">
        <v>52318</v>
      </c>
      <c r="K64" s="185"/>
      <c r="L64" s="185"/>
      <c r="M64" s="184"/>
      <c r="N64" s="184"/>
      <c r="O64" s="184">
        <v>149734</v>
      </c>
      <c r="P64" s="185">
        <v>1370627</v>
      </c>
      <c r="Q64" s="185">
        <v>39324</v>
      </c>
      <c r="R64" s="185">
        <v>120704</v>
      </c>
      <c r="S64" s="185">
        <v>3412100</v>
      </c>
      <c r="T64" s="185"/>
      <c r="U64" s="185">
        <f>539539-9642</f>
        <v>529897</v>
      </c>
      <c r="V64" s="185">
        <v>2777</v>
      </c>
      <c r="W64" s="185">
        <v>8845</v>
      </c>
      <c r="X64" s="185">
        <v>61008</v>
      </c>
      <c r="Y64" s="185">
        <v>28782</v>
      </c>
      <c r="Z64" s="185"/>
      <c r="AA64" s="185">
        <v>118551</v>
      </c>
      <c r="AB64" s="185">
        <v>1885795</v>
      </c>
      <c r="AC64" s="185">
        <v>45387</v>
      </c>
      <c r="AD64" s="185"/>
      <c r="AE64" s="185">
        <v>9857</v>
      </c>
      <c r="AF64" s="185"/>
      <c r="AG64" s="185">
        <v>253666</v>
      </c>
      <c r="AH64" s="185"/>
      <c r="AI64" s="185">
        <v>104735</v>
      </c>
      <c r="AJ64" s="185">
        <v>431580</v>
      </c>
      <c r="AK64" s="185"/>
      <c r="AL64" s="185"/>
      <c r="AM64" s="185"/>
      <c r="AN64" s="185"/>
      <c r="AO64" s="185"/>
      <c r="AP64" s="185">
        <v>63638</v>
      </c>
      <c r="AQ64" s="185"/>
      <c r="AR64" s="185"/>
      <c r="AS64" s="185"/>
      <c r="AT64" s="185"/>
      <c r="AU64" s="185"/>
      <c r="AV64" s="185">
        <v>2677</v>
      </c>
      <c r="AW64" s="185"/>
      <c r="AX64" s="185"/>
      <c r="AY64" s="185">
        <v>466108</v>
      </c>
      <c r="AZ64" s="185"/>
      <c r="BA64" s="185"/>
      <c r="BB64" s="185">
        <v>2909</v>
      </c>
      <c r="BC64" s="185"/>
      <c r="BD64" s="185">
        <v>6151</v>
      </c>
      <c r="BE64" s="185">
        <v>38268</v>
      </c>
      <c r="BF64" s="185">
        <v>119659</v>
      </c>
      <c r="BG64" s="185"/>
      <c r="BH64" s="185">
        <v>210078</v>
      </c>
      <c r="BI64" s="185"/>
      <c r="BJ64" s="185">
        <v>6361</v>
      </c>
      <c r="BK64" s="185">
        <v>13814</v>
      </c>
      <c r="BL64" s="185">
        <v>15091</v>
      </c>
      <c r="BM64" s="185">
        <v>12613</v>
      </c>
      <c r="BN64" s="185">
        <v>23105</v>
      </c>
      <c r="BO64" s="185">
        <v>27178</v>
      </c>
      <c r="BP64" s="185">
        <v>23843</v>
      </c>
      <c r="BQ64" s="185"/>
      <c r="BR64" s="185">
        <v>7705</v>
      </c>
      <c r="BS64" s="185">
        <v>477</v>
      </c>
      <c r="BT64" s="185"/>
      <c r="BU64" s="185">
        <v>8</v>
      </c>
      <c r="BV64" s="185">
        <v>6455</v>
      </c>
      <c r="BW64" s="185">
        <v>31859</v>
      </c>
      <c r="BX64" s="185"/>
      <c r="BY64" s="185">
        <v>5830</v>
      </c>
      <c r="BZ64" s="185"/>
      <c r="CA64" s="185"/>
      <c r="CB64" s="185"/>
      <c r="CC64" s="185">
        <v>1460</v>
      </c>
      <c r="CD64" s="252" t="s">
        <v>221</v>
      </c>
      <c r="CE64" s="195">
        <f t="shared" si="0"/>
        <v>10219469</v>
      </c>
      <c r="CF64" s="255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>
        <v>339010</v>
      </c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2" t="s">
        <v>221</v>
      </c>
      <c r="CE65" s="195">
        <f t="shared" si="0"/>
        <v>339010</v>
      </c>
      <c r="CF65" s="255"/>
    </row>
    <row r="66" spans="1:84" ht="12.6" customHeight="1" x14ac:dyDescent="0.25">
      <c r="A66" s="171" t="s">
        <v>239</v>
      </c>
      <c r="B66" s="175"/>
      <c r="C66" s="184"/>
      <c r="D66" s="184"/>
      <c r="E66" s="184">
        <v>23858</v>
      </c>
      <c r="F66" s="184">
        <v>76139</v>
      </c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138178</v>
      </c>
      <c r="Q66" s="185"/>
      <c r="R66" s="185">
        <v>17621</v>
      </c>
      <c r="S66" s="184">
        <v>77897</v>
      </c>
      <c r="T66" s="184"/>
      <c r="U66" s="185">
        <v>417101</v>
      </c>
      <c r="V66" s="185">
        <v>18898</v>
      </c>
      <c r="W66" s="185">
        <v>107910</v>
      </c>
      <c r="X66" s="185">
        <v>122779</v>
      </c>
      <c r="Y66" s="185">
        <v>387568</v>
      </c>
      <c r="Z66" s="185"/>
      <c r="AA66" s="185">
        <v>32826</v>
      </c>
      <c r="AB66" s="185">
        <v>123414</v>
      </c>
      <c r="AC66" s="185">
        <v>154</v>
      </c>
      <c r="AD66" s="185"/>
      <c r="AE66" s="185">
        <v>4862</v>
      </c>
      <c r="AF66" s="185"/>
      <c r="AG66" s="185">
        <v>5704</v>
      </c>
      <c r="AH66" s="185"/>
      <c r="AI66" s="185"/>
      <c r="AJ66" s="185">
        <v>54913</v>
      </c>
      <c r="AK66" s="185"/>
      <c r="AL66" s="185"/>
      <c r="AM66" s="185"/>
      <c r="AN66" s="185"/>
      <c r="AO66" s="185"/>
      <c r="AP66" s="185">
        <v>124076</v>
      </c>
      <c r="AQ66" s="185"/>
      <c r="AR66" s="185"/>
      <c r="AS66" s="185"/>
      <c r="AT66" s="185"/>
      <c r="AU66" s="185"/>
      <c r="AV66" s="185"/>
      <c r="AW66" s="185"/>
      <c r="AX66" s="185"/>
      <c r="AY66" s="185">
        <v>1148</v>
      </c>
      <c r="AZ66" s="185"/>
      <c r="BA66" s="185"/>
      <c r="BB66" s="185">
        <v>129762</v>
      </c>
      <c r="BC66" s="185"/>
      <c r="BD66" s="185">
        <v>154959</v>
      </c>
      <c r="BE66" s="185">
        <v>14519</v>
      </c>
      <c r="BF66" s="185">
        <v>41128</v>
      </c>
      <c r="BG66" s="185"/>
      <c r="BH66" s="185">
        <v>1867993</v>
      </c>
      <c r="BI66" s="185"/>
      <c r="BJ66" s="185">
        <v>155117</v>
      </c>
      <c r="BK66" s="185">
        <v>1291797</v>
      </c>
      <c r="BL66" s="185"/>
      <c r="BM66" s="185">
        <v>10432</v>
      </c>
      <c r="BN66" s="185">
        <v>147123</v>
      </c>
      <c r="BO66" s="185"/>
      <c r="BP66" s="185">
        <v>3580</v>
      </c>
      <c r="BQ66" s="185"/>
      <c r="BR66" s="185">
        <v>132204</v>
      </c>
      <c r="BS66" s="185"/>
      <c r="BT66" s="185"/>
      <c r="BU66" s="185"/>
      <c r="BV66" s="185">
        <v>591323</v>
      </c>
      <c r="BW66" s="185">
        <v>17931</v>
      </c>
      <c r="BX66" s="185"/>
      <c r="BY66" s="185">
        <v>2913</v>
      </c>
      <c r="BZ66" s="185"/>
      <c r="CA66" s="185"/>
      <c r="CB66" s="185"/>
      <c r="CC66" s="185">
        <v>84563</v>
      </c>
      <c r="CD66" s="252" t="s">
        <v>221</v>
      </c>
      <c r="CE66" s="195">
        <f t="shared" si="0"/>
        <v>6380390</v>
      </c>
      <c r="CF66" s="255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381865</v>
      </c>
      <c r="F67" s="195">
        <f t="shared" si="3"/>
        <v>241942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187422</v>
      </c>
      <c r="Q67" s="195">
        <f t="shared" si="3"/>
        <v>26630</v>
      </c>
      <c r="R67" s="195">
        <f t="shared" si="3"/>
        <v>3548</v>
      </c>
      <c r="S67" s="195">
        <f t="shared" si="3"/>
        <v>25924</v>
      </c>
      <c r="T67" s="195">
        <f t="shared" si="3"/>
        <v>0</v>
      </c>
      <c r="U67" s="195">
        <f t="shared" si="3"/>
        <v>62016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126875</v>
      </c>
      <c r="Z67" s="195">
        <f t="shared" si="3"/>
        <v>0</v>
      </c>
      <c r="AA67" s="195">
        <f t="shared" si="3"/>
        <v>0</v>
      </c>
      <c r="AB67" s="195">
        <f t="shared" si="3"/>
        <v>31495</v>
      </c>
      <c r="AC67" s="195">
        <f t="shared" si="3"/>
        <v>15814</v>
      </c>
      <c r="AD67" s="195">
        <f t="shared" si="3"/>
        <v>0</v>
      </c>
      <c r="AE67" s="195">
        <f t="shared" si="3"/>
        <v>38896</v>
      </c>
      <c r="AF67" s="195">
        <f t="shared" si="3"/>
        <v>0</v>
      </c>
      <c r="AG67" s="195">
        <f t="shared" si="3"/>
        <v>104384</v>
      </c>
      <c r="AH67" s="195">
        <f t="shared" si="3"/>
        <v>0</v>
      </c>
      <c r="AI67" s="195">
        <f t="shared" si="3"/>
        <v>74015</v>
      </c>
      <c r="AJ67" s="195">
        <f t="shared" si="3"/>
        <v>1289752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140648</v>
      </c>
      <c r="AZ67" s="195">
        <f>ROUND(AZ51+AZ52,0)</f>
        <v>0</v>
      </c>
      <c r="BA67" s="195">
        <f>ROUND(BA51+BA52,0)</f>
        <v>12533</v>
      </c>
      <c r="BB67" s="195">
        <f t="shared" si="3"/>
        <v>11160</v>
      </c>
      <c r="BC67" s="195">
        <f t="shared" si="3"/>
        <v>0</v>
      </c>
      <c r="BD67" s="195">
        <f t="shared" si="3"/>
        <v>89677</v>
      </c>
      <c r="BE67" s="195">
        <f t="shared" si="3"/>
        <v>467459</v>
      </c>
      <c r="BF67" s="195">
        <f t="shared" si="3"/>
        <v>65278</v>
      </c>
      <c r="BG67" s="195">
        <f t="shared" si="3"/>
        <v>0</v>
      </c>
      <c r="BH67" s="195">
        <f t="shared" si="3"/>
        <v>67796</v>
      </c>
      <c r="BI67" s="195">
        <f t="shared" si="3"/>
        <v>0</v>
      </c>
      <c r="BJ67" s="195">
        <f t="shared" si="3"/>
        <v>27737</v>
      </c>
      <c r="BK67" s="195">
        <f t="shared" si="3"/>
        <v>35634</v>
      </c>
      <c r="BL67" s="195">
        <f t="shared" si="3"/>
        <v>25314</v>
      </c>
      <c r="BM67" s="195">
        <f t="shared" si="3"/>
        <v>0</v>
      </c>
      <c r="BN67" s="195">
        <f t="shared" si="3"/>
        <v>545938</v>
      </c>
      <c r="BO67" s="195">
        <f t="shared" si="3"/>
        <v>3911</v>
      </c>
      <c r="BP67" s="195">
        <f t="shared" si="3"/>
        <v>22281</v>
      </c>
      <c r="BQ67" s="195">
        <f t="shared" ref="BQ67:CC67" si="4">ROUND(BQ51+BQ52,0)</f>
        <v>0</v>
      </c>
      <c r="BR67" s="195">
        <f t="shared" si="4"/>
        <v>31228</v>
      </c>
      <c r="BS67" s="195">
        <f t="shared" si="4"/>
        <v>17035</v>
      </c>
      <c r="BT67" s="195">
        <f t="shared" si="4"/>
        <v>0</v>
      </c>
      <c r="BU67" s="195">
        <f t="shared" si="4"/>
        <v>0</v>
      </c>
      <c r="BV67" s="195">
        <f t="shared" si="4"/>
        <v>31323</v>
      </c>
      <c r="BW67" s="195">
        <f t="shared" si="4"/>
        <v>17951</v>
      </c>
      <c r="BX67" s="195">
        <f t="shared" si="4"/>
        <v>0</v>
      </c>
      <c r="BY67" s="195">
        <f>ROUND(BY51+BY52,0)</f>
        <v>11503</v>
      </c>
      <c r="BZ67" s="195">
        <f t="shared" si="4"/>
        <v>0</v>
      </c>
      <c r="CA67" s="195">
        <f t="shared" si="4"/>
        <v>146447</v>
      </c>
      <c r="CB67" s="195">
        <f t="shared" si="4"/>
        <v>1908</v>
      </c>
      <c r="CC67" s="195">
        <f t="shared" si="4"/>
        <v>5036</v>
      </c>
      <c r="CD67" s="252" t="s">
        <v>221</v>
      </c>
      <c r="CE67" s="195">
        <f t="shared" si="0"/>
        <v>4388375</v>
      </c>
      <c r="CF67" s="255"/>
    </row>
    <row r="68" spans="1:84" ht="12.6" customHeight="1" x14ac:dyDescent="0.25">
      <c r="A68" s="171" t="s">
        <v>240</v>
      </c>
      <c r="B68" s="175"/>
      <c r="C68" s="184"/>
      <c r="D68" s="184"/>
      <c r="E68" s="184">
        <v>65138</v>
      </c>
      <c r="F68" s="184">
        <v>33331</v>
      </c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196590</v>
      </c>
      <c r="Q68" s="185">
        <v>7812</v>
      </c>
      <c r="R68" s="185"/>
      <c r="S68" s="185">
        <v>68221</v>
      </c>
      <c r="T68" s="185"/>
      <c r="U68" s="185">
        <v>58293</v>
      </c>
      <c r="V68" s="185"/>
      <c r="W68" s="185">
        <v>329747</v>
      </c>
      <c r="X68" s="185"/>
      <c r="Y68" s="185"/>
      <c r="Z68" s="185"/>
      <c r="AA68" s="185"/>
      <c r="AB68" s="185">
        <v>17017</v>
      </c>
      <c r="AC68" s="185"/>
      <c r="AD68" s="185"/>
      <c r="AE68" s="185"/>
      <c r="AF68" s="185"/>
      <c r="AG68" s="185">
        <v>15548</v>
      </c>
      <c r="AH68" s="185"/>
      <c r="AI68" s="185">
        <v>7938</v>
      </c>
      <c r="AJ68" s="185">
        <v>5078</v>
      </c>
      <c r="AK68" s="185"/>
      <c r="AL68" s="185"/>
      <c r="AM68" s="185"/>
      <c r="AN68" s="185"/>
      <c r="AO68" s="185"/>
      <c r="AP68" s="185">
        <v>66933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>
        <v>93647</v>
      </c>
      <c r="BE68" s="185">
        <v>12561</v>
      </c>
      <c r="BF68" s="185"/>
      <c r="BG68" s="185"/>
      <c r="BH68" s="185">
        <v>1381</v>
      </c>
      <c r="BI68" s="185"/>
      <c r="BJ68" s="185"/>
      <c r="BK68" s="185"/>
      <c r="BL68" s="185"/>
      <c r="BM68" s="185"/>
      <c r="BN68" s="185"/>
      <c r="BO68" s="185"/>
      <c r="BP68" s="185">
        <v>6527</v>
      </c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2" t="s">
        <v>221</v>
      </c>
      <c r="CE68" s="195">
        <f t="shared" si="0"/>
        <v>985762</v>
      </c>
      <c r="CF68" s="255"/>
    </row>
    <row r="69" spans="1:84" ht="12.6" customHeight="1" x14ac:dyDescent="0.25">
      <c r="A69" s="171" t="s">
        <v>1262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8"/>
      <c r="CE69" s="195">
        <f>CD69</f>
        <v>0</v>
      </c>
      <c r="CF69" s="255"/>
    </row>
    <row r="70" spans="1:84" ht="12.6" customHeight="1" x14ac:dyDescent="0.25">
      <c r="A70" s="171" t="s">
        <v>241</v>
      </c>
      <c r="B70" s="175"/>
      <c r="C70" s="184"/>
      <c r="D70" s="184"/>
      <c r="E70" s="185">
        <v>3456</v>
      </c>
      <c r="F70" s="185">
        <v>23531</v>
      </c>
      <c r="G70" s="184"/>
      <c r="H70" s="184"/>
      <c r="I70" s="185"/>
      <c r="J70" s="185"/>
      <c r="K70" s="185"/>
      <c r="L70" s="185"/>
      <c r="M70" s="184"/>
      <c r="N70" s="184"/>
      <c r="O70" s="184">
        <v>200</v>
      </c>
      <c r="P70" s="185">
        <v>2415</v>
      </c>
      <c r="Q70" s="185">
        <v>1401</v>
      </c>
      <c r="R70" s="224">
        <v>57646</v>
      </c>
      <c r="S70" s="185">
        <v>7618</v>
      </c>
      <c r="T70" s="184"/>
      <c r="U70" s="185">
        <v>9837</v>
      </c>
      <c r="V70" s="185"/>
      <c r="W70" s="184">
        <v>2040</v>
      </c>
      <c r="X70" s="185"/>
      <c r="Y70" s="185">
        <v>1721</v>
      </c>
      <c r="Z70" s="185"/>
      <c r="AA70" s="185">
        <v>56</v>
      </c>
      <c r="AB70" s="185">
        <v>13101</v>
      </c>
      <c r="AC70" s="185">
        <v>2378</v>
      </c>
      <c r="AD70" s="185"/>
      <c r="AE70" s="185">
        <v>11705</v>
      </c>
      <c r="AF70" s="185"/>
      <c r="AG70" s="185">
        <v>6758</v>
      </c>
      <c r="AH70" s="185"/>
      <c r="AI70" s="185">
        <v>1516</v>
      </c>
      <c r="AJ70" s="185">
        <v>173178</v>
      </c>
      <c r="AK70" s="185"/>
      <c r="AL70" s="185"/>
      <c r="AM70" s="185"/>
      <c r="AN70" s="185"/>
      <c r="AO70" s="184"/>
      <c r="AP70" s="185">
        <v>16636</v>
      </c>
      <c r="AQ70" s="184"/>
      <c r="AR70" s="184"/>
      <c r="AS70" s="184"/>
      <c r="AT70" s="184"/>
      <c r="AU70" s="185"/>
      <c r="AV70" s="185">
        <v>3429</v>
      </c>
      <c r="AW70" s="185"/>
      <c r="AX70" s="185"/>
      <c r="AY70" s="185">
        <v>2513</v>
      </c>
      <c r="AZ70" s="185"/>
      <c r="BA70" s="185"/>
      <c r="BB70" s="185">
        <v>11065</v>
      </c>
      <c r="BC70" s="185"/>
      <c r="BD70" s="185">
        <v>2967</v>
      </c>
      <c r="BE70" s="185">
        <v>567148</v>
      </c>
      <c r="BF70" s="185">
        <v>142</v>
      </c>
      <c r="BG70" s="185"/>
      <c r="BH70" s="224">
        <v>4828</v>
      </c>
      <c r="BI70" s="185"/>
      <c r="BJ70" s="185">
        <v>2375</v>
      </c>
      <c r="BK70" s="185">
        <v>44550</v>
      </c>
      <c r="BL70" s="185">
        <v>428</v>
      </c>
      <c r="BM70" s="185">
        <v>29461</v>
      </c>
      <c r="BN70" s="185">
        <v>278913</v>
      </c>
      <c r="BO70" s="185">
        <v>887</v>
      </c>
      <c r="BP70" s="185">
        <v>493562</v>
      </c>
      <c r="BQ70" s="185"/>
      <c r="BR70" s="185">
        <v>217151</v>
      </c>
      <c r="BS70" s="185">
        <v>50</v>
      </c>
      <c r="BT70" s="185"/>
      <c r="BU70" s="185"/>
      <c r="BV70" s="185">
        <v>210808</v>
      </c>
      <c r="BW70" s="185">
        <v>8220</v>
      </c>
      <c r="BX70" s="185"/>
      <c r="BY70" s="185">
        <v>9917</v>
      </c>
      <c r="BZ70" s="185"/>
      <c r="CA70" s="185"/>
      <c r="CB70" s="185"/>
      <c r="CC70" s="185">
        <v>30731</v>
      </c>
      <c r="CD70" s="188"/>
      <c r="CE70" s="195">
        <f t="shared" si="0"/>
        <v>2254338</v>
      </c>
      <c r="CF70" s="255"/>
    </row>
    <row r="71" spans="1:84" ht="12.6" customHeight="1" x14ac:dyDescent="0.25">
      <c r="A71" s="171" t="s">
        <v>242</v>
      </c>
      <c r="B71" s="175"/>
      <c r="C71" s="184"/>
      <c r="D71" s="184"/>
      <c r="E71" s="184"/>
      <c r="F71" s="185"/>
      <c r="G71" s="184"/>
      <c r="H71" s="184"/>
      <c r="I71" s="184"/>
      <c r="J71" s="185"/>
      <c r="K71" s="185"/>
      <c r="L71" s="185"/>
      <c r="M71" s="184"/>
      <c r="N71" s="184"/>
      <c r="O71" s="184"/>
      <c r="P71" s="184"/>
      <c r="Q71" s="184"/>
      <c r="R71" s="184"/>
      <c r="S71" s="184"/>
      <c r="T71" s="184"/>
      <c r="U71" s="185"/>
      <c r="V71" s="184"/>
      <c r="W71" s="184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>
        <v>2555384</v>
      </c>
      <c r="CE71" s="195">
        <f t="shared" si="0"/>
        <v>2555384</v>
      </c>
      <c r="CF71" s="255"/>
    </row>
    <row r="72" spans="1:84" ht="12.6" customHeight="1" x14ac:dyDescent="0.25">
      <c r="A72" s="171" t="s">
        <v>243</v>
      </c>
      <c r="B72" s="175"/>
      <c r="C72" s="195">
        <f>SUM(C61:C68)+C70-C71</f>
        <v>0</v>
      </c>
      <c r="D72" s="195">
        <f t="shared" ref="D72:BO72" si="5">SUM(D61:D70)-D71</f>
        <v>0</v>
      </c>
      <c r="E72" s="195">
        <f t="shared" si="5"/>
        <v>5421254</v>
      </c>
      <c r="F72" s="195">
        <f t="shared" si="5"/>
        <v>4276150</v>
      </c>
      <c r="G72" s="195">
        <f t="shared" si="5"/>
        <v>0</v>
      </c>
      <c r="H72" s="195">
        <f t="shared" si="5"/>
        <v>0</v>
      </c>
      <c r="I72" s="195">
        <f t="shared" si="5"/>
        <v>0</v>
      </c>
      <c r="J72" s="195">
        <f t="shared" si="5"/>
        <v>52318</v>
      </c>
      <c r="K72" s="195">
        <f t="shared" si="5"/>
        <v>0</v>
      </c>
      <c r="L72" s="195">
        <f t="shared" si="5"/>
        <v>0</v>
      </c>
      <c r="M72" s="195">
        <f t="shared" si="5"/>
        <v>0</v>
      </c>
      <c r="N72" s="195">
        <f t="shared" si="5"/>
        <v>0</v>
      </c>
      <c r="O72" s="195">
        <f t="shared" si="5"/>
        <v>149934</v>
      </c>
      <c r="P72" s="195">
        <f t="shared" si="5"/>
        <v>3416957</v>
      </c>
      <c r="Q72" s="195">
        <f t="shared" si="5"/>
        <v>510292</v>
      </c>
      <c r="R72" s="195">
        <f t="shared" si="5"/>
        <v>2650521</v>
      </c>
      <c r="S72" s="195">
        <f t="shared" si="5"/>
        <v>3905134</v>
      </c>
      <c r="T72" s="195">
        <f t="shared" si="5"/>
        <v>0</v>
      </c>
      <c r="U72" s="195">
        <f t="shared" si="5"/>
        <v>2934402</v>
      </c>
      <c r="V72" s="195">
        <f t="shared" si="5"/>
        <v>21675</v>
      </c>
      <c r="W72" s="195">
        <f t="shared" si="5"/>
        <v>580533</v>
      </c>
      <c r="X72" s="195">
        <f t="shared" si="5"/>
        <v>384586</v>
      </c>
      <c r="Y72" s="195">
        <f t="shared" si="5"/>
        <v>1638891</v>
      </c>
      <c r="Z72" s="195">
        <f t="shared" si="5"/>
        <v>0</v>
      </c>
      <c r="AA72" s="195">
        <f t="shared" si="5"/>
        <v>238239</v>
      </c>
      <c r="AB72" s="195">
        <f t="shared" si="5"/>
        <v>3433461</v>
      </c>
      <c r="AC72" s="195">
        <f t="shared" si="5"/>
        <v>629178</v>
      </c>
      <c r="AD72" s="195">
        <f t="shared" si="5"/>
        <v>0</v>
      </c>
      <c r="AE72" s="195">
        <f t="shared" si="5"/>
        <v>685937</v>
      </c>
      <c r="AF72" s="195">
        <f t="shared" si="5"/>
        <v>0</v>
      </c>
      <c r="AG72" s="195">
        <f t="shared" si="5"/>
        <v>5902410</v>
      </c>
      <c r="AH72" s="195">
        <f t="shared" si="5"/>
        <v>0</v>
      </c>
      <c r="AI72" s="195">
        <f t="shared" si="5"/>
        <v>1091401</v>
      </c>
      <c r="AJ72" s="195">
        <f t="shared" si="5"/>
        <v>8424612</v>
      </c>
      <c r="AK72" s="195">
        <f t="shared" si="5"/>
        <v>0</v>
      </c>
      <c r="AL72" s="195">
        <f t="shared" si="5"/>
        <v>13616</v>
      </c>
      <c r="AM72" s="195">
        <f t="shared" si="5"/>
        <v>0</v>
      </c>
      <c r="AN72" s="195">
        <f t="shared" si="5"/>
        <v>0</v>
      </c>
      <c r="AO72" s="195">
        <f t="shared" si="5"/>
        <v>0</v>
      </c>
      <c r="AP72" s="195">
        <f t="shared" si="5"/>
        <v>526887</v>
      </c>
      <c r="AQ72" s="195">
        <f t="shared" si="5"/>
        <v>0</v>
      </c>
      <c r="AR72" s="195">
        <f t="shared" si="5"/>
        <v>0</v>
      </c>
      <c r="AS72" s="195">
        <f t="shared" si="5"/>
        <v>0</v>
      </c>
      <c r="AT72" s="195">
        <f t="shared" si="5"/>
        <v>0</v>
      </c>
      <c r="AU72" s="195">
        <f t="shared" si="5"/>
        <v>0</v>
      </c>
      <c r="AV72" s="195">
        <f t="shared" si="5"/>
        <v>128441</v>
      </c>
      <c r="AW72" s="195">
        <f t="shared" si="5"/>
        <v>0</v>
      </c>
      <c r="AX72" s="195">
        <f t="shared" si="5"/>
        <v>0</v>
      </c>
      <c r="AY72" s="195">
        <f t="shared" si="5"/>
        <v>1584251</v>
      </c>
      <c r="AZ72" s="195">
        <f t="shared" si="5"/>
        <v>0</v>
      </c>
      <c r="BA72" s="195">
        <f t="shared" si="5"/>
        <v>351543</v>
      </c>
      <c r="BB72" s="195">
        <f t="shared" si="5"/>
        <v>1317600</v>
      </c>
      <c r="BC72" s="195">
        <f t="shared" si="5"/>
        <v>0</v>
      </c>
      <c r="BD72" s="195">
        <f t="shared" si="5"/>
        <v>756235</v>
      </c>
      <c r="BE72" s="195">
        <f t="shared" si="5"/>
        <v>1860812</v>
      </c>
      <c r="BF72" s="195">
        <f t="shared" si="5"/>
        <v>1467169</v>
      </c>
      <c r="BG72" s="195">
        <f t="shared" si="5"/>
        <v>0</v>
      </c>
      <c r="BH72" s="195">
        <f t="shared" si="5"/>
        <v>3045637</v>
      </c>
      <c r="BI72" s="195">
        <f t="shared" si="5"/>
        <v>0</v>
      </c>
      <c r="BJ72" s="195">
        <f t="shared" si="5"/>
        <v>769934</v>
      </c>
      <c r="BK72" s="195">
        <f t="shared" si="5"/>
        <v>2810852</v>
      </c>
      <c r="BL72" s="195">
        <f t="shared" si="5"/>
        <v>815160</v>
      </c>
      <c r="BM72" s="195">
        <f t="shared" si="5"/>
        <v>233037</v>
      </c>
      <c r="BN72" s="195">
        <f t="shared" si="5"/>
        <v>3324982</v>
      </c>
      <c r="BO72" s="195">
        <f t="shared" si="5"/>
        <v>60636</v>
      </c>
      <c r="BP72" s="195">
        <f t="shared" ref="BP72:CC72" si="6">SUM(BP61:BP70)-BP71</f>
        <v>775863</v>
      </c>
      <c r="BQ72" s="195">
        <f t="shared" si="6"/>
        <v>0</v>
      </c>
      <c r="BR72" s="195">
        <f t="shared" si="6"/>
        <v>1144105</v>
      </c>
      <c r="BS72" s="195">
        <f t="shared" si="6"/>
        <v>94874</v>
      </c>
      <c r="BT72" s="195">
        <f t="shared" si="6"/>
        <v>0</v>
      </c>
      <c r="BU72" s="195">
        <f t="shared" si="6"/>
        <v>8</v>
      </c>
      <c r="BV72" s="195">
        <f t="shared" si="6"/>
        <v>1652678</v>
      </c>
      <c r="BW72" s="195">
        <f t="shared" si="6"/>
        <v>232601</v>
      </c>
      <c r="BX72" s="195">
        <f t="shared" si="6"/>
        <v>0</v>
      </c>
      <c r="BY72" s="195">
        <f t="shared" si="6"/>
        <v>399776</v>
      </c>
      <c r="BZ72" s="195">
        <f t="shared" si="6"/>
        <v>167525</v>
      </c>
      <c r="CA72" s="195">
        <f t="shared" si="6"/>
        <v>146447</v>
      </c>
      <c r="CB72" s="195">
        <f t="shared" si="6"/>
        <v>1908</v>
      </c>
      <c r="CC72" s="195">
        <f t="shared" si="6"/>
        <v>610078</v>
      </c>
      <c r="CD72" s="248">
        <f>+CD69+CD70-CD71</f>
        <v>-2555384</v>
      </c>
      <c r="CE72" s="195">
        <f>SUM(CE61:CE70)-CE71</f>
        <v>68085156</v>
      </c>
      <c r="CF72" s="255"/>
    </row>
    <row r="73" spans="1:84" ht="12.6" customHeight="1" x14ac:dyDescent="0.25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/>
      <c r="CF73" s="255"/>
    </row>
    <row r="74" spans="1:84" ht="12.6" customHeight="1" x14ac:dyDescent="0.25">
      <c r="A74" s="171" t="s">
        <v>245</v>
      </c>
      <c r="B74" s="175"/>
      <c r="C74" s="184"/>
      <c r="D74" s="184"/>
      <c r="E74" s="185">
        <v>14975415</v>
      </c>
      <c r="F74" s="185">
        <v>4159971</v>
      </c>
      <c r="G74" s="184"/>
      <c r="H74" s="184"/>
      <c r="I74" s="185"/>
      <c r="J74" s="185"/>
      <c r="K74" s="185"/>
      <c r="L74" s="185"/>
      <c r="M74" s="184"/>
      <c r="N74" s="184"/>
      <c r="O74" s="184">
        <v>12737293</v>
      </c>
      <c r="P74" s="185">
        <v>10029111</v>
      </c>
      <c r="Q74" s="185">
        <v>1422483</v>
      </c>
      <c r="R74" s="185">
        <v>7135112</v>
      </c>
      <c r="S74" s="185">
        <v>5420324</v>
      </c>
      <c r="T74" s="185"/>
      <c r="U74" s="185">
        <v>5189575</v>
      </c>
      <c r="V74" s="185">
        <v>66304</v>
      </c>
      <c r="W74" s="185">
        <v>301816</v>
      </c>
      <c r="X74" s="185">
        <v>2778164</v>
      </c>
      <c r="Y74" s="185">
        <v>1015565</v>
      </c>
      <c r="Z74" s="185"/>
      <c r="AA74" s="185">
        <v>66625</v>
      </c>
      <c r="AB74" s="185">
        <v>6640962</v>
      </c>
      <c r="AC74" s="185">
        <v>1697595</v>
      </c>
      <c r="AD74" s="185"/>
      <c r="AE74" s="185">
        <v>827693</v>
      </c>
      <c r="AF74" s="185"/>
      <c r="AG74" s="185">
        <v>5100585</v>
      </c>
      <c r="AH74" s="185"/>
      <c r="AI74" s="185">
        <v>17871</v>
      </c>
      <c r="AJ74" s="185"/>
      <c r="AK74" s="185"/>
      <c r="AL74" s="185">
        <v>12976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79595440</v>
      </c>
      <c r="CF74" s="255"/>
    </row>
    <row r="75" spans="1:84" ht="12.6" customHeight="1" x14ac:dyDescent="0.25">
      <c r="A75" s="171" t="s">
        <v>246</v>
      </c>
      <c r="B75" s="175"/>
      <c r="C75" s="184"/>
      <c r="D75" s="184"/>
      <c r="E75" s="185">
        <v>2211845</v>
      </c>
      <c r="F75" s="185">
        <v>129641</v>
      </c>
      <c r="G75" s="184"/>
      <c r="H75" s="184"/>
      <c r="I75" s="184"/>
      <c r="J75" s="185"/>
      <c r="K75" s="185"/>
      <c r="L75" s="185"/>
      <c r="M75" s="184"/>
      <c r="N75" s="184"/>
      <c r="O75" s="184">
        <v>283191</v>
      </c>
      <c r="P75" s="185">
        <v>25914423</v>
      </c>
      <c r="Q75" s="185">
        <v>4249831</v>
      </c>
      <c r="R75" s="185">
        <v>8133601</v>
      </c>
      <c r="S75" s="185">
        <v>4187531</v>
      </c>
      <c r="T75" s="185"/>
      <c r="U75" s="185">
        <v>6783178</v>
      </c>
      <c r="V75" s="185">
        <v>99424</v>
      </c>
      <c r="W75" s="185">
        <v>1863563</v>
      </c>
      <c r="X75" s="185">
        <v>12031284</v>
      </c>
      <c r="Y75" s="185">
        <v>3502290</v>
      </c>
      <c r="Z75" s="185"/>
      <c r="AA75" s="185">
        <v>322581</v>
      </c>
      <c r="AB75" s="185">
        <v>7189497</v>
      </c>
      <c r="AC75" s="185">
        <v>404237</v>
      </c>
      <c r="AD75" s="185"/>
      <c r="AE75" s="185">
        <v>938276</v>
      </c>
      <c r="AF75" s="185"/>
      <c r="AG75" s="185">
        <v>27892668</v>
      </c>
      <c r="AH75" s="185"/>
      <c r="AI75" s="185">
        <v>7159733</v>
      </c>
      <c r="AJ75" s="185">
        <v>9432498</v>
      </c>
      <c r="AK75" s="185"/>
      <c r="AL75" s="185">
        <v>8833</v>
      </c>
      <c r="AM75" s="185"/>
      <c r="AN75" s="185"/>
      <c r="AO75" s="185"/>
      <c r="AP75" s="185">
        <v>1570519</v>
      </c>
      <c r="AQ75" s="185"/>
      <c r="AR75" s="185"/>
      <c r="AS75" s="185"/>
      <c r="AT75" s="185"/>
      <c r="AU75" s="185"/>
      <c r="AV75" s="185">
        <v>481314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124789958</v>
      </c>
      <c r="CF75" s="255"/>
    </row>
    <row r="76" spans="1:84" ht="12.6" customHeight="1" x14ac:dyDescent="0.2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17187260</v>
      </c>
      <c r="F76" s="195">
        <f t="shared" si="8"/>
        <v>4289612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13020484</v>
      </c>
      <c r="P76" s="195">
        <f t="shared" si="8"/>
        <v>35943534</v>
      </c>
      <c r="Q76" s="195">
        <f t="shared" si="8"/>
        <v>5672314</v>
      </c>
      <c r="R76" s="195">
        <f t="shared" si="8"/>
        <v>15268713</v>
      </c>
      <c r="S76" s="195">
        <f t="shared" si="8"/>
        <v>9607855</v>
      </c>
      <c r="T76" s="195">
        <f t="shared" si="8"/>
        <v>0</v>
      </c>
      <c r="U76" s="195">
        <f t="shared" si="8"/>
        <v>11972753</v>
      </c>
      <c r="V76" s="195">
        <f t="shared" si="8"/>
        <v>165728</v>
      </c>
      <c r="W76" s="195">
        <f t="shared" si="8"/>
        <v>2165379</v>
      </c>
      <c r="X76" s="195">
        <f t="shared" si="8"/>
        <v>14809448</v>
      </c>
      <c r="Y76" s="195">
        <f t="shared" si="8"/>
        <v>4517855</v>
      </c>
      <c r="Z76" s="195">
        <f t="shared" si="8"/>
        <v>0</v>
      </c>
      <c r="AA76" s="195">
        <f t="shared" si="8"/>
        <v>389206</v>
      </c>
      <c r="AB76" s="195">
        <f t="shared" si="8"/>
        <v>13830459</v>
      </c>
      <c r="AC76" s="195">
        <f t="shared" si="8"/>
        <v>2101832</v>
      </c>
      <c r="AD76" s="195">
        <f t="shared" si="8"/>
        <v>0</v>
      </c>
      <c r="AE76" s="195">
        <f t="shared" si="8"/>
        <v>1765969</v>
      </c>
      <c r="AF76" s="195">
        <f t="shared" si="8"/>
        <v>0</v>
      </c>
      <c r="AG76" s="195">
        <f t="shared" si="8"/>
        <v>32993253</v>
      </c>
      <c r="AH76" s="195">
        <f t="shared" si="8"/>
        <v>0</v>
      </c>
      <c r="AI76" s="195">
        <f t="shared" si="8"/>
        <v>7177604</v>
      </c>
      <c r="AJ76" s="195">
        <f t="shared" si="8"/>
        <v>9432498</v>
      </c>
      <c r="AK76" s="195">
        <f t="shared" si="8"/>
        <v>0</v>
      </c>
      <c r="AL76" s="195">
        <f t="shared" si="8"/>
        <v>21809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1570519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481314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204385398</v>
      </c>
      <c r="CF76" s="255"/>
    </row>
    <row r="77" spans="1:84" ht="12.6" customHeight="1" x14ac:dyDescent="0.25">
      <c r="A77" s="171" t="s">
        <v>248</v>
      </c>
      <c r="B77" s="175"/>
      <c r="C77" s="184"/>
      <c r="D77" s="184"/>
      <c r="E77" s="185">
        <v>20018</v>
      </c>
      <c r="F77" s="185">
        <v>12683</v>
      </c>
      <c r="G77" s="184"/>
      <c r="H77" s="184"/>
      <c r="I77" s="185"/>
      <c r="J77" s="185"/>
      <c r="K77" s="185"/>
      <c r="L77" s="185"/>
      <c r="M77" s="185"/>
      <c r="N77" s="185"/>
      <c r="O77" s="185"/>
      <c r="P77" s="185">
        <v>9825</v>
      </c>
      <c r="Q77" s="185">
        <v>1396</v>
      </c>
      <c r="R77" s="185">
        <v>186</v>
      </c>
      <c r="S77" s="185">
        <v>1359</v>
      </c>
      <c r="T77" s="185"/>
      <c r="U77" s="185">
        <v>3251</v>
      </c>
      <c r="V77" s="185"/>
      <c r="W77" s="185"/>
      <c r="X77" s="185"/>
      <c r="Y77" s="185">
        <v>6651</v>
      </c>
      <c r="Z77" s="185"/>
      <c r="AA77" s="185"/>
      <c r="AB77" s="185">
        <v>1651</v>
      </c>
      <c r="AC77" s="185">
        <v>829</v>
      </c>
      <c r="AD77" s="185"/>
      <c r="AE77" s="185">
        <v>2039</v>
      </c>
      <c r="AF77" s="185"/>
      <c r="AG77" s="185">
        <v>5472</v>
      </c>
      <c r="AH77" s="185"/>
      <c r="AI77" s="185">
        <v>3880</v>
      </c>
      <c r="AJ77" s="185">
        <v>67611</v>
      </c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>
        <v>7373</v>
      </c>
      <c r="AZ77" s="185"/>
      <c r="BA77" s="185">
        <v>657</v>
      </c>
      <c r="BB77" s="185">
        <v>585</v>
      </c>
      <c r="BC77" s="185"/>
      <c r="BD77" s="185">
        <v>4701</v>
      </c>
      <c r="BE77" s="185">
        <v>24505</v>
      </c>
      <c r="BF77" s="185">
        <v>3422</v>
      </c>
      <c r="BG77" s="185"/>
      <c r="BH77" s="185">
        <v>3554</v>
      </c>
      <c r="BI77" s="185"/>
      <c r="BJ77" s="185">
        <v>1454</v>
      </c>
      <c r="BK77" s="185">
        <v>1868</v>
      </c>
      <c r="BL77" s="185">
        <v>1327</v>
      </c>
      <c r="BM77" s="185"/>
      <c r="BN77" s="185">
        <v>28619</v>
      </c>
      <c r="BO77" s="185">
        <v>205</v>
      </c>
      <c r="BP77" s="185">
        <v>1168</v>
      </c>
      <c r="BQ77" s="185"/>
      <c r="BR77" s="185">
        <v>1637</v>
      </c>
      <c r="BS77" s="185">
        <v>893</v>
      </c>
      <c r="BT77" s="185"/>
      <c r="BU77" s="185"/>
      <c r="BV77" s="185">
        <v>1642</v>
      </c>
      <c r="BW77" s="185">
        <v>941</v>
      </c>
      <c r="BX77" s="185"/>
      <c r="BY77" s="185">
        <v>603</v>
      </c>
      <c r="BZ77" s="185"/>
      <c r="CA77" s="185">
        <v>7677</v>
      </c>
      <c r="CB77" s="185">
        <v>100</v>
      </c>
      <c r="CC77" s="185">
        <v>264</v>
      </c>
      <c r="CD77" s="252" t="s">
        <v>221</v>
      </c>
      <c r="CE77" s="195">
        <f t="shared" si="7"/>
        <v>230046</v>
      </c>
      <c r="CF77" s="195">
        <f>BE59-CE77</f>
        <v>0</v>
      </c>
    </row>
    <row r="78" spans="1:84" ht="12.6" customHeight="1" x14ac:dyDescent="0.25">
      <c r="A78" s="171" t="s">
        <v>249</v>
      </c>
      <c r="B78" s="175"/>
      <c r="C78" s="184"/>
      <c r="D78" s="184"/>
      <c r="E78" s="184">
        <v>20241</v>
      </c>
      <c r="F78" s="184">
        <v>6267</v>
      </c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>
        <v>440</v>
      </c>
      <c r="AH78" s="184"/>
      <c r="AI78" s="184">
        <v>550</v>
      </c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2" t="s">
        <v>221</v>
      </c>
      <c r="AY78" s="252" t="s">
        <v>221</v>
      </c>
      <c r="AZ78" s="184"/>
      <c r="BA78" s="184"/>
      <c r="BB78" s="184"/>
      <c r="BC78" s="184"/>
      <c r="BD78" s="252" t="s">
        <v>221</v>
      </c>
      <c r="BE78" s="252" t="s">
        <v>221</v>
      </c>
      <c r="BF78" s="184"/>
      <c r="BG78" s="252" t="s">
        <v>221</v>
      </c>
      <c r="BH78" s="184"/>
      <c r="BI78" s="184"/>
      <c r="BJ78" s="252" t="s">
        <v>221</v>
      </c>
      <c r="BK78" s="184"/>
      <c r="BL78" s="184"/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>SUM(C78:CD78)</f>
        <v>27498</v>
      </c>
      <c r="CF78" s="195">
        <f>AY59-CE78</f>
        <v>0</v>
      </c>
    </row>
    <row r="79" spans="1:84" ht="12.6" customHeight="1" x14ac:dyDescent="0.25">
      <c r="A79" s="171" t="s">
        <v>250</v>
      </c>
      <c r="B79" s="175"/>
      <c r="C79" s="184"/>
      <c r="D79" s="184"/>
      <c r="E79" s="184">
        <v>20018</v>
      </c>
      <c r="F79" s="184">
        <v>12683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9825</v>
      </c>
      <c r="Q79" s="184">
        <v>1396</v>
      </c>
      <c r="R79" s="184">
        <v>186</v>
      </c>
      <c r="S79" s="184">
        <v>1359</v>
      </c>
      <c r="T79" s="184"/>
      <c r="U79" s="184">
        <v>3251</v>
      </c>
      <c r="V79" s="184"/>
      <c r="W79" s="184"/>
      <c r="X79" s="184"/>
      <c r="Y79" s="184">
        <v>6651</v>
      </c>
      <c r="Z79" s="184"/>
      <c r="AA79" s="184"/>
      <c r="AB79" s="184">
        <v>1651</v>
      </c>
      <c r="AC79" s="184">
        <v>829</v>
      </c>
      <c r="AD79" s="184"/>
      <c r="AE79" s="184">
        <v>2039</v>
      </c>
      <c r="AF79" s="184"/>
      <c r="AG79" s="184">
        <v>5472</v>
      </c>
      <c r="AH79" s="184"/>
      <c r="AI79" s="184">
        <v>3880</v>
      </c>
      <c r="AJ79" s="184">
        <v>67611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 t="s">
        <v>221</v>
      </c>
      <c r="AY79" s="252" t="s">
        <v>221</v>
      </c>
      <c r="AZ79" s="252" t="s">
        <v>221</v>
      </c>
      <c r="BA79" s="185">
        <v>657</v>
      </c>
      <c r="BB79" s="185">
        <v>585</v>
      </c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5">
        <v>3554</v>
      </c>
      <c r="BI79" s="184"/>
      <c r="BJ79" s="252" t="s">
        <v>221</v>
      </c>
      <c r="BK79" s="185">
        <v>1868</v>
      </c>
      <c r="BL79" s="185">
        <v>1327</v>
      </c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5">
        <v>893</v>
      </c>
      <c r="BT79" s="185"/>
      <c r="BU79" s="185"/>
      <c r="BV79" s="185">
        <v>1642</v>
      </c>
      <c r="BW79" s="185">
        <v>941</v>
      </c>
      <c r="BX79" s="185"/>
      <c r="BY79" s="185">
        <v>603</v>
      </c>
      <c r="BZ79" s="185"/>
      <c r="CA79" s="185">
        <v>7677</v>
      </c>
      <c r="CB79" s="185">
        <v>100</v>
      </c>
      <c r="CC79" s="252" t="s">
        <v>221</v>
      </c>
      <c r="CD79" s="252" t="s">
        <v>221</v>
      </c>
      <c r="CE79" s="195">
        <f t="shared" si="7"/>
        <v>156698</v>
      </c>
      <c r="CF79" s="195"/>
    </row>
    <row r="80" spans="1:84" ht="12.6" customHeight="1" x14ac:dyDescent="0.25">
      <c r="A80" s="171" t="s">
        <v>251</v>
      </c>
      <c r="B80" s="175"/>
      <c r="C80" s="225"/>
      <c r="D80" s="225"/>
      <c r="E80" s="184">
        <v>84647</v>
      </c>
      <c r="F80" s="184">
        <v>62438</v>
      </c>
      <c r="G80" s="184"/>
      <c r="H80" s="184"/>
      <c r="I80" s="184"/>
      <c r="J80" s="184"/>
      <c r="K80" s="184"/>
      <c r="L80" s="184"/>
      <c r="M80" s="184"/>
      <c r="N80" s="184">
        <v>2848</v>
      </c>
      <c r="O80" s="184"/>
      <c r="P80" s="184">
        <v>24069</v>
      </c>
      <c r="Q80" s="184">
        <v>5529</v>
      </c>
      <c r="R80" s="184"/>
      <c r="S80" s="184">
        <v>1048</v>
      </c>
      <c r="T80" s="184"/>
      <c r="U80" s="184">
        <v>398</v>
      </c>
      <c r="V80" s="184"/>
      <c r="W80" s="184"/>
      <c r="X80" s="184">
        <v>9021</v>
      </c>
      <c r="Y80" s="184">
        <v>17450</v>
      </c>
      <c r="Z80" s="184"/>
      <c r="AA80" s="184">
        <v>579</v>
      </c>
      <c r="AB80" s="184"/>
      <c r="AC80" s="184"/>
      <c r="AD80" s="184"/>
      <c r="AE80" s="184">
        <v>427</v>
      </c>
      <c r="AF80" s="184"/>
      <c r="AG80" s="184">
        <v>85502</v>
      </c>
      <c r="AH80" s="184"/>
      <c r="AI80" s="184">
        <v>15000</v>
      </c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2" t="s">
        <v>221</v>
      </c>
      <c r="AY80" s="252" t="s">
        <v>221</v>
      </c>
      <c r="AZ80" s="252" t="s">
        <v>221</v>
      </c>
      <c r="BA80" s="252" t="s">
        <v>221</v>
      </c>
      <c r="BB80" s="184"/>
      <c r="BC80" s="184"/>
      <c r="BD80" s="252" t="s">
        <v>221</v>
      </c>
      <c r="BE80" s="252" t="s">
        <v>221</v>
      </c>
      <c r="BF80" s="252" t="s">
        <v>221</v>
      </c>
      <c r="BG80" s="252" t="s">
        <v>221</v>
      </c>
      <c r="BH80" s="184"/>
      <c r="BI80" s="184"/>
      <c r="BJ80" s="252" t="s">
        <v>221</v>
      </c>
      <c r="BK80" s="184"/>
      <c r="BL80" s="184"/>
      <c r="BM80" s="184"/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2" t="s">
        <v>221</v>
      </c>
      <c r="CD80" s="252" t="s">
        <v>221</v>
      </c>
      <c r="CE80" s="195">
        <f t="shared" si="7"/>
        <v>308956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187"/>
      <c r="D81" s="187"/>
      <c r="E81" s="187">
        <v>38.950000000000003</v>
      </c>
      <c r="F81" s="187">
        <v>23.250000000000004</v>
      </c>
      <c r="G81" s="187"/>
      <c r="H81" s="187"/>
      <c r="I81" s="187"/>
      <c r="J81" s="187"/>
      <c r="K81" s="187"/>
      <c r="L81" s="187"/>
      <c r="M81" s="187"/>
      <c r="N81" s="187"/>
      <c r="O81" s="187"/>
      <c r="P81" s="187">
        <v>4.68</v>
      </c>
      <c r="Q81" s="187">
        <v>2.4300000000000002</v>
      </c>
      <c r="R81" s="187">
        <v>7.28</v>
      </c>
      <c r="S81" s="187">
        <v>0</v>
      </c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>
        <v>21.25</v>
      </c>
      <c r="AH81" s="187"/>
      <c r="AI81" s="187">
        <v>6.42</v>
      </c>
      <c r="AJ81" s="187">
        <v>9.93</v>
      </c>
      <c r="AK81" s="187"/>
      <c r="AL81" s="187"/>
      <c r="AM81" s="187"/>
      <c r="AN81" s="187"/>
      <c r="AO81" s="187"/>
      <c r="AP81" s="187">
        <v>1.76</v>
      </c>
      <c r="AQ81" s="187"/>
      <c r="AR81" s="187"/>
      <c r="AS81" s="187"/>
      <c r="AT81" s="187"/>
      <c r="AU81" s="187"/>
      <c r="AV81" s="187">
        <v>0.02</v>
      </c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115.97</v>
      </c>
      <c r="CF81" s="258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279" t="s">
        <v>1282</v>
      </c>
      <c r="D83" s="259"/>
      <c r="E83" s="175"/>
    </row>
    <row r="84" spans="1:84" ht="12.6" customHeight="1" x14ac:dyDescent="0.25">
      <c r="A84" s="173" t="s">
        <v>255</v>
      </c>
      <c r="B84" s="172" t="s">
        <v>256</v>
      </c>
      <c r="C84" s="227" t="s">
        <v>1271</v>
      </c>
      <c r="D84" s="259"/>
      <c r="E84" s="175"/>
    </row>
    <row r="85" spans="1:84" ht="12.6" customHeight="1" x14ac:dyDescent="0.25">
      <c r="A85" s="173" t="s">
        <v>257</v>
      </c>
      <c r="B85" s="172" t="s">
        <v>256</v>
      </c>
      <c r="C85" s="230" t="s">
        <v>1272</v>
      </c>
      <c r="D85" s="205"/>
      <c r="E85" s="204"/>
    </row>
    <row r="86" spans="1:84" ht="12.6" customHeight="1" x14ac:dyDescent="0.25">
      <c r="A86" s="173" t="s">
        <v>1251</v>
      </c>
      <c r="B86" s="172"/>
      <c r="C86" s="274" t="s">
        <v>1273</v>
      </c>
      <c r="D86" s="205"/>
      <c r="E86" s="204"/>
    </row>
    <row r="87" spans="1:84" ht="12.6" customHeight="1" x14ac:dyDescent="0.25">
      <c r="A87" s="173" t="s">
        <v>1252</v>
      </c>
      <c r="B87" s="172" t="s">
        <v>256</v>
      </c>
      <c r="C87" s="231" t="s">
        <v>1283</v>
      </c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230" t="s">
        <v>1274</v>
      </c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230" t="s">
        <v>1275</v>
      </c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230" t="s">
        <v>1276</v>
      </c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230" t="s">
        <v>1277</v>
      </c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230" t="s">
        <v>1284</v>
      </c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226" t="s">
        <v>1278</v>
      </c>
      <c r="D93" s="259"/>
      <c r="E93" s="175"/>
    </row>
    <row r="94" spans="1:84" ht="12.6" customHeight="1" x14ac:dyDescent="0.25">
      <c r="A94" s="173" t="s">
        <v>264</v>
      </c>
      <c r="B94" s="172" t="s">
        <v>256</v>
      </c>
      <c r="C94" s="273"/>
      <c r="D94" s="259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60" t="s">
        <v>266</v>
      </c>
      <c r="B97" s="260"/>
      <c r="C97" s="260"/>
      <c r="D97" s="260"/>
      <c r="E97" s="260"/>
    </row>
    <row r="98" spans="1:5" ht="12.6" customHeight="1" x14ac:dyDescent="0.25">
      <c r="A98" s="173" t="s">
        <v>267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189"/>
      <c r="D100" s="175"/>
      <c r="E100" s="175"/>
    </row>
    <row r="101" spans="1:5" ht="12.6" customHeight="1" x14ac:dyDescent="0.25">
      <c r="A101" s="260" t="s">
        <v>269</v>
      </c>
      <c r="B101" s="260"/>
      <c r="C101" s="260"/>
      <c r="D101" s="260"/>
      <c r="E101" s="260"/>
    </row>
    <row r="102" spans="1:5" ht="12.6" customHeight="1" x14ac:dyDescent="0.25">
      <c r="A102" s="173" t="s">
        <v>270</v>
      </c>
      <c r="B102" s="172" t="s">
        <v>256</v>
      </c>
      <c r="C102" s="189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22"/>
      <c r="D103" s="175"/>
      <c r="E103" s="175"/>
    </row>
    <row r="104" spans="1:5" ht="12.6" customHeight="1" x14ac:dyDescent="0.25">
      <c r="A104" s="260" t="s">
        <v>271</v>
      </c>
      <c r="B104" s="260"/>
      <c r="C104" s="260"/>
      <c r="D104" s="260"/>
      <c r="E104" s="260"/>
    </row>
    <row r="105" spans="1:5" ht="12.6" customHeight="1" x14ac:dyDescent="0.25">
      <c r="A105" s="173" t="s">
        <v>272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/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189">
        <v>3053</v>
      </c>
      <c r="D112" s="174">
        <v>8927</v>
      </c>
      <c r="E112" s="175"/>
    </row>
    <row r="113" spans="1:5" ht="12.6" customHeight="1" x14ac:dyDescent="0.25">
      <c r="A113" s="173" t="s">
        <v>279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280</v>
      </c>
      <c r="B114" s="172" t="s">
        <v>256</v>
      </c>
      <c r="C114" s="189"/>
      <c r="D114" s="174"/>
      <c r="E114" s="175"/>
    </row>
    <row r="115" spans="1:5" ht="12.6" customHeight="1" x14ac:dyDescent="0.25">
      <c r="A115" s="173" t="s">
        <v>281</v>
      </c>
      <c r="B115" s="172" t="s">
        <v>256</v>
      </c>
      <c r="C115" s="189">
        <v>1027</v>
      </c>
      <c r="D115" s="174">
        <v>1764</v>
      </c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189">
        <v>12</v>
      </c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189">
        <v>11</v>
      </c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189">
        <v>23</v>
      </c>
      <c r="D124" s="175"/>
      <c r="E124" s="175"/>
    </row>
    <row r="125" spans="1:5" ht="12.6" customHeight="1" x14ac:dyDescent="0.25">
      <c r="A125" s="173" t="s">
        <v>289</v>
      </c>
      <c r="B125" s="172"/>
      <c r="C125" s="189"/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189"/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46</v>
      </c>
    </row>
    <row r="129" spans="1:6" ht="12.6" customHeight="1" x14ac:dyDescent="0.25">
      <c r="A129" s="173" t="s">
        <v>292</v>
      </c>
      <c r="B129" s="172" t="s">
        <v>256</v>
      </c>
      <c r="C129" s="189">
        <v>50</v>
      </c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189">
        <v>11</v>
      </c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1240</v>
      </c>
      <c r="B137" s="207"/>
      <c r="C137" s="207"/>
      <c r="D137" s="207"/>
      <c r="E137" s="207"/>
    </row>
    <row r="138" spans="1:6" ht="12.6" customHeight="1" x14ac:dyDescent="0.25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174">
        <v>907</v>
      </c>
      <c r="C139" s="189">
        <v>1019</v>
      </c>
      <c r="D139" s="174">
        <v>988</v>
      </c>
      <c r="E139" s="175">
        <f>SUM(B139:D139)</f>
        <v>2914</v>
      </c>
    </row>
    <row r="140" spans="1:6" ht="12.6" customHeight="1" x14ac:dyDescent="0.25">
      <c r="A140" s="173" t="s">
        <v>215</v>
      </c>
      <c r="B140" s="174">
        <v>4429</v>
      </c>
      <c r="C140" s="189">
        <v>2526</v>
      </c>
      <c r="D140" s="174">
        <v>1972</v>
      </c>
      <c r="E140" s="175">
        <f>SUM(B140:D140)</f>
        <v>8927</v>
      </c>
    </row>
    <row r="141" spans="1:6" ht="12.6" customHeight="1" x14ac:dyDescent="0.25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" customHeight="1" x14ac:dyDescent="0.25">
      <c r="A142" s="173" t="s">
        <v>245</v>
      </c>
      <c r="B142" s="174">
        <v>33924015</v>
      </c>
      <c r="C142" s="189">
        <v>27458542</v>
      </c>
      <c r="D142" s="174">
        <v>22289366</v>
      </c>
      <c r="E142" s="175">
        <f>SUM(B142:D142)</f>
        <v>83671923</v>
      </c>
      <c r="F142" s="199"/>
    </row>
    <row r="143" spans="1:6" ht="12.6" customHeight="1" x14ac:dyDescent="0.25">
      <c r="A143" s="173" t="s">
        <v>246</v>
      </c>
      <c r="B143" s="174">
        <v>32135194</v>
      </c>
      <c r="C143" s="189">
        <v>41564090.670000002</v>
      </c>
      <c r="D143" s="174">
        <v>48004825</v>
      </c>
      <c r="E143" s="175">
        <f>SUM(B143:D143)</f>
        <v>121704109.67</v>
      </c>
      <c r="F143" s="199"/>
    </row>
    <row r="144" spans="1:6" ht="12.6" customHeight="1" x14ac:dyDescent="0.25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" customHeight="1" x14ac:dyDescent="0.25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174"/>
      <c r="C158" s="174"/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60" t="s">
        <v>306</v>
      </c>
      <c r="B165" s="260"/>
      <c r="C165" s="260"/>
      <c r="D165" s="260"/>
      <c r="E165" s="260"/>
    </row>
    <row r="166" spans="1:5" ht="11.4" customHeight="1" x14ac:dyDescent="0.25">
      <c r="A166" s="173" t="s">
        <v>307</v>
      </c>
      <c r="B166" s="172" t="s">
        <v>256</v>
      </c>
      <c r="C166" s="189">
        <v>2416654</v>
      </c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189">
        <v>120912</v>
      </c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189">
        <v>404099</v>
      </c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189">
        <v>4341569</v>
      </c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189">
        <v>62875</v>
      </c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189">
        <v>2084685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63363</v>
      </c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189"/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9494157</v>
      </c>
      <c r="E174" s="175"/>
    </row>
    <row r="175" spans="1:5" ht="11.4" customHeight="1" x14ac:dyDescent="0.25">
      <c r="A175" s="260" t="s">
        <v>314</v>
      </c>
      <c r="B175" s="260"/>
      <c r="C175" s="260"/>
      <c r="D175" s="260"/>
      <c r="E175" s="260"/>
    </row>
    <row r="176" spans="1:5" ht="11.4" customHeight="1" x14ac:dyDescent="0.25">
      <c r="A176" s="173" t="s">
        <v>315</v>
      </c>
      <c r="B176" s="172" t="s">
        <v>256</v>
      </c>
      <c r="C176" s="189">
        <v>77807</v>
      </c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189">
        <v>907953</v>
      </c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985760</v>
      </c>
      <c r="E178" s="175"/>
    </row>
    <row r="179" spans="1:5" ht="11.4" customHeight="1" x14ac:dyDescent="0.25">
      <c r="A179" s="260" t="s">
        <v>317</v>
      </c>
      <c r="B179" s="260"/>
      <c r="C179" s="260"/>
      <c r="D179" s="260"/>
      <c r="E179" s="260"/>
    </row>
    <row r="180" spans="1:5" ht="11.4" customHeight="1" x14ac:dyDescent="0.25">
      <c r="A180" s="173" t="s">
        <v>318</v>
      </c>
      <c r="B180" s="172" t="s">
        <v>256</v>
      </c>
      <c r="C180" s="189">
        <v>534486</v>
      </c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189">
        <v>140119</v>
      </c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674605</v>
      </c>
      <c r="E182" s="175"/>
    </row>
    <row r="183" spans="1:5" ht="11.4" customHeight="1" x14ac:dyDescent="0.25">
      <c r="A183" s="260" t="s">
        <v>320</v>
      </c>
      <c r="B183" s="260"/>
      <c r="C183" s="260"/>
      <c r="D183" s="260"/>
      <c r="E183" s="260"/>
    </row>
    <row r="184" spans="1:5" ht="11.4" customHeight="1" x14ac:dyDescent="0.25">
      <c r="A184" s="173" t="s">
        <v>321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189"/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0</v>
      </c>
      <c r="E187" s="175"/>
    </row>
    <row r="188" spans="1:5" ht="11.4" customHeight="1" x14ac:dyDescent="0.25">
      <c r="A188" s="260" t="s">
        <v>323</v>
      </c>
      <c r="B188" s="260"/>
      <c r="C188" s="260"/>
      <c r="D188" s="260"/>
      <c r="E188" s="260"/>
    </row>
    <row r="189" spans="1:5" ht="11.4" customHeight="1" x14ac:dyDescent="0.25">
      <c r="A189" s="173" t="s">
        <v>324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189">
        <v>423314</v>
      </c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423314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174">
        <v>932777</v>
      </c>
      <c r="C196" s="189"/>
      <c r="D196" s="174"/>
      <c r="E196" s="175">
        <f t="shared" ref="E196:E204" si="9">SUM(B196:C196)-D196</f>
        <v>932777</v>
      </c>
    </row>
    <row r="197" spans="1:8" ht="12.6" customHeight="1" x14ac:dyDescent="0.25">
      <c r="A197" s="173" t="s">
        <v>333</v>
      </c>
      <c r="B197" s="174">
        <v>542357</v>
      </c>
      <c r="C197" s="189">
        <v>13488</v>
      </c>
      <c r="D197" s="174"/>
      <c r="E197" s="175">
        <f t="shared" si="9"/>
        <v>555845</v>
      </c>
    </row>
    <row r="198" spans="1:8" ht="12.6" customHeight="1" x14ac:dyDescent="0.25">
      <c r="A198" s="173" t="s">
        <v>334</v>
      </c>
      <c r="B198" s="174">
        <v>48310994</v>
      </c>
      <c r="C198" s="189">
        <v>1586102</v>
      </c>
      <c r="D198" s="174"/>
      <c r="E198" s="175">
        <f t="shared" si="9"/>
        <v>49897096</v>
      </c>
    </row>
    <row r="199" spans="1:8" ht="12.6" customHeight="1" x14ac:dyDescent="0.25">
      <c r="A199" s="173" t="s">
        <v>335</v>
      </c>
      <c r="B199" s="174">
        <v>3821672</v>
      </c>
      <c r="C199" s="189">
        <v>90184</v>
      </c>
      <c r="D199" s="174"/>
      <c r="E199" s="175">
        <f t="shared" si="9"/>
        <v>3911856</v>
      </c>
    </row>
    <row r="200" spans="1:8" ht="12.6" customHeight="1" x14ac:dyDescent="0.25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" customHeight="1" x14ac:dyDescent="0.25">
      <c r="A201" s="173" t="s">
        <v>337</v>
      </c>
      <c r="B201" s="174">
        <v>28040159</v>
      </c>
      <c r="C201" s="189">
        <v>1285093</v>
      </c>
      <c r="D201" s="174">
        <v>473675</v>
      </c>
      <c r="E201" s="175">
        <f t="shared" si="9"/>
        <v>28851577</v>
      </c>
    </row>
    <row r="202" spans="1:8" ht="12.6" customHeight="1" x14ac:dyDescent="0.25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" customHeight="1" x14ac:dyDescent="0.25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" customHeight="1" x14ac:dyDescent="0.25">
      <c r="A204" s="173" t="s">
        <v>340</v>
      </c>
      <c r="B204" s="174">
        <v>818109</v>
      </c>
      <c r="C204" s="189">
        <v>1047354</v>
      </c>
      <c r="D204" s="174"/>
      <c r="E204" s="175">
        <f t="shared" si="9"/>
        <v>1865463</v>
      </c>
    </row>
    <row r="205" spans="1:8" ht="12.6" customHeight="1" x14ac:dyDescent="0.25">
      <c r="A205" s="173" t="s">
        <v>203</v>
      </c>
      <c r="B205" s="175">
        <f>SUM(B196:B204)</f>
        <v>82466068</v>
      </c>
      <c r="C205" s="191">
        <f>SUM(C196:C204)</f>
        <v>4022221</v>
      </c>
      <c r="D205" s="175">
        <f>SUM(D196:D204)</f>
        <v>473675</v>
      </c>
      <c r="E205" s="175">
        <f>SUM(E196:E204)</f>
        <v>86014614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62"/>
    </row>
    <row r="210" spans="1:8" ht="12.6" customHeight="1" x14ac:dyDescent="0.25">
      <c r="A210" s="173" t="s">
        <v>333</v>
      </c>
      <c r="B210" s="174">
        <v>200236</v>
      </c>
      <c r="C210" s="189">
        <v>23746</v>
      </c>
      <c r="D210" s="174"/>
      <c r="E210" s="175">
        <f t="shared" ref="E210:E217" si="10">SUM(B210:C210)-D210</f>
        <v>223982</v>
      </c>
      <c r="H210" s="262"/>
    </row>
    <row r="211" spans="1:8" ht="12.6" customHeight="1" x14ac:dyDescent="0.25">
      <c r="A211" s="173" t="s">
        <v>334</v>
      </c>
      <c r="B211" s="174">
        <v>31942498</v>
      </c>
      <c r="C211" s="189">
        <v>909165</v>
      </c>
      <c r="D211" s="174"/>
      <c r="E211" s="175">
        <f t="shared" si="10"/>
        <v>32851663</v>
      </c>
      <c r="H211" s="262"/>
    </row>
    <row r="212" spans="1:8" ht="12.6" customHeight="1" x14ac:dyDescent="0.25">
      <c r="A212" s="173" t="s">
        <v>335</v>
      </c>
      <c r="B212" s="174">
        <v>1000995</v>
      </c>
      <c r="C212" s="189">
        <v>157710</v>
      </c>
      <c r="D212" s="174"/>
      <c r="E212" s="175">
        <f t="shared" si="10"/>
        <v>1158705</v>
      </c>
      <c r="H212" s="262"/>
    </row>
    <row r="213" spans="1:8" ht="12.6" customHeight="1" x14ac:dyDescent="0.25">
      <c r="A213" s="173" t="s">
        <v>336</v>
      </c>
      <c r="B213" s="174"/>
      <c r="C213" s="189"/>
      <c r="D213" s="174"/>
      <c r="E213" s="175">
        <f t="shared" si="10"/>
        <v>0</v>
      </c>
      <c r="H213" s="262"/>
    </row>
    <row r="214" spans="1:8" ht="12.6" customHeight="1" x14ac:dyDescent="0.25">
      <c r="A214" s="173" t="s">
        <v>337</v>
      </c>
      <c r="B214" s="174">
        <v>19655220</v>
      </c>
      <c r="C214" s="189">
        <v>1115689</v>
      </c>
      <c r="D214" s="174">
        <v>462495</v>
      </c>
      <c r="E214" s="175">
        <f t="shared" si="10"/>
        <v>20308414</v>
      </c>
      <c r="H214" s="262"/>
    </row>
    <row r="215" spans="1:8" ht="12.6" customHeight="1" x14ac:dyDescent="0.25">
      <c r="A215" s="173" t="s">
        <v>338</v>
      </c>
      <c r="B215" s="174"/>
      <c r="C215" s="189"/>
      <c r="D215" s="174"/>
      <c r="E215" s="175">
        <f t="shared" si="10"/>
        <v>0</v>
      </c>
      <c r="H215" s="262"/>
    </row>
    <row r="216" spans="1:8" ht="12.6" customHeight="1" x14ac:dyDescent="0.25">
      <c r="A216" s="173" t="s">
        <v>339</v>
      </c>
      <c r="B216" s="174"/>
      <c r="C216" s="189"/>
      <c r="D216" s="174"/>
      <c r="E216" s="175">
        <f t="shared" si="10"/>
        <v>0</v>
      </c>
      <c r="H216" s="262"/>
    </row>
    <row r="217" spans="1:8" ht="12.6" customHeight="1" x14ac:dyDescent="0.25">
      <c r="A217" s="173" t="s">
        <v>340</v>
      </c>
      <c r="B217" s="174"/>
      <c r="C217" s="189"/>
      <c r="D217" s="174"/>
      <c r="E217" s="175">
        <f t="shared" si="10"/>
        <v>0</v>
      </c>
      <c r="H217" s="262"/>
    </row>
    <row r="218" spans="1:8" ht="12.6" customHeight="1" x14ac:dyDescent="0.25">
      <c r="A218" s="173" t="s">
        <v>203</v>
      </c>
      <c r="B218" s="175">
        <f>SUM(B209:B217)</f>
        <v>52798949</v>
      </c>
      <c r="C218" s="191">
        <f>SUM(C209:C217)</f>
        <v>2206310</v>
      </c>
      <c r="D218" s="175">
        <f>SUM(D209:D217)</f>
        <v>462495</v>
      </c>
      <c r="E218" s="175">
        <f>SUM(E209:E217)</f>
        <v>54542764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08"/>
      <c r="B221" s="288" t="s">
        <v>1257</v>
      </c>
      <c r="C221" s="288"/>
      <c r="D221" s="208"/>
      <c r="E221" s="208"/>
    </row>
    <row r="222" spans="1:8" ht="12.6" customHeight="1" x14ac:dyDescent="0.25">
      <c r="A222" s="275" t="s">
        <v>1257</v>
      </c>
      <c r="B222" s="208"/>
      <c r="C222" s="189">
        <v>2881680</v>
      </c>
      <c r="D222" s="172">
        <f>C222</f>
        <v>2881680</v>
      </c>
      <c r="E222" s="208"/>
    </row>
    <row r="223" spans="1:8" ht="12.6" customHeight="1" x14ac:dyDescent="0.25">
      <c r="A223" s="260" t="s">
        <v>343</v>
      </c>
      <c r="B223" s="260"/>
      <c r="C223" s="260"/>
      <c r="D223" s="260"/>
      <c r="E223" s="260"/>
    </row>
    <row r="224" spans="1:8" ht="12.6" customHeight="1" x14ac:dyDescent="0.25">
      <c r="A224" s="173" t="s">
        <v>344</v>
      </c>
      <c r="B224" s="172" t="s">
        <v>256</v>
      </c>
      <c r="C224" s="189">
        <v>46713026</v>
      </c>
      <c r="D224" s="175"/>
      <c r="E224" s="175"/>
    </row>
    <row r="225" spans="1:5" ht="12.6" customHeight="1" x14ac:dyDescent="0.25">
      <c r="A225" s="173" t="s">
        <v>345</v>
      </c>
      <c r="B225" s="172" t="s">
        <v>256</v>
      </c>
      <c r="C225" s="189">
        <v>6999117</v>
      </c>
      <c r="D225" s="175"/>
      <c r="E225" s="175"/>
    </row>
    <row r="226" spans="1:5" ht="12.6" customHeight="1" x14ac:dyDescent="0.25">
      <c r="A226" s="173" t="s">
        <v>346</v>
      </c>
      <c r="B226" s="172" t="s">
        <v>256</v>
      </c>
      <c r="C226" s="189">
        <v>3074935</v>
      </c>
      <c r="D226" s="175"/>
      <c r="E226" s="175"/>
    </row>
    <row r="227" spans="1:5" ht="12.6" customHeight="1" x14ac:dyDescent="0.25">
      <c r="A227" s="173" t="s">
        <v>347</v>
      </c>
      <c r="B227" s="172" t="s">
        <v>256</v>
      </c>
      <c r="C227" s="189">
        <v>595102</v>
      </c>
      <c r="D227" s="175"/>
      <c r="E227" s="175"/>
    </row>
    <row r="228" spans="1:5" ht="12.6" customHeight="1" x14ac:dyDescent="0.25">
      <c r="A228" s="173" t="s">
        <v>348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349</v>
      </c>
      <c r="B229" s="172" t="s">
        <v>256</v>
      </c>
      <c r="C229" s="189">
        <v>252339</v>
      </c>
      <c r="D229" s="175"/>
      <c r="E229" s="175"/>
    </row>
    <row r="230" spans="1:5" ht="12.6" customHeight="1" x14ac:dyDescent="0.25">
      <c r="A230" s="173" t="s">
        <v>350</v>
      </c>
      <c r="B230" s="175"/>
      <c r="C230" s="191"/>
      <c r="D230" s="175">
        <f>SUM(C224:C229)</f>
        <v>57634519</v>
      </c>
      <c r="E230" s="175"/>
    </row>
    <row r="231" spans="1:5" ht="12.6" customHeight="1" x14ac:dyDescent="0.25">
      <c r="A231" s="260" t="s">
        <v>351</v>
      </c>
      <c r="B231" s="260"/>
      <c r="C231" s="260"/>
      <c r="D231" s="260"/>
      <c r="E231" s="260"/>
    </row>
    <row r="232" spans="1:5" ht="12.6" customHeight="1" x14ac:dyDescent="0.25">
      <c r="A232" s="171" t="s">
        <v>352</v>
      </c>
      <c r="B232" s="172" t="s">
        <v>256</v>
      </c>
      <c r="C232" s="189"/>
      <c r="D232" s="175"/>
      <c r="E232" s="175"/>
    </row>
    <row r="233" spans="1:5" ht="12.6" customHeight="1" x14ac:dyDescent="0.25">
      <c r="A233" s="171"/>
      <c r="B233" s="172"/>
      <c r="C233" s="191"/>
      <c r="D233" s="175"/>
      <c r="E233" s="175"/>
    </row>
    <row r="234" spans="1:5" ht="12.6" customHeight="1" x14ac:dyDescent="0.25">
      <c r="A234" s="171" t="s">
        <v>353</v>
      </c>
      <c r="B234" s="172" t="s">
        <v>256</v>
      </c>
      <c r="C234" s="189">
        <v>2636350</v>
      </c>
      <c r="D234" s="175"/>
      <c r="E234" s="175"/>
    </row>
    <row r="235" spans="1:5" ht="12.6" customHeight="1" x14ac:dyDescent="0.25">
      <c r="A235" s="171" t="s">
        <v>354</v>
      </c>
      <c r="B235" s="172" t="s">
        <v>256</v>
      </c>
      <c r="C235" s="189"/>
      <c r="D235" s="175"/>
      <c r="E235" s="175"/>
    </row>
    <row r="236" spans="1:5" ht="12.6" customHeight="1" x14ac:dyDescent="0.25">
      <c r="A236" s="173"/>
      <c r="B236" s="175"/>
      <c r="C236" s="191"/>
      <c r="D236" s="175"/>
      <c r="E236" s="175"/>
    </row>
    <row r="237" spans="1:5" ht="12.6" customHeight="1" x14ac:dyDescent="0.25">
      <c r="A237" s="171" t="s">
        <v>355</v>
      </c>
      <c r="B237" s="175"/>
      <c r="C237" s="191"/>
      <c r="D237" s="175">
        <f>SUM(C234:C236)</f>
        <v>2636350</v>
      </c>
      <c r="E237" s="175"/>
    </row>
    <row r="238" spans="1:5" ht="12.6" customHeight="1" x14ac:dyDescent="0.25">
      <c r="A238" s="260" t="s">
        <v>356</v>
      </c>
      <c r="B238" s="260"/>
      <c r="C238" s="260"/>
      <c r="D238" s="260"/>
      <c r="E238" s="260"/>
    </row>
    <row r="239" spans="1:5" ht="12.6" customHeight="1" x14ac:dyDescent="0.25">
      <c r="A239" s="173" t="s">
        <v>357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356</v>
      </c>
      <c r="B240" s="172" t="s">
        <v>256</v>
      </c>
      <c r="C240" s="189">
        <v>76546473</v>
      </c>
      <c r="D240" s="175"/>
      <c r="E240" s="175"/>
    </row>
    <row r="241" spans="1:5" ht="12.6" customHeight="1" x14ac:dyDescent="0.25">
      <c r="A241" s="173" t="s">
        <v>358</v>
      </c>
      <c r="B241" s="175"/>
      <c r="C241" s="191"/>
      <c r="D241" s="175">
        <f>SUM(C239:C240)</f>
        <v>76546473</v>
      </c>
      <c r="E241" s="175"/>
    </row>
    <row r="242" spans="1:5" ht="12.6" customHeight="1" x14ac:dyDescent="0.25">
      <c r="A242" s="173"/>
      <c r="B242" s="175"/>
      <c r="C242" s="191"/>
      <c r="D242" s="175"/>
      <c r="E242" s="175"/>
    </row>
    <row r="243" spans="1:5" ht="12.6" customHeight="1" x14ac:dyDescent="0.25">
      <c r="A243" s="173" t="s">
        <v>359</v>
      </c>
      <c r="B243" s="175"/>
      <c r="C243" s="191"/>
      <c r="D243" s="175">
        <f>D222+D230+D237+D241</f>
        <v>139699022</v>
      </c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12.6" customHeight="1" x14ac:dyDescent="0.25">
      <c r="A247" s="173"/>
      <c r="B247" s="173"/>
      <c r="C247" s="191"/>
      <c r="D247" s="175"/>
      <c r="E247" s="175"/>
    </row>
    <row r="248" spans="1:5" ht="21.75" customHeight="1" x14ac:dyDescent="0.25">
      <c r="A248" s="173"/>
      <c r="B248" s="173"/>
      <c r="C248" s="191"/>
      <c r="D248" s="175"/>
      <c r="E248" s="175"/>
    </row>
    <row r="249" spans="1:5" ht="12.45" customHeight="1" x14ac:dyDescent="0.25">
      <c r="A249" s="208" t="s">
        <v>360</v>
      </c>
      <c r="B249" s="208"/>
      <c r="C249" s="208"/>
      <c r="D249" s="208"/>
      <c r="E249" s="208"/>
    </row>
    <row r="250" spans="1:5" ht="11.25" customHeight="1" x14ac:dyDescent="0.25">
      <c r="A250" s="260" t="s">
        <v>361</v>
      </c>
      <c r="B250" s="260"/>
      <c r="C250" s="260"/>
      <c r="D250" s="260"/>
      <c r="E250" s="260"/>
    </row>
    <row r="251" spans="1:5" ht="12.45" customHeight="1" x14ac:dyDescent="0.25">
      <c r="A251" s="173" t="s">
        <v>362</v>
      </c>
      <c r="B251" s="172" t="s">
        <v>256</v>
      </c>
      <c r="C251" s="189">
        <v>12212390</v>
      </c>
      <c r="D251" s="175"/>
      <c r="E251" s="175"/>
    </row>
    <row r="252" spans="1:5" ht="12.45" customHeight="1" x14ac:dyDescent="0.25">
      <c r="A252" s="173" t="s">
        <v>363</v>
      </c>
      <c r="B252" s="172" t="s">
        <v>256</v>
      </c>
      <c r="C252" s="189"/>
      <c r="D252" s="175"/>
      <c r="E252" s="175"/>
    </row>
    <row r="253" spans="1:5" ht="12.45" customHeight="1" x14ac:dyDescent="0.25">
      <c r="A253" s="173" t="s">
        <v>364</v>
      </c>
      <c r="B253" s="172" t="s">
        <v>256</v>
      </c>
      <c r="C253" s="189">
        <v>36562231</v>
      </c>
      <c r="D253" s="175"/>
      <c r="E253" s="175"/>
    </row>
    <row r="254" spans="1:5" ht="12.45" customHeight="1" x14ac:dyDescent="0.25">
      <c r="A254" s="173" t="s">
        <v>365</v>
      </c>
      <c r="B254" s="172" t="s">
        <v>256</v>
      </c>
      <c r="C254" s="189">
        <v>22868933</v>
      </c>
      <c r="D254" s="175"/>
      <c r="E254" s="175"/>
    </row>
    <row r="255" spans="1:5" ht="12.45" customHeight="1" x14ac:dyDescent="0.25">
      <c r="A255" s="173" t="s">
        <v>1241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366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367</v>
      </c>
      <c r="B257" s="172" t="s">
        <v>256</v>
      </c>
      <c r="C257" s="189"/>
      <c r="D257" s="175"/>
      <c r="E257" s="175"/>
    </row>
    <row r="258" spans="1:5" ht="12.45" customHeight="1" x14ac:dyDescent="0.25">
      <c r="A258" s="173" t="s">
        <v>368</v>
      </c>
      <c r="B258" s="172" t="s">
        <v>256</v>
      </c>
      <c r="C258" s="189">
        <v>1786524</v>
      </c>
      <c r="D258" s="175"/>
      <c r="E258" s="175"/>
    </row>
    <row r="259" spans="1:5" ht="12.45" customHeight="1" x14ac:dyDescent="0.25">
      <c r="A259" s="173" t="s">
        <v>369</v>
      </c>
      <c r="B259" s="172" t="s">
        <v>256</v>
      </c>
      <c r="C259" s="189">
        <v>699645</v>
      </c>
      <c r="D259" s="175"/>
      <c r="E259" s="175"/>
    </row>
    <row r="260" spans="1:5" ht="12.45" customHeight="1" x14ac:dyDescent="0.25">
      <c r="A260" s="173" t="s">
        <v>370</v>
      </c>
      <c r="B260" s="172" t="s">
        <v>256</v>
      </c>
      <c r="C260" s="189"/>
      <c r="D260" s="175"/>
      <c r="E260" s="175"/>
    </row>
    <row r="261" spans="1:5" ht="12.45" customHeight="1" x14ac:dyDescent="0.25">
      <c r="A261" s="173" t="s">
        <v>371</v>
      </c>
      <c r="B261" s="175"/>
      <c r="C261" s="191"/>
      <c r="D261" s="175">
        <f>SUM(C251:C253)-C254+SUM(C255:C260)</f>
        <v>28391857</v>
      </c>
      <c r="E261" s="175"/>
    </row>
    <row r="262" spans="1:5" ht="11.25" customHeight="1" x14ac:dyDescent="0.25">
      <c r="A262" s="260" t="s">
        <v>372</v>
      </c>
      <c r="B262" s="260"/>
      <c r="C262" s="260"/>
      <c r="D262" s="260"/>
      <c r="E262" s="260"/>
    </row>
    <row r="263" spans="1:5" ht="12.45" customHeight="1" x14ac:dyDescent="0.25">
      <c r="A263" s="173" t="s">
        <v>362</v>
      </c>
      <c r="B263" s="172" t="s">
        <v>256</v>
      </c>
      <c r="C263" s="189">
        <v>34236139</v>
      </c>
      <c r="D263" s="175"/>
      <c r="E263" s="175"/>
    </row>
    <row r="264" spans="1:5" ht="12.45" customHeight="1" x14ac:dyDescent="0.25">
      <c r="A264" s="173" t="s">
        <v>363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373</v>
      </c>
      <c r="B265" s="172" t="s">
        <v>256</v>
      </c>
      <c r="C265" s="189">
        <v>257829</v>
      </c>
      <c r="D265" s="175"/>
      <c r="E265" s="175"/>
    </row>
    <row r="266" spans="1:5" ht="12.45" customHeight="1" x14ac:dyDescent="0.25">
      <c r="A266" s="173" t="s">
        <v>374</v>
      </c>
      <c r="B266" s="175"/>
      <c r="C266" s="191"/>
      <c r="D266" s="175">
        <f>SUM(C263:C265)</f>
        <v>34493968</v>
      </c>
      <c r="E266" s="175"/>
    </row>
    <row r="267" spans="1:5" ht="11.25" customHeight="1" x14ac:dyDescent="0.25">
      <c r="A267" s="260" t="s">
        <v>375</v>
      </c>
      <c r="B267" s="260"/>
      <c r="C267" s="260"/>
      <c r="D267" s="260"/>
      <c r="E267" s="260"/>
    </row>
    <row r="268" spans="1:5" ht="12.45" customHeight="1" x14ac:dyDescent="0.25">
      <c r="A268" s="173" t="s">
        <v>332</v>
      </c>
      <c r="B268" s="172" t="s">
        <v>256</v>
      </c>
      <c r="C268" s="189">
        <v>932777</v>
      </c>
      <c r="D268" s="175"/>
      <c r="E268" s="175"/>
    </row>
    <row r="269" spans="1:5" ht="12.45" customHeight="1" x14ac:dyDescent="0.25">
      <c r="A269" s="173" t="s">
        <v>333</v>
      </c>
      <c r="B269" s="172" t="s">
        <v>256</v>
      </c>
      <c r="C269" s="189">
        <v>555844</v>
      </c>
      <c r="D269" s="175"/>
      <c r="E269" s="175"/>
    </row>
    <row r="270" spans="1:5" ht="12.45" customHeight="1" x14ac:dyDescent="0.25">
      <c r="A270" s="173" t="s">
        <v>334</v>
      </c>
      <c r="B270" s="172" t="s">
        <v>256</v>
      </c>
      <c r="C270" s="189">
        <v>49806913</v>
      </c>
      <c r="D270" s="175"/>
      <c r="E270" s="175"/>
    </row>
    <row r="271" spans="1:5" ht="12.45" customHeight="1" x14ac:dyDescent="0.25">
      <c r="A271" s="173" t="s">
        <v>376</v>
      </c>
      <c r="B271" s="172" t="s">
        <v>256</v>
      </c>
      <c r="C271" s="189">
        <v>3911856</v>
      </c>
      <c r="D271" s="175"/>
      <c r="E271" s="175"/>
    </row>
    <row r="272" spans="1:5" ht="12.45" customHeight="1" x14ac:dyDescent="0.25">
      <c r="A272" s="173" t="s">
        <v>377</v>
      </c>
      <c r="B272" s="172" t="s">
        <v>256</v>
      </c>
      <c r="C272" s="189"/>
      <c r="D272" s="175"/>
      <c r="E272" s="175"/>
    </row>
    <row r="273" spans="1:5" ht="12.45" customHeight="1" x14ac:dyDescent="0.25">
      <c r="A273" s="173" t="s">
        <v>378</v>
      </c>
      <c r="B273" s="172" t="s">
        <v>256</v>
      </c>
      <c r="C273" s="189">
        <v>30228148</v>
      </c>
      <c r="D273" s="175"/>
      <c r="E273" s="175"/>
    </row>
    <row r="274" spans="1:5" ht="12.45" customHeight="1" x14ac:dyDescent="0.25">
      <c r="A274" s="173" t="s">
        <v>339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340</v>
      </c>
      <c r="B275" s="172" t="s">
        <v>256</v>
      </c>
      <c r="C275" s="189">
        <v>954572</v>
      </c>
      <c r="D275" s="175"/>
      <c r="E275" s="175"/>
    </row>
    <row r="276" spans="1:5" ht="12.45" customHeight="1" x14ac:dyDescent="0.25">
      <c r="A276" s="173" t="s">
        <v>379</v>
      </c>
      <c r="B276" s="175"/>
      <c r="C276" s="191"/>
      <c r="D276" s="175">
        <f>SUM(C268:C275)</f>
        <v>86390110</v>
      </c>
      <c r="E276" s="175"/>
    </row>
    <row r="277" spans="1:5" ht="12.6" customHeight="1" x14ac:dyDescent="0.25">
      <c r="A277" s="173" t="s">
        <v>380</v>
      </c>
      <c r="B277" s="172" t="s">
        <v>256</v>
      </c>
      <c r="C277" s="189">
        <v>56724829</v>
      </c>
      <c r="D277" s="175"/>
      <c r="E277" s="175"/>
    </row>
    <row r="278" spans="1:5" ht="12.6" customHeight="1" x14ac:dyDescent="0.25">
      <c r="A278" s="173" t="s">
        <v>381</v>
      </c>
      <c r="B278" s="175"/>
      <c r="C278" s="191"/>
      <c r="D278" s="175">
        <f>D276-C277</f>
        <v>29665281</v>
      </c>
      <c r="E278" s="175"/>
    </row>
    <row r="279" spans="1:5" ht="12.6" customHeight="1" x14ac:dyDescent="0.25">
      <c r="A279" s="260" t="s">
        <v>382</v>
      </c>
      <c r="B279" s="260"/>
      <c r="C279" s="260"/>
      <c r="D279" s="260"/>
      <c r="E279" s="260"/>
    </row>
    <row r="280" spans="1:5" ht="12.6" customHeight="1" x14ac:dyDescent="0.25">
      <c r="A280" s="173" t="s">
        <v>383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384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385</v>
      </c>
      <c r="B282" s="172" t="s">
        <v>256</v>
      </c>
      <c r="C282" s="189">
        <v>182676</v>
      </c>
      <c r="D282" s="175"/>
      <c r="E282" s="175"/>
    </row>
    <row r="283" spans="1:5" ht="12.6" customHeight="1" x14ac:dyDescent="0.25">
      <c r="A283" s="173" t="s">
        <v>373</v>
      </c>
      <c r="B283" s="172" t="s">
        <v>256</v>
      </c>
      <c r="C283" s="189"/>
      <c r="D283" s="175"/>
      <c r="E283" s="175"/>
    </row>
    <row r="284" spans="1:5" ht="12.6" customHeight="1" x14ac:dyDescent="0.25">
      <c r="A284" s="173" t="s">
        <v>386</v>
      </c>
      <c r="B284" s="175"/>
      <c r="C284" s="191"/>
      <c r="D284" s="175">
        <f>C280-C281+C282+C283</f>
        <v>182676</v>
      </c>
      <c r="E284" s="175"/>
    </row>
    <row r="285" spans="1:5" ht="12.6" customHeight="1" x14ac:dyDescent="0.25">
      <c r="A285" s="173"/>
      <c r="B285" s="175"/>
      <c r="C285" s="191"/>
      <c r="D285" s="175"/>
      <c r="E285" s="175"/>
    </row>
    <row r="286" spans="1:5" ht="12.6" customHeight="1" x14ac:dyDescent="0.25">
      <c r="A286" s="260" t="s">
        <v>387</v>
      </c>
      <c r="B286" s="260"/>
      <c r="C286" s="260"/>
      <c r="D286" s="260"/>
      <c r="E286" s="260"/>
    </row>
    <row r="287" spans="1:5" ht="12.6" customHeight="1" x14ac:dyDescent="0.25">
      <c r="A287" s="173" t="s">
        <v>388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389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390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391</v>
      </c>
      <c r="B290" s="172" t="s">
        <v>256</v>
      </c>
      <c r="C290" s="189"/>
      <c r="D290" s="175"/>
      <c r="E290" s="175"/>
    </row>
    <row r="291" spans="1:5" ht="12.6" customHeight="1" x14ac:dyDescent="0.25">
      <c r="A291" s="173" t="s">
        <v>392</v>
      </c>
      <c r="B291" s="175"/>
      <c r="C291" s="191"/>
      <c r="D291" s="175">
        <f>SUM(C287:C290)</f>
        <v>0</v>
      </c>
      <c r="E291" s="175"/>
    </row>
    <row r="292" spans="1:5" ht="12.6" customHeight="1" x14ac:dyDescent="0.25">
      <c r="A292" s="173"/>
      <c r="B292" s="175"/>
      <c r="C292" s="191"/>
      <c r="D292" s="175"/>
      <c r="E292" s="175"/>
    </row>
    <row r="293" spans="1:5" ht="12.6" customHeight="1" x14ac:dyDescent="0.25">
      <c r="A293" s="173" t="s">
        <v>393</v>
      </c>
      <c r="B293" s="175"/>
      <c r="C293" s="191"/>
      <c r="D293" s="175">
        <f>D261+D266+D278+D284+D291</f>
        <v>92733782</v>
      </c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173"/>
      <c r="B301" s="173"/>
      <c r="C301" s="191"/>
      <c r="D301" s="175"/>
      <c r="E301" s="175"/>
    </row>
    <row r="302" spans="1:5" ht="20.25" customHeight="1" x14ac:dyDescent="0.25">
      <c r="A302" s="173"/>
      <c r="B302" s="173"/>
      <c r="C302" s="191"/>
      <c r="D302" s="175"/>
      <c r="E302" s="175"/>
    </row>
    <row r="303" spans="1:5" ht="12.6" customHeight="1" x14ac:dyDescent="0.25">
      <c r="A303" s="208" t="s">
        <v>394</v>
      </c>
      <c r="B303" s="208"/>
      <c r="C303" s="208"/>
      <c r="D303" s="208"/>
      <c r="E303" s="208"/>
    </row>
    <row r="304" spans="1:5" ht="14.25" customHeight="1" x14ac:dyDescent="0.25">
      <c r="A304" s="260" t="s">
        <v>395</v>
      </c>
      <c r="B304" s="260"/>
      <c r="C304" s="260"/>
      <c r="D304" s="260"/>
      <c r="E304" s="260"/>
    </row>
    <row r="305" spans="1:5" ht="12.6" customHeight="1" x14ac:dyDescent="0.25">
      <c r="A305" s="173" t="s">
        <v>396</v>
      </c>
      <c r="B305" s="172" t="s">
        <v>256</v>
      </c>
      <c r="C305" s="189"/>
      <c r="D305" s="175"/>
      <c r="E305" s="175"/>
    </row>
    <row r="306" spans="1:5" ht="12.6" customHeight="1" x14ac:dyDescent="0.25">
      <c r="A306" s="173" t="s">
        <v>397</v>
      </c>
      <c r="B306" s="172" t="s">
        <v>256</v>
      </c>
      <c r="C306" s="189">
        <v>3113048</v>
      </c>
      <c r="D306" s="175"/>
      <c r="E306" s="175"/>
    </row>
    <row r="307" spans="1:5" ht="12.6" customHeight="1" x14ac:dyDescent="0.25">
      <c r="A307" s="173" t="s">
        <v>398</v>
      </c>
      <c r="B307" s="172" t="s">
        <v>256</v>
      </c>
      <c r="C307" s="189">
        <v>3919647</v>
      </c>
      <c r="D307" s="175"/>
      <c r="E307" s="175"/>
    </row>
    <row r="308" spans="1:5" ht="12.6" customHeight="1" x14ac:dyDescent="0.25">
      <c r="A308" s="173" t="s">
        <v>399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400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1242</v>
      </c>
      <c r="B310" s="172" t="s">
        <v>256</v>
      </c>
      <c r="C310" s="189">
        <v>6756437</v>
      </c>
      <c r="D310" s="175"/>
      <c r="E310" s="175"/>
    </row>
    <row r="311" spans="1:5" ht="12.6" customHeight="1" x14ac:dyDescent="0.25">
      <c r="A311" s="173" t="s">
        <v>401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402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403</v>
      </c>
      <c r="B313" s="172" t="s">
        <v>256</v>
      </c>
      <c r="C313" s="189">
        <v>90341</v>
      </c>
      <c r="D313" s="175"/>
      <c r="E313" s="175"/>
    </row>
    <row r="314" spans="1:5" ht="12.6" customHeight="1" x14ac:dyDescent="0.25">
      <c r="A314" s="173" t="s">
        <v>404</v>
      </c>
      <c r="B314" s="172" t="s">
        <v>256</v>
      </c>
      <c r="C314" s="189"/>
      <c r="D314" s="175"/>
      <c r="E314" s="175"/>
    </row>
    <row r="315" spans="1:5" ht="12.6" customHeight="1" x14ac:dyDescent="0.25">
      <c r="A315" s="173" t="s">
        <v>405</v>
      </c>
      <c r="B315" s="175"/>
      <c r="C315" s="191"/>
      <c r="D315" s="175">
        <f>SUM(C305:C314)</f>
        <v>13879473</v>
      </c>
      <c r="E315" s="175"/>
    </row>
    <row r="316" spans="1:5" ht="12.6" customHeight="1" x14ac:dyDescent="0.25">
      <c r="A316" s="260" t="s">
        <v>406</v>
      </c>
      <c r="B316" s="260"/>
      <c r="C316" s="260"/>
      <c r="D316" s="260"/>
      <c r="E316" s="260"/>
    </row>
    <row r="317" spans="1:5" ht="12.6" customHeight="1" x14ac:dyDescent="0.25">
      <c r="A317" s="173" t="s">
        <v>407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408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409</v>
      </c>
      <c r="B319" s="172" t="s">
        <v>256</v>
      </c>
      <c r="C319" s="189">
        <v>-200</v>
      </c>
      <c r="D319" s="175"/>
      <c r="E319" s="175"/>
    </row>
    <row r="320" spans="1:5" ht="12.6" customHeight="1" x14ac:dyDescent="0.25">
      <c r="A320" s="173" t="s">
        <v>410</v>
      </c>
      <c r="B320" s="175"/>
      <c r="C320" s="191"/>
      <c r="D320" s="175">
        <f>SUM(C317:C319)</f>
        <v>-200</v>
      </c>
      <c r="E320" s="175"/>
    </row>
    <row r="321" spans="1:5" ht="12.6" customHeight="1" x14ac:dyDescent="0.25">
      <c r="A321" s="260" t="s">
        <v>411</v>
      </c>
      <c r="B321" s="260"/>
      <c r="C321" s="260"/>
      <c r="D321" s="260"/>
      <c r="E321" s="260"/>
    </row>
    <row r="322" spans="1:5" ht="12.6" customHeight="1" x14ac:dyDescent="0.25">
      <c r="A322" s="173" t="s">
        <v>412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413</v>
      </c>
      <c r="B323" s="172" t="s">
        <v>256</v>
      </c>
      <c r="C323" s="189"/>
      <c r="D323" s="175"/>
      <c r="E323" s="175"/>
    </row>
    <row r="324" spans="1:5" ht="12.6" customHeight="1" x14ac:dyDescent="0.25">
      <c r="A324" s="173" t="s">
        <v>414</v>
      </c>
      <c r="B324" s="172" t="s">
        <v>256</v>
      </c>
      <c r="C324" s="189"/>
      <c r="D324" s="175"/>
      <c r="E324" s="175"/>
    </row>
    <row r="325" spans="1:5" ht="12.6" customHeight="1" x14ac:dyDescent="0.25">
      <c r="A325" s="171" t="s">
        <v>415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3" t="s">
        <v>416</v>
      </c>
      <c r="B326" s="172" t="s">
        <v>256</v>
      </c>
      <c r="C326" s="189">
        <v>8372612</v>
      </c>
      <c r="D326" s="175"/>
      <c r="E326" s="175"/>
    </row>
    <row r="327" spans="1:5" ht="12.6" customHeight="1" x14ac:dyDescent="0.25">
      <c r="A327" s="171" t="s">
        <v>417</v>
      </c>
      <c r="B327" s="172" t="s">
        <v>256</v>
      </c>
      <c r="C327" s="189"/>
      <c r="D327" s="175"/>
      <c r="E327" s="175"/>
    </row>
    <row r="328" spans="1:5" ht="12.6" customHeight="1" x14ac:dyDescent="0.25">
      <c r="A328" s="173" t="s">
        <v>418</v>
      </c>
      <c r="B328" s="172" t="s">
        <v>256</v>
      </c>
      <c r="C328" s="189">
        <v>576000</v>
      </c>
      <c r="D328" s="175"/>
      <c r="E328" s="175"/>
    </row>
    <row r="329" spans="1:5" ht="19.5" customHeight="1" x14ac:dyDescent="0.25">
      <c r="A329" s="173" t="s">
        <v>203</v>
      </c>
      <c r="B329" s="175"/>
      <c r="C329" s="191"/>
      <c r="D329" s="175">
        <f>SUM(C322:C328)</f>
        <v>8948612</v>
      </c>
      <c r="E329" s="175"/>
    </row>
    <row r="330" spans="1:5" ht="12.6" customHeight="1" x14ac:dyDescent="0.25">
      <c r="A330" s="173" t="s">
        <v>419</v>
      </c>
      <c r="B330" s="175"/>
      <c r="C330" s="191"/>
      <c r="D330" s="175">
        <f>C314</f>
        <v>0</v>
      </c>
      <c r="E330" s="175"/>
    </row>
    <row r="331" spans="1:5" ht="12.6" customHeight="1" x14ac:dyDescent="0.25">
      <c r="A331" s="173" t="s">
        <v>420</v>
      </c>
      <c r="B331" s="175"/>
      <c r="C331" s="191"/>
      <c r="D331" s="175">
        <f>D329-D330</f>
        <v>8948612</v>
      </c>
      <c r="E331" s="175"/>
    </row>
    <row r="332" spans="1:5" ht="12.6" customHeight="1" x14ac:dyDescent="0.25">
      <c r="A332" s="173"/>
      <c r="B332" s="175"/>
      <c r="C332" s="191"/>
      <c r="D332" s="175"/>
      <c r="E332" s="175"/>
    </row>
    <row r="333" spans="1:5" ht="12.6" customHeight="1" x14ac:dyDescent="0.25">
      <c r="A333" s="173" t="s">
        <v>421</v>
      </c>
      <c r="B333" s="172" t="s">
        <v>256</v>
      </c>
      <c r="C333" s="222">
        <v>69905897</v>
      </c>
      <c r="D333" s="175"/>
      <c r="E333" s="175"/>
    </row>
    <row r="334" spans="1:5" ht="12.6" customHeight="1" x14ac:dyDescent="0.25">
      <c r="A334" s="173"/>
      <c r="B334" s="172"/>
      <c r="C334" s="232"/>
      <c r="D334" s="175"/>
      <c r="E334" s="175"/>
    </row>
    <row r="335" spans="1:5" ht="12.6" customHeight="1" x14ac:dyDescent="0.25">
      <c r="A335" s="173" t="s">
        <v>1142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1143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423</v>
      </c>
      <c r="B337" s="172" t="s">
        <v>256</v>
      </c>
      <c r="C337" s="222"/>
      <c r="D337" s="175"/>
      <c r="E337" s="175"/>
    </row>
    <row r="338" spans="1:5" ht="12.6" customHeight="1" x14ac:dyDescent="0.25">
      <c r="A338" s="173" t="s">
        <v>422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1253</v>
      </c>
      <c r="B339" s="172" t="s">
        <v>256</v>
      </c>
      <c r="C339" s="189"/>
      <c r="D339" s="175"/>
      <c r="E339" s="175"/>
    </row>
    <row r="340" spans="1:5" ht="12.6" customHeight="1" x14ac:dyDescent="0.25">
      <c r="A340" s="173" t="s">
        <v>424</v>
      </c>
      <c r="B340" s="175"/>
      <c r="C340" s="191"/>
      <c r="D340" s="175">
        <f>D315+D320+D331+C333+C337+C338</f>
        <v>92733782</v>
      </c>
      <c r="E340" s="175"/>
    </row>
    <row r="341" spans="1:5" ht="12.6" customHeight="1" x14ac:dyDescent="0.25">
      <c r="A341" s="173"/>
      <c r="B341" s="175"/>
      <c r="C341" s="191"/>
      <c r="D341" s="175"/>
      <c r="E341" s="175"/>
    </row>
    <row r="342" spans="1:5" ht="12.6" customHeight="1" x14ac:dyDescent="0.25">
      <c r="A342" s="173" t="s">
        <v>425</v>
      </c>
      <c r="B342" s="175"/>
      <c r="C342" s="191"/>
      <c r="D342" s="175">
        <f>D293</f>
        <v>92733782</v>
      </c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173"/>
      <c r="B356" s="173"/>
      <c r="C356" s="191"/>
      <c r="D356" s="175"/>
      <c r="E356" s="175"/>
    </row>
    <row r="357" spans="1:5" ht="20.25" customHeight="1" x14ac:dyDescent="0.25">
      <c r="A357" s="173"/>
      <c r="B357" s="173"/>
      <c r="C357" s="191"/>
      <c r="D357" s="175"/>
      <c r="E357" s="175"/>
    </row>
    <row r="358" spans="1:5" ht="12.6" customHeight="1" x14ac:dyDescent="0.25">
      <c r="A358" s="208" t="s">
        <v>426</v>
      </c>
      <c r="B358" s="208"/>
      <c r="C358" s="208"/>
      <c r="D358" s="208"/>
      <c r="E358" s="208"/>
    </row>
    <row r="359" spans="1:5" ht="12.6" customHeight="1" x14ac:dyDescent="0.25">
      <c r="A359" s="260" t="s">
        <v>427</v>
      </c>
      <c r="B359" s="260"/>
      <c r="C359" s="260"/>
      <c r="D359" s="260"/>
      <c r="E359" s="260"/>
    </row>
    <row r="360" spans="1:5" ht="12.6" customHeight="1" x14ac:dyDescent="0.25">
      <c r="A360" s="173" t="s">
        <v>428</v>
      </c>
      <c r="B360" s="172" t="s">
        <v>256</v>
      </c>
      <c r="C360" s="189">
        <v>83671231</v>
      </c>
      <c r="D360" s="175"/>
      <c r="E360" s="175"/>
    </row>
    <row r="361" spans="1:5" ht="12.6" customHeight="1" x14ac:dyDescent="0.25">
      <c r="A361" s="173" t="s">
        <v>429</v>
      </c>
      <c r="B361" s="172" t="s">
        <v>256</v>
      </c>
      <c r="C361" s="189">
        <v>132707725</v>
      </c>
      <c r="D361" s="175"/>
      <c r="E361" s="175"/>
    </row>
    <row r="362" spans="1:5" ht="12.6" customHeight="1" x14ac:dyDescent="0.25">
      <c r="A362" s="173" t="s">
        <v>430</v>
      </c>
      <c r="B362" s="175"/>
      <c r="C362" s="191"/>
      <c r="D362" s="175">
        <f>SUM(C360:C361)</f>
        <v>216378956</v>
      </c>
      <c r="E362" s="175"/>
    </row>
    <row r="363" spans="1:5" ht="12.6" customHeight="1" x14ac:dyDescent="0.25">
      <c r="A363" s="260" t="s">
        <v>431</v>
      </c>
      <c r="B363" s="260"/>
      <c r="C363" s="260"/>
      <c r="D363" s="260"/>
      <c r="E363" s="260"/>
    </row>
    <row r="364" spans="1:5" ht="12.6" customHeight="1" x14ac:dyDescent="0.25">
      <c r="A364" s="173" t="s">
        <v>1257</v>
      </c>
      <c r="B364" s="260"/>
      <c r="C364" s="189">
        <v>2881680</v>
      </c>
      <c r="D364" s="260"/>
      <c r="E364" s="260"/>
    </row>
    <row r="365" spans="1:5" ht="12.6" customHeight="1" x14ac:dyDescent="0.25">
      <c r="A365" s="173" t="s">
        <v>432</v>
      </c>
      <c r="B365" s="172" t="s">
        <v>256</v>
      </c>
      <c r="C365" s="189">
        <v>57634519</v>
      </c>
      <c r="D365" s="175"/>
      <c r="E365" s="175"/>
    </row>
    <row r="366" spans="1:5" ht="12.6" customHeight="1" x14ac:dyDescent="0.25">
      <c r="A366" s="173" t="s">
        <v>433</v>
      </c>
      <c r="B366" s="172" t="s">
        <v>256</v>
      </c>
      <c r="C366" s="189">
        <v>2636350</v>
      </c>
      <c r="D366" s="175"/>
      <c r="E366" s="175"/>
    </row>
    <row r="367" spans="1:5" ht="12.6" customHeight="1" x14ac:dyDescent="0.25">
      <c r="A367" s="173" t="s">
        <v>434</v>
      </c>
      <c r="B367" s="172" t="s">
        <v>256</v>
      </c>
      <c r="C367" s="189">
        <v>76546473</v>
      </c>
      <c r="D367" s="175"/>
      <c r="E367" s="175"/>
    </row>
    <row r="368" spans="1:5" ht="12.6" customHeight="1" x14ac:dyDescent="0.25">
      <c r="A368" s="173" t="s">
        <v>359</v>
      </c>
      <c r="B368" s="175"/>
      <c r="C368" s="191"/>
      <c r="D368" s="175">
        <f>SUM(C364:C367)</f>
        <v>139699022</v>
      </c>
      <c r="E368" s="175"/>
    </row>
    <row r="369" spans="1:5" ht="12.6" customHeight="1" x14ac:dyDescent="0.25">
      <c r="A369" s="173" t="s">
        <v>435</v>
      </c>
      <c r="B369" s="175"/>
      <c r="C369" s="191"/>
      <c r="D369" s="175">
        <f>D362-D368</f>
        <v>76679934</v>
      </c>
      <c r="E369" s="175"/>
    </row>
    <row r="370" spans="1:5" ht="12.6" customHeight="1" x14ac:dyDescent="0.25">
      <c r="A370" s="260" t="s">
        <v>436</v>
      </c>
      <c r="B370" s="260"/>
      <c r="C370" s="260"/>
      <c r="D370" s="260"/>
      <c r="E370" s="260"/>
    </row>
    <row r="371" spans="1:5" ht="12.6" customHeight="1" x14ac:dyDescent="0.25">
      <c r="A371" s="173" t="s">
        <v>437</v>
      </c>
      <c r="B371" s="172" t="s">
        <v>256</v>
      </c>
      <c r="C371" s="189">
        <v>2555384</v>
      </c>
      <c r="D371" s="175"/>
      <c r="E371" s="175"/>
    </row>
    <row r="372" spans="1:5" ht="12.6" customHeight="1" x14ac:dyDescent="0.25">
      <c r="A372" s="173" t="s">
        <v>438</v>
      </c>
      <c r="B372" s="172" t="s">
        <v>256</v>
      </c>
      <c r="C372" s="189"/>
      <c r="D372" s="175"/>
      <c r="E372" s="175"/>
    </row>
    <row r="373" spans="1:5" ht="12.6" customHeight="1" x14ac:dyDescent="0.25">
      <c r="A373" s="173" t="s">
        <v>439</v>
      </c>
      <c r="B373" s="175"/>
      <c r="C373" s="191"/>
      <c r="D373" s="175">
        <f>SUM(C371:C372)</f>
        <v>2555384</v>
      </c>
      <c r="E373" s="175"/>
    </row>
    <row r="374" spans="1:5" ht="12.6" customHeight="1" x14ac:dyDescent="0.25">
      <c r="A374" s="173" t="s">
        <v>440</v>
      </c>
      <c r="B374" s="175"/>
      <c r="C374" s="191"/>
      <c r="D374" s="175">
        <f>D369+D373</f>
        <v>79235318</v>
      </c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173"/>
      <c r="B377" s="175"/>
      <c r="C377" s="191"/>
      <c r="D377" s="175"/>
      <c r="E377" s="175"/>
    </row>
    <row r="378" spans="1:5" ht="12.6" customHeight="1" x14ac:dyDescent="0.25">
      <c r="A378" s="260" t="s">
        <v>441</v>
      </c>
      <c r="B378" s="260"/>
      <c r="C378" s="260"/>
      <c r="D378" s="260"/>
      <c r="E378" s="260"/>
    </row>
    <row r="379" spans="1:5" ht="12.6" customHeight="1" x14ac:dyDescent="0.25">
      <c r="A379" s="173" t="s">
        <v>442</v>
      </c>
      <c r="B379" s="172" t="s">
        <v>256</v>
      </c>
      <c r="C379" s="189">
        <v>35700408</v>
      </c>
      <c r="D379" s="175"/>
      <c r="E379" s="175"/>
    </row>
    <row r="380" spans="1:5" ht="12.6" customHeight="1" x14ac:dyDescent="0.25">
      <c r="A380" s="173" t="s">
        <v>3</v>
      </c>
      <c r="B380" s="172" t="s">
        <v>256</v>
      </c>
      <c r="C380" s="189">
        <v>9494158</v>
      </c>
      <c r="D380" s="175"/>
      <c r="E380" s="175"/>
    </row>
    <row r="381" spans="1:5" ht="12.6" customHeight="1" x14ac:dyDescent="0.25">
      <c r="A381" s="173" t="s">
        <v>236</v>
      </c>
      <c r="B381" s="172" t="s">
        <v>256</v>
      </c>
      <c r="C381" s="189">
        <v>4629879</v>
      </c>
      <c r="D381" s="175"/>
      <c r="E381" s="175"/>
    </row>
    <row r="382" spans="1:5" ht="12.6" customHeight="1" x14ac:dyDescent="0.25">
      <c r="A382" s="173" t="s">
        <v>443</v>
      </c>
      <c r="B382" s="172" t="s">
        <v>256</v>
      </c>
      <c r="C382" s="189">
        <v>11076208</v>
      </c>
      <c r="D382" s="175"/>
      <c r="E382" s="175"/>
    </row>
    <row r="383" spans="1:5" ht="12.6" customHeight="1" x14ac:dyDescent="0.25">
      <c r="A383" s="173" t="s">
        <v>444</v>
      </c>
      <c r="B383" s="172" t="s">
        <v>256</v>
      </c>
      <c r="C383" s="189">
        <v>699843</v>
      </c>
      <c r="D383" s="175"/>
      <c r="E383" s="175"/>
    </row>
    <row r="384" spans="1:5" ht="12.6" customHeight="1" x14ac:dyDescent="0.25">
      <c r="A384" s="173" t="s">
        <v>445</v>
      </c>
      <c r="B384" s="172" t="s">
        <v>256</v>
      </c>
      <c r="C384" s="189">
        <v>7810414</v>
      </c>
      <c r="D384" s="175"/>
      <c r="E384" s="175"/>
    </row>
    <row r="385" spans="1:6" ht="12.6" customHeight="1" x14ac:dyDescent="0.25">
      <c r="A385" s="173" t="s">
        <v>6</v>
      </c>
      <c r="B385" s="172" t="s">
        <v>256</v>
      </c>
      <c r="C385" s="189">
        <v>4388374</v>
      </c>
      <c r="D385" s="175"/>
      <c r="E385" s="175"/>
    </row>
    <row r="386" spans="1:6" ht="12.6" customHeight="1" x14ac:dyDescent="0.25">
      <c r="A386" s="173" t="s">
        <v>446</v>
      </c>
      <c r="B386" s="172" t="s">
        <v>256</v>
      </c>
      <c r="C386" s="189">
        <v>985760</v>
      </c>
      <c r="D386" s="175"/>
      <c r="E386" s="175"/>
    </row>
    <row r="387" spans="1:6" ht="12.6" customHeight="1" x14ac:dyDescent="0.25">
      <c r="A387" s="173" t="s">
        <v>447</v>
      </c>
      <c r="B387" s="172" t="s">
        <v>256</v>
      </c>
      <c r="C387" s="189">
        <v>394367</v>
      </c>
      <c r="D387" s="175"/>
      <c r="E387" s="175"/>
    </row>
    <row r="388" spans="1:6" ht="12.6" customHeight="1" x14ac:dyDescent="0.25">
      <c r="A388" s="173" t="s">
        <v>448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449</v>
      </c>
      <c r="B389" s="172" t="s">
        <v>256</v>
      </c>
      <c r="C389" s="189">
        <v>423314</v>
      </c>
      <c r="D389" s="175"/>
      <c r="E389" s="175"/>
    </row>
    <row r="390" spans="1:6" ht="12.6" customHeight="1" x14ac:dyDescent="0.25">
      <c r="A390" s="173" t="s">
        <v>451</v>
      </c>
      <c r="B390" s="172" t="s">
        <v>256</v>
      </c>
      <c r="C390" s="189">
        <v>2179528</v>
      </c>
      <c r="D390" s="175"/>
      <c r="E390" s="175"/>
    </row>
    <row r="391" spans="1:6" ht="12.6" customHeight="1" x14ac:dyDescent="0.25">
      <c r="A391" s="173" t="s">
        <v>452</v>
      </c>
      <c r="B391" s="175"/>
      <c r="C391" s="191"/>
      <c r="D391" s="175">
        <f>SUM(C379:C390)</f>
        <v>77782253</v>
      </c>
      <c r="E391" s="175"/>
    </row>
    <row r="392" spans="1:6" ht="12.6" customHeight="1" x14ac:dyDescent="0.25">
      <c r="A392" s="173" t="s">
        <v>453</v>
      </c>
      <c r="B392" s="175"/>
      <c r="C392" s="191"/>
      <c r="D392" s="175">
        <f>D374-D391</f>
        <v>1453065</v>
      </c>
      <c r="E392" s="175"/>
    </row>
    <row r="393" spans="1:6" ht="12.6" customHeight="1" x14ac:dyDescent="0.25">
      <c r="A393" s="173" t="s">
        <v>454</v>
      </c>
      <c r="B393" s="172" t="s">
        <v>256</v>
      </c>
      <c r="C393" s="189">
        <v>3007911</v>
      </c>
      <c r="D393" s="175"/>
      <c r="E393" s="175"/>
    </row>
    <row r="394" spans="1:6" ht="12.6" customHeight="1" x14ac:dyDescent="0.25">
      <c r="A394" s="173" t="s">
        <v>455</v>
      </c>
      <c r="B394" s="175"/>
      <c r="C394" s="191"/>
      <c r="D394" s="195">
        <f>D392+C393</f>
        <v>4460976</v>
      </c>
      <c r="E394" s="175"/>
      <c r="F394" s="197"/>
    </row>
    <row r="395" spans="1:6" ht="12.6" customHeight="1" x14ac:dyDescent="0.25">
      <c r="A395" s="173" t="s">
        <v>456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457</v>
      </c>
      <c r="B396" s="172" t="s">
        <v>256</v>
      </c>
      <c r="C396" s="189"/>
      <c r="D396" s="175"/>
      <c r="E396" s="175"/>
    </row>
    <row r="397" spans="1:6" ht="12.6" customHeight="1" x14ac:dyDescent="0.25">
      <c r="A397" s="173" t="s">
        <v>458</v>
      </c>
      <c r="B397" s="175"/>
      <c r="C397" s="191"/>
      <c r="D397" s="175">
        <f>D394+C395-C396</f>
        <v>4460976</v>
      </c>
      <c r="E397" s="175"/>
    </row>
    <row r="398" spans="1:6" ht="13.5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.6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</row>
    <row r="412" spans="1:5" ht="12.6" customHeight="1" x14ac:dyDescent="0.25">
      <c r="A412" s="179"/>
      <c r="B412" s="179"/>
      <c r="C412" s="181" t="s">
        <v>459</v>
      </c>
      <c r="D412" s="179"/>
      <c r="E412" s="263"/>
    </row>
    <row r="413" spans="1:5" ht="12.6" customHeight="1" x14ac:dyDescent="0.25">
      <c r="A413" s="179" t="str">
        <f>C85&amp;"   "&amp;"H-"&amp;FIXED(C84,0,TRUE)&amp;"     FYE "&amp;C83</f>
        <v>Samaritan Hospital   H-0     FYE 12/31/2017</v>
      </c>
      <c r="B413" s="179"/>
      <c r="C413" s="179"/>
      <c r="D413" s="179"/>
      <c r="E413" s="263"/>
    </row>
    <row r="414" spans="1:5" ht="12.6" customHeight="1" x14ac:dyDescent="0.25">
      <c r="A414" s="179" t="s">
        <v>460</v>
      </c>
      <c r="B414" s="181" t="s">
        <v>461</v>
      </c>
      <c r="C414" s="181" t="s">
        <v>1243</v>
      </c>
      <c r="D414" s="181" t="s">
        <v>462</v>
      </c>
    </row>
    <row r="415" spans="1:5" ht="12.6" customHeight="1" x14ac:dyDescent="0.25">
      <c r="A415" s="179" t="s">
        <v>463</v>
      </c>
      <c r="B415" s="179">
        <f>C112</f>
        <v>3053</v>
      </c>
      <c r="C415" s="194">
        <f>E139</f>
        <v>2914</v>
      </c>
      <c r="D415" s="179"/>
    </row>
    <row r="416" spans="1:5" ht="12.6" customHeight="1" x14ac:dyDescent="0.25">
      <c r="A416" s="179" t="s">
        <v>464</v>
      </c>
      <c r="B416" s="179">
        <f>D112</f>
        <v>8927</v>
      </c>
      <c r="C416" s="179">
        <f>E140</f>
        <v>8927</v>
      </c>
      <c r="D416" s="194">
        <f>SUM(C59:H59)+N59</f>
        <v>8701</v>
      </c>
    </row>
    <row r="417" spans="1:7" ht="12.6" customHeight="1" x14ac:dyDescent="0.25">
      <c r="A417" s="179"/>
      <c r="B417" s="179"/>
      <c r="C417" s="194"/>
      <c r="D417" s="179"/>
    </row>
    <row r="418" spans="1:7" ht="12.6" customHeight="1" x14ac:dyDescent="0.25">
      <c r="A418" s="179" t="s">
        <v>465</v>
      </c>
      <c r="B418" s="179">
        <f>C113</f>
        <v>0</v>
      </c>
      <c r="C418" s="194">
        <f>E145</f>
        <v>0</v>
      </c>
      <c r="D418" s="179"/>
    </row>
    <row r="419" spans="1:7" ht="12.6" customHeight="1" x14ac:dyDescent="0.25">
      <c r="A419" s="179" t="s">
        <v>466</v>
      </c>
      <c r="B419" s="179">
        <f>D113</f>
        <v>0</v>
      </c>
      <c r="C419" s="179">
        <f>E146</f>
        <v>0</v>
      </c>
      <c r="D419" s="179">
        <f>K59+L59</f>
        <v>0</v>
      </c>
    </row>
    <row r="420" spans="1:7" ht="12.6" customHeight="1" x14ac:dyDescent="0.25">
      <c r="A420" s="179"/>
      <c r="B420" s="179"/>
      <c r="C420" s="194"/>
      <c r="D420" s="179"/>
    </row>
    <row r="421" spans="1:7" ht="12.6" customHeight="1" x14ac:dyDescent="0.25">
      <c r="A421" s="179" t="s">
        <v>467</v>
      </c>
      <c r="B421" s="179">
        <f>C114</f>
        <v>0</v>
      </c>
      <c r="C421" s="179">
        <f>E151</f>
        <v>0</v>
      </c>
      <c r="D421" s="179"/>
    </row>
    <row r="422" spans="1:7" ht="12.6" customHeight="1" x14ac:dyDescent="0.25">
      <c r="A422" s="179" t="s">
        <v>468</v>
      </c>
      <c r="B422" s="179">
        <f>D114</f>
        <v>0</v>
      </c>
      <c r="C422" s="179">
        <f>E152</f>
        <v>0</v>
      </c>
      <c r="D422" s="179">
        <f>I59</f>
        <v>0</v>
      </c>
    </row>
    <row r="423" spans="1:7" ht="12.6" customHeight="1" x14ac:dyDescent="0.25">
      <c r="A423" s="206"/>
      <c r="B423" s="206"/>
      <c r="C423" s="181"/>
      <c r="D423" s="179"/>
    </row>
    <row r="424" spans="1:7" ht="12.6" customHeight="1" x14ac:dyDescent="0.25">
      <c r="A424" s="180" t="s">
        <v>469</v>
      </c>
      <c r="B424" s="180">
        <f>C115</f>
        <v>1027</v>
      </c>
    </row>
    <row r="425" spans="1:7" ht="12.6" customHeight="1" x14ac:dyDescent="0.25">
      <c r="A425" s="179" t="s">
        <v>1244</v>
      </c>
      <c r="B425" s="179">
        <f>D115</f>
        <v>1764</v>
      </c>
      <c r="D425" s="179">
        <f>J59</f>
        <v>127</v>
      </c>
    </row>
    <row r="426" spans="1:7" ht="12.6" customHeight="1" x14ac:dyDescent="0.25">
      <c r="A426" s="206"/>
      <c r="B426" s="206"/>
      <c r="C426" s="206"/>
      <c r="D426" s="206"/>
      <c r="F426" s="206"/>
      <c r="G426" s="206"/>
    </row>
    <row r="427" spans="1:7" ht="12.6" customHeight="1" x14ac:dyDescent="0.25">
      <c r="A427" s="179" t="s">
        <v>470</v>
      </c>
      <c r="B427" s="181" t="s">
        <v>471</v>
      </c>
      <c r="C427" s="181" t="s">
        <v>462</v>
      </c>
      <c r="D427" s="181" t="s">
        <v>472</v>
      </c>
    </row>
    <row r="428" spans="1:7" ht="12.6" customHeight="1" x14ac:dyDescent="0.25">
      <c r="A428" s="179" t="s">
        <v>473</v>
      </c>
      <c r="B428" s="179">
        <f t="shared" ref="B428:B438" si="11">C379</f>
        <v>35700408</v>
      </c>
      <c r="C428" s="179">
        <f t="shared" ref="C428:C435" si="12">CE61</f>
        <v>32432947</v>
      </c>
      <c r="D428" s="179"/>
    </row>
    <row r="429" spans="1:7" ht="12.6" customHeight="1" x14ac:dyDescent="0.25">
      <c r="A429" s="179" t="s">
        <v>3</v>
      </c>
      <c r="B429" s="179">
        <f t="shared" si="11"/>
        <v>9494158</v>
      </c>
      <c r="C429" s="179">
        <f t="shared" si="12"/>
        <v>9494158</v>
      </c>
      <c r="D429" s="179">
        <f>D174</f>
        <v>9494157</v>
      </c>
    </row>
    <row r="430" spans="1:7" ht="12.6" customHeight="1" x14ac:dyDescent="0.25">
      <c r="A430" s="179" t="s">
        <v>236</v>
      </c>
      <c r="B430" s="179">
        <f t="shared" si="11"/>
        <v>4629879</v>
      </c>
      <c r="C430" s="179">
        <f t="shared" si="12"/>
        <v>4146091</v>
      </c>
      <c r="D430" s="179"/>
    </row>
    <row r="431" spans="1:7" ht="12.6" customHeight="1" x14ac:dyDescent="0.25">
      <c r="A431" s="179" t="s">
        <v>237</v>
      </c>
      <c r="B431" s="179">
        <f t="shared" si="11"/>
        <v>11076208</v>
      </c>
      <c r="C431" s="179">
        <f t="shared" si="12"/>
        <v>10219469</v>
      </c>
      <c r="D431" s="179"/>
    </row>
    <row r="432" spans="1:7" ht="12.6" customHeight="1" x14ac:dyDescent="0.25">
      <c r="A432" s="179" t="s">
        <v>444</v>
      </c>
      <c r="B432" s="179">
        <f t="shared" si="11"/>
        <v>699843</v>
      </c>
      <c r="C432" s="179">
        <f t="shared" si="12"/>
        <v>339010</v>
      </c>
      <c r="D432" s="179"/>
    </row>
    <row r="433" spans="1:7" ht="12.6" customHeight="1" x14ac:dyDescent="0.25">
      <c r="A433" s="179" t="s">
        <v>445</v>
      </c>
      <c r="B433" s="179">
        <f t="shared" si="11"/>
        <v>7810414</v>
      </c>
      <c r="C433" s="179">
        <f t="shared" si="12"/>
        <v>6380390</v>
      </c>
      <c r="D433" s="179"/>
    </row>
    <row r="434" spans="1:7" ht="12.6" customHeight="1" x14ac:dyDescent="0.25">
      <c r="A434" s="179" t="s">
        <v>6</v>
      </c>
      <c r="B434" s="179">
        <f t="shared" si="11"/>
        <v>4388374</v>
      </c>
      <c r="C434" s="179">
        <f t="shared" si="12"/>
        <v>4388375</v>
      </c>
      <c r="D434" s="179">
        <f>C218</f>
        <v>2206310</v>
      </c>
    </row>
    <row r="435" spans="1:7" ht="12.6" customHeight="1" x14ac:dyDescent="0.25">
      <c r="A435" s="179" t="s">
        <v>474</v>
      </c>
      <c r="B435" s="179">
        <f t="shared" si="11"/>
        <v>985760</v>
      </c>
      <c r="C435" s="179">
        <f t="shared" si="12"/>
        <v>985762</v>
      </c>
      <c r="D435" s="179">
        <f>D178</f>
        <v>985760</v>
      </c>
    </row>
    <row r="436" spans="1:7" ht="12.6" customHeight="1" x14ac:dyDescent="0.25">
      <c r="A436" s="179" t="s">
        <v>447</v>
      </c>
      <c r="B436" s="179">
        <f t="shared" si="11"/>
        <v>394367</v>
      </c>
      <c r="C436" s="179"/>
      <c r="D436" s="179">
        <f>D182</f>
        <v>674605</v>
      </c>
    </row>
    <row r="437" spans="1:7" ht="12.6" customHeight="1" x14ac:dyDescent="0.25">
      <c r="A437" s="179" t="s">
        <v>475</v>
      </c>
      <c r="B437" s="179">
        <f t="shared" si="11"/>
        <v>0</v>
      </c>
      <c r="C437" s="179"/>
      <c r="D437" s="179">
        <f>D187</f>
        <v>0</v>
      </c>
    </row>
    <row r="438" spans="1:7" ht="12.6" customHeight="1" x14ac:dyDescent="0.25">
      <c r="A438" s="194" t="s">
        <v>449</v>
      </c>
      <c r="B438" s="194">
        <f t="shared" si="11"/>
        <v>423314</v>
      </c>
      <c r="C438" s="194"/>
      <c r="D438" s="194">
        <f>D191</f>
        <v>423314</v>
      </c>
    </row>
    <row r="439" spans="1:7" ht="12.6" customHeight="1" x14ac:dyDescent="0.25">
      <c r="A439" s="194" t="s">
        <v>476</v>
      </c>
      <c r="B439" s="194">
        <f>C387+C388+C389</f>
        <v>817681</v>
      </c>
      <c r="C439" s="194">
        <f>CD70</f>
        <v>0</v>
      </c>
      <c r="D439" s="194">
        <f>D182+D187+D191</f>
        <v>1097919</v>
      </c>
    </row>
    <row r="440" spans="1:7" ht="12.6" customHeight="1" x14ac:dyDescent="0.25">
      <c r="A440" s="179" t="s">
        <v>1262</v>
      </c>
      <c r="B440" s="179" t="e">
        <f>#REF!</f>
        <v>#REF!</v>
      </c>
      <c r="C440" s="179">
        <f>CD69</f>
        <v>0</v>
      </c>
      <c r="D440" s="179"/>
    </row>
    <row r="441" spans="1:7" ht="12.6" customHeight="1" x14ac:dyDescent="0.25">
      <c r="A441" s="179" t="s">
        <v>451</v>
      </c>
      <c r="B441" s="194">
        <f>C390</f>
        <v>2179528</v>
      </c>
      <c r="C441" s="194">
        <f>SUM(C70:CC70)</f>
        <v>2254338</v>
      </c>
      <c r="D441" s="179"/>
    </row>
    <row r="442" spans="1:7" ht="12.6" customHeight="1" x14ac:dyDescent="0.25">
      <c r="A442" s="179" t="s">
        <v>477</v>
      </c>
      <c r="B442" s="194">
        <f>B439+B441</f>
        <v>2997209</v>
      </c>
      <c r="C442" s="194">
        <f>CE70</f>
        <v>2254338</v>
      </c>
      <c r="D442" s="179"/>
    </row>
    <row r="443" spans="1:7" ht="12.6" customHeight="1" x14ac:dyDescent="0.25">
      <c r="A443" s="179" t="s">
        <v>478</v>
      </c>
      <c r="B443" s="179">
        <f>D391</f>
        <v>77782253</v>
      </c>
      <c r="C443" s="179">
        <f>SUM(C428:C438)+C440+C442</f>
        <v>70640540</v>
      </c>
      <c r="D443" s="179"/>
    </row>
    <row r="444" spans="1:7" ht="12.6" customHeight="1" x14ac:dyDescent="0.25">
      <c r="A444" s="206"/>
      <c r="B444" s="206"/>
      <c r="C444" s="206"/>
      <c r="D444" s="206"/>
      <c r="F444" s="206"/>
      <c r="G444" s="206"/>
    </row>
    <row r="445" spans="1:7" ht="12.6" customHeight="1" x14ac:dyDescent="0.25">
      <c r="A445" s="179" t="s">
        <v>479</v>
      </c>
      <c r="B445" s="181" t="s">
        <v>480</v>
      </c>
      <c r="C445" s="181" t="s">
        <v>471</v>
      </c>
      <c r="D445" s="179"/>
    </row>
    <row r="446" spans="1:7" ht="12.6" customHeight="1" x14ac:dyDescent="0.25">
      <c r="A446" s="179" t="s">
        <v>343</v>
      </c>
      <c r="B446" s="179">
        <f>D230</f>
        <v>57634519</v>
      </c>
      <c r="C446" s="179">
        <f>C365</f>
        <v>57634519</v>
      </c>
      <c r="D446" s="179"/>
    </row>
    <row r="447" spans="1:7" ht="12.6" customHeight="1" x14ac:dyDescent="0.25">
      <c r="A447" s="179" t="s">
        <v>351</v>
      </c>
      <c r="B447" s="179">
        <f>D237</f>
        <v>2636350</v>
      </c>
      <c r="C447" s="179">
        <f>C366</f>
        <v>2636350</v>
      </c>
      <c r="D447" s="179"/>
    </row>
    <row r="448" spans="1:7" ht="12.6" customHeight="1" x14ac:dyDescent="0.25">
      <c r="A448" s="179" t="s">
        <v>356</v>
      </c>
      <c r="B448" s="179">
        <f>D241</f>
        <v>76546473</v>
      </c>
      <c r="C448" s="179">
        <f>C367</f>
        <v>76546473</v>
      </c>
      <c r="D448" s="179"/>
    </row>
    <row r="449" spans="1:7" ht="12.6" customHeight="1" x14ac:dyDescent="0.25">
      <c r="A449" s="179" t="s">
        <v>358</v>
      </c>
      <c r="B449" s="179">
        <f>D243</f>
        <v>139699022</v>
      </c>
      <c r="C449" s="179">
        <f>D368</f>
        <v>139699022</v>
      </c>
      <c r="D449" s="179"/>
    </row>
    <row r="450" spans="1:7" ht="12.6" customHeight="1" x14ac:dyDescent="0.25">
      <c r="A450" s="206"/>
      <c r="B450" s="206"/>
      <c r="C450" s="206"/>
      <c r="D450" s="206"/>
      <c r="F450" s="206"/>
      <c r="G450" s="206"/>
    </row>
    <row r="451" spans="1:7" ht="12.6" customHeight="1" x14ac:dyDescent="0.25">
      <c r="A451" s="180" t="s">
        <v>481</v>
      </c>
      <c r="B451" s="181" t="s">
        <v>482</v>
      </c>
      <c r="C451" s="206"/>
      <c r="D451" s="206"/>
      <c r="F451" s="206"/>
      <c r="G451" s="206"/>
    </row>
    <row r="452" spans="1:7" ht="12.6" customHeight="1" x14ac:dyDescent="0.25">
      <c r="B452" s="181" t="s">
        <v>483</v>
      </c>
    </row>
    <row r="453" spans="1:7" ht="12.6" customHeight="1" x14ac:dyDescent="0.25">
      <c r="B453" s="181" t="s">
        <v>472</v>
      </c>
    </row>
    <row r="454" spans="1:7" ht="12.6" customHeight="1" x14ac:dyDescent="0.25">
      <c r="A454" s="199" t="s">
        <v>484</v>
      </c>
      <c r="B454" s="180">
        <f>C232</f>
        <v>0</v>
      </c>
    </row>
    <row r="455" spans="1:7" ht="12.6" customHeight="1" x14ac:dyDescent="0.25">
      <c r="A455" s="179" t="s">
        <v>168</v>
      </c>
      <c r="B455" s="179">
        <f>C234</f>
        <v>2636350</v>
      </c>
      <c r="C455" s="179"/>
      <c r="D455" s="179"/>
    </row>
    <row r="456" spans="1:7" ht="12.6" customHeight="1" x14ac:dyDescent="0.25">
      <c r="A456" s="179" t="s">
        <v>131</v>
      </c>
      <c r="B456" s="179">
        <f>C235</f>
        <v>0</v>
      </c>
      <c r="C456" s="179"/>
      <c r="D456" s="179"/>
    </row>
    <row r="457" spans="1:7" ht="12.6" customHeight="1" x14ac:dyDescent="0.25">
      <c r="A457" s="206"/>
      <c r="B457" s="206"/>
      <c r="C457" s="206"/>
      <c r="D457" s="206"/>
      <c r="F457" s="206"/>
      <c r="G457" s="206"/>
    </row>
    <row r="458" spans="1:7" ht="12.6" customHeight="1" x14ac:dyDescent="0.25">
      <c r="A458" s="179" t="s">
        <v>485</v>
      </c>
      <c r="B458" s="181" t="s">
        <v>471</v>
      </c>
      <c r="C458" s="181" t="s">
        <v>486</v>
      </c>
      <c r="D458" s="179"/>
    </row>
    <row r="459" spans="1:7" ht="12.6" customHeight="1" x14ac:dyDescent="0.25">
      <c r="A459" s="179" t="s">
        <v>487</v>
      </c>
      <c r="B459" s="194">
        <f>C371</f>
        <v>2555384</v>
      </c>
      <c r="C459" s="194">
        <f>CE71</f>
        <v>2555384</v>
      </c>
      <c r="D459" s="194"/>
    </row>
    <row r="460" spans="1:7" ht="12.6" customHeight="1" x14ac:dyDescent="0.25">
      <c r="A460" s="179" t="s">
        <v>244</v>
      </c>
      <c r="B460" s="194">
        <f>C372</f>
        <v>0</v>
      </c>
      <c r="C460" s="194">
        <f>CE73</f>
        <v>0</v>
      </c>
      <c r="D460" s="194"/>
    </row>
    <row r="461" spans="1:7" ht="12.6" customHeight="1" x14ac:dyDescent="0.25">
      <c r="A461" s="206"/>
      <c r="B461" s="206"/>
      <c r="C461" s="206"/>
      <c r="D461" s="206"/>
      <c r="F461" s="206"/>
      <c r="G461" s="206"/>
    </row>
    <row r="462" spans="1:7" ht="12.6" customHeight="1" x14ac:dyDescent="0.25">
      <c r="A462" s="179" t="s">
        <v>488</v>
      </c>
      <c r="B462" s="181"/>
      <c r="C462" s="181"/>
      <c r="D462" s="181" t="s">
        <v>1245</v>
      </c>
    </row>
    <row r="463" spans="1:7" ht="12.6" customHeight="1" x14ac:dyDescent="0.25">
      <c r="B463" s="181" t="s">
        <v>471</v>
      </c>
      <c r="C463" s="181" t="s">
        <v>486</v>
      </c>
      <c r="D463" s="181" t="s">
        <v>490</v>
      </c>
    </row>
    <row r="464" spans="1:7" ht="12.6" customHeight="1" x14ac:dyDescent="0.25">
      <c r="A464" s="179" t="s">
        <v>245</v>
      </c>
      <c r="B464" s="194">
        <f>C360</f>
        <v>83671231</v>
      </c>
      <c r="C464" s="194">
        <f>CE74</f>
        <v>79595440</v>
      </c>
      <c r="D464" s="194">
        <f>E142+E148+E154</f>
        <v>83671923</v>
      </c>
    </row>
    <row r="465" spans="1:7" ht="12.6" customHeight="1" x14ac:dyDescent="0.25">
      <c r="A465" s="179" t="s">
        <v>246</v>
      </c>
      <c r="B465" s="194">
        <f>C361</f>
        <v>132707725</v>
      </c>
      <c r="C465" s="194">
        <f>CE75</f>
        <v>124789958</v>
      </c>
      <c r="D465" s="194">
        <f>E143+E149+E155</f>
        <v>121704109.67</v>
      </c>
    </row>
    <row r="466" spans="1:7" ht="12.6" customHeight="1" x14ac:dyDescent="0.25">
      <c r="A466" s="179" t="s">
        <v>247</v>
      </c>
      <c r="B466" s="194">
        <f>D362</f>
        <v>216378956</v>
      </c>
      <c r="C466" s="194">
        <f>CE76</f>
        <v>204385398</v>
      </c>
      <c r="D466" s="194">
        <f>D464+D465</f>
        <v>205376032.67000002</v>
      </c>
    </row>
    <row r="467" spans="1:7" ht="12.6" customHeight="1" x14ac:dyDescent="0.25">
      <c r="A467" s="206"/>
      <c r="B467" s="206"/>
      <c r="C467" s="206"/>
      <c r="D467" s="206"/>
      <c r="F467" s="206"/>
      <c r="G467" s="206"/>
    </row>
    <row r="468" spans="1:7" ht="12.6" customHeight="1" x14ac:dyDescent="0.25">
      <c r="A468" s="179" t="s">
        <v>491</v>
      </c>
      <c r="B468" s="181" t="s">
        <v>492</v>
      </c>
      <c r="C468" s="181" t="s">
        <v>493</v>
      </c>
      <c r="D468" s="179"/>
    </row>
    <row r="469" spans="1:7" ht="12.6" customHeight="1" x14ac:dyDescent="0.25">
      <c r="A469" s="179" t="s">
        <v>332</v>
      </c>
      <c r="B469" s="179">
        <f t="shared" ref="B469:B476" si="13">C268</f>
        <v>932777</v>
      </c>
      <c r="C469" s="179">
        <f>E196</f>
        <v>932777</v>
      </c>
      <c r="D469" s="179"/>
    </row>
    <row r="470" spans="1:7" ht="12.6" customHeight="1" x14ac:dyDescent="0.25">
      <c r="A470" s="179" t="s">
        <v>333</v>
      </c>
      <c r="B470" s="179">
        <f t="shared" si="13"/>
        <v>555844</v>
      </c>
      <c r="C470" s="179">
        <f>E197</f>
        <v>555845</v>
      </c>
      <c r="D470" s="179"/>
    </row>
    <row r="471" spans="1:7" ht="12.6" customHeight="1" x14ac:dyDescent="0.25">
      <c r="A471" s="179" t="s">
        <v>334</v>
      </c>
      <c r="B471" s="179">
        <f t="shared" si="13"/>
        <v>49806913</v>
      </c>
      <c r="C471" s="179">
        <f>E198</f>
        <v>49897096</v>
      </c>
      <c r="D471" s="179"/>
    </row>
    <row r="472" spans="1:7" ht="12.6" customHeight="1" x14ac:dyDescent="0.25">
      <c r="A472" s="179" t="s">
        <v>494</v>
      </c>
      <c r="B472" s="179">
        <f t="shared" si="13"/>
        <v>3911856</v>
      </c>
      <c r="C472" s="179">
        <f>E199</f>
        <v>3911856</v>
      </c>
      <c r="D472" s="179"/>
    </row>
    <row r="473" spans="1:7" ht="12.6" customHeight="1" x14ac:dyDescent="0.25">
      <c r="A473" s="179" t="s">
        <v>377</v>
      </c>
      <c r="B473" s="179">
        <f t="shared" si="13"/>
        <v>0</v>
      </c>
      <c r="C473" s="179">
        <f>E200</f>
        <v>0</v>
      </c>
      <c r="D473" s="179"/>
    </row>
    <row r="474" spans="1:7" ht="12.6" customHeight="1" x14ac:dyDescent="0.25">
      <c r="A474" s="179" t="s">
        <v>495</v>
      </c>
      <c r="B474" s="179">
        <f t="shared" si="13"/>
        <v>30228148</v>
      </c>
      <c r="C474" s="179">
        <f>SUM(E201:E202)</f>
        <v>28851577</v>
      </c>
      <c r="D474" s="179"/>
    </row>
    <row r="475" spans="1:7" ht="12.6" customHeight="1" x14ac:dyDescent="0.25">
      <c r="A475" s="179" t="s">
        <v>339</v>
      </c>
      <c r="B475" s="179">
        <f t="shared" si="13"/>
        <v>0</v>
      </c>
      <c r="C475" s="179">
        <f>E203</f>
        <v>0</v>
      </c>
      <c r="D475" s="179"/>
    </row>
    <row r="476" spans="1:7" ht="12.6" customHeight="1" x14ac:dyDescent="0.25">
      <c r="A476" s="179" t="s">
        <v>340</v>
      </c>
      <c r="B476" s="179">
        <f t="shared" si="13"/>
        <v>954572</v>
      </c>
      <c r="C476" s="179">
        <f>E204</f>
        <v>1865463</v>
      </c>
      <c r="D476" s="179"/>
    </row>
    <row r="477" spans="1:7" ht="12.6" customHeight="1" x14ac:dyDescent="0.25">
      <c r="A477" s="179" t="s">
        <v>203</v>
      </c>
      <c r="B477" s="179">
        <f>D276</f>
        <v>86390110</v>
      </c>
      <c r="C477" s="179">
        <f>E205</f>
        <v>86014614</v>
      </c>
      <c r="D477" s="179"/>
    </row>
    <row r="478" spans="1:7" ht="12.6" customHeight="1" x14ac:dyDescent="0.25">
      <c r="A478" s="179"/>
      <c r="B478" s="179"/>
      <c r="C478" s="179"/>
      <c r="D478" s="179"/>
    </row>
    <row r="479" spans="1:7" ht="12.6" customHeight="1" x14ac:dyDescent="0.25">
      <c r="A479" s="179" t="s">
        <v>496</v>
      </c>
      <c r="B479" s="179">
        <f>C277</f>
        <v>56724829</v>
      </c>
      <c r="C479" s="179">
        <f>E218</f>
        <v>54542764</v>
      </c>
      <c r="D479" s="179"/>
    </row>
    <row r="481" spans="1:12" ht="12.6" customHeight="1" x14ac:dyDescent="0.25">
      <c r="A481" s="180" t="s">
        <v>497</v>
      </c>
    </row>
    <row r="482" spans="1:12" ht="12.6" customHeight="1" x14ac:dyDescent="0.25">
      <c r="A482" s="180" t="s">
        <v>498</v>
      </c>
      <c r="C482" s="180">
        <f>D342</f>
        <v>92733782</v>
      </c>
    </row>
    <row r="483" spans="1:12" ht="12.6" customHeight="1" x14ac:dyDescent="0.25">
      <c r="A483" s="180" t="s">
        <v>499</v>
      </c>
      <c r="C483" s="180">
        <f>D340</f>
        <v>92733782</v>
      </c>
    </row>
    <row r="486" spans="1:12" ht="12.6" customHeight="1" x14ac:dyDescent="0.25">
      <c r="A486" s="199" t="s">
        <v>500</v>
      </c>
    </row>
    <row r="487" spans="1:12" ht="12.6" customHeight="1" x14ac:dyDescent="0.25">
      <c r="A487" s="199" t="s">
        <v>501</v>
      </c>
    </row>
    <row r="488" spans="1:12" ht="12.6" customHeight="1" x14ac:dyDescent="0.25">
      <c r="A488" s="199" t="s">
        <v>502</v>
      </c>
    </row>
    <row r="489" spans="1:12" ht="12.6" customHeight="1" x14ac:dyDescent="0.25">
      <c r="A489" s="199"/>
    </row>
    <row r="490" spans="1:12" ht="12.6" customHeight="1" x14ac:dyDescent="0.25">
      <c r="A490" s="198" t="s">
        <v>503</v>
      </c>
    </row>
    <row r="491" spans="1:12" ht="12.6" customHeight="1" x14ac:dyDescent="0.25">
      <c r="A491" s="199" t="s">
        <v>504</v>
      </c>
    </row>
    <row r="492" spans="1:12" ht="12.6" customHeight="1" x14ac:dyDescent="0.25">
      <c r="A492" s="199"/>
    </row>
    <row r="494" spans="1:12" ht="12.6" customHeight="1" x14ac:dyDescent="0.25">
      <c r="A494" s="180" t="str">
        <f>C85</f>
        <v>Samaritan Hospital</v>
      </c>
      <c r="B494" s="264" t="s">
        <v>1264</v>
      </c>
      <c r="C494" s="264" t="str">
        <f>RIGHT(C83,4)</f>
        <v>2017</v>
      </c>
      <c r="D494" s="264" t="s">
        <v>1264</v>
      </c>
      <c r="E494" s="264" t="str">
        <f>RIGHT(C83,4)</f>
        <v>2017</v>
      </c>
      <c r="F494" s="264" t="s">
        <v>1264</v>
      </c>
      <c r="G494" s="264" t="str">
        <f>RIGHT(C83,4)</f>
        <v>2017</v>
      </c>
      <c r="H494" s="264"/>
      <c r="K494" s="264"/>
      <c r="L494" s="264"/>
    </row>
    <row r="495" spans="1:12" ht="12.6" customHeight="1" x14ac:dyDescent="0.25">
      <c r="A495" s="198"/>
      <c r="B495" s="181" t="s">
        <v>505</v>
      </c>
      <c r="C495" s="181" t="s">
        <v>505</v>
      </c>
      <c r="D495" s="265" t="s">
        <v>506</v>
      </c>
      <c r="E495" s="265" t="s">
        <v>506</v>
      </c>
      <c r="F495" s="264" t="s">
        <v>507</v>
      </c>
      <c r="G495" s="264" t="s">
        <v>507</v>
      </c>
      <c r="H495" s="264" t="s">
        <v>508</v>
      </c>
      <c r="K495" s="264"/>
      <c r="L495" s="264"/>
    </row>
    <row r="496" spans="1:12" ht="12.6" customHeight="1" x14ac:dyDescent="0.25">
      <c r="B496" s="181" t="s">
        <v>303</v>
      </c>
      <c r="C496" s="181" t="s">
        <v>303</v>
      </c>
      <c r="D496" s="181" t="s">
        <v>509</v>
      </c>
      <c r="E496" s="181" t="s">
        <v>509</v>
      </c>
      <c r="F496" s="264" t="s">
        <v>510</v>
      </c>
      <c r="G496" s="264" t="s">
        <v>510</v>
      </c>
      <c r="H496" s="264" t="s">
        <v>511</v>
      </c>
      <c r="K496" s="264"/>
      <c r="L496" s="264"/>
    </row>
    <row r="497" spans="1:12" ht="12.6" customHeight="1" x14ac:dyDescent="0.25">
      <c r="A497" s="180" t="s">
        <v>512</v>
      </c>
      <c r="B497" s="243">
        <v>16109014</v>
      </c>
      <c r="C497" s="243">
        <f>C72</f>
        <v>0</v>
      </c>
      <c r="D497" s="243">
        <v>9430</v>
      </c>
      <c r="E497" s="180">
        <f>C59</f>
        <v>0</v>
      </c>
      <c r="F497" s="266">
        <f t="shared" ref="F497:G512" si="14">IF(B497=0,"",IF(D497=0,"",B497/D497))</f>
        <v>1708.2729586426299</v>
      </c>
      <c r="G497" s="267" t="str">
        <f t="shared" si="14"/>
        <v/>
      </c>
      <c r="H497" s="268" t="str">
        <f>IF(B497=0,"",IF(C497=0,"",IF(D497=0,"",IF(E497=0,"",IF(G497/F497-1&lt;-0.25,G497/F497-1,IF(G497/F497-1&gt;0.25,G497/F497-1,""))))))</f>
        <v/>
      </c>
      <c r="I497" s="270"/>
      <c r="K497" s="264"/>
      <c r="L497" s="264"/>
    </row>
    <row r="498" spans="1:12" ht="12.6" customHeight="1" x14ac:dyDescent="0.25">
      <c r="A498" s="180" t="s">
        <v>513</v>
      </c>
      <c r="B498" s="243">
        <v>0</v>
      </c>
      <c r="C498" s="243">
        <f>D72</f>
        <v>0</v>
      </c>
      <c r="D498" s="243">
        <v>0</v>
      </c>
      <c r="E498" s="180">
        <f>D59</f>
        <v>0</v>
      </c>
      <c r="F498" s="266" t="str">
        <f t="shared" si="14"/>
        <v/>
      </c>
      <c r="G498" s="266" t="str">
        <f t="shared" si="14"/>
        <v/>
      </c>
      <c r="H498" s="268" t="str">
        <f t="shared" ref="H498:H551" si="15">IF(B498=0,"",IF(C498=0,"",IF(D498=0,"",IF(E498=0,"",IF(G498/F498-1&lt;-0.25,G498/F498-1,IF(G498/F498-1&gt;0.25,G498/F498-1,""))))))</f>
        <v/>
      </c>
      <c r="I498" s="270"/>
      <c r="K498" s="264"/>
      <c r="L498" s="264"/>
    </row>
    <row r="499" spans="1:12" ht="12.6" customHeight="1" x14ac:dyDescent="0.25">
      <c r="A499" s="180" t="s">
        <v>514</v>
      </c>
      <c r="B499" s="243">
        <v>41784874</v>
      </c>
      <c r="C499" s="243">
        <f>E72</f>
        <v>5421254</v>
      </c>
      <c r="D499" s="243">
        <v>48942</v>
      </c>
      <c r="E499" s="180">
        <f>E59</f>
        <v>6887</v>
      </c>
      <c r="F499" s="266">
        <f t="shared" si="14"/>
        <v>853.76310735155903</v>
      </c>
      <c r="G499" s="266">
        <f t="shared" si="14"/>
        <v>787.17206330768113</v>
      </c>
      <c r="H499" s="268" t="str">
        <f t="shared" si="15"/>
        <v/>
      </c>
      <c r="I499" s="270"/>
      <c r="K499" s="264"/>
      <c r="L499" s="264"/>
    </row>
    <row r="500" spans="1:12" ht="12.6" customHeight="1" x14ac:dyDescent="0.25">
      <c r="A500" s="180" t="s">
        <v>515</v>
      </c>
      <c r="B500" s="243">
        <v>0</v>
      </c>
      <c r="C500" s="243">
        <f>F72</f>
        <v>4276150</v>
      </c>
      <c r="D500" s="243">
        <v>0</v>
      </c>
      <c r="E500" s="180">
        <f>F59</f>
        <v>1814</v>
      </c>
      <c r="F500" s="266" t="str">
        <f t="shared" si="14"/>
        <v/>
      </c>
      <c r="G500" s="266">
        <f t="shared" si="14"/>
        <v>2357.3042998897463</v>
      </c>
      <c r="H500" s="268" t="str">
        <f t="shared" si="15"/>
        <v/>
      </c>
      <c r="I500" s="270"/>
      <c r="K500" s="264"/>
      <c r="L500" s="264"/>
    </row>
    <row r="501" spans="1:12" ht="12.6" customHeight="1" x14ac:dyDescent="0.25">
      <c r="A501" s="180" t="s">
        <v>516</v>
      </c>
      <c r="B501" s="243">
        <v>0</v>
      </c>
      <c r="C501" s="243">
        <f>G72</f>
        <v>0</v>
      </c>
      <c r="D501" s="243">
        <v>0</v>
      </c>
      <c r="E501" s="180">
        <f>G59</f>
        <v>0</v>
      </c>
      <c r="F501" s="266" t="str">
        <f t="shared" si="14"/>
        <v/>
      </c>
      <c r="G501" s="266" t="str">
        <f t="shared" si="14"/>
        <v/>
      </c>
      <c r="H501" s="268" t="str">
        <f t="shared" si="15"/>
        <v/>
      </c>
      <c r="I501" s="270"/>
      <c r="K501" s="264"/>
      <c r="L501" s="264"/>
    </row>
    <row r="502" spans="1:12" ht="12.6" customHeight="1" x14ac:dyDescent="0.25">
      <c r="A502" s="180" t="s">
        <v>517</v>
      </c>
      <c r="B502" s="243">
        <v>2945804</v>
      </c>
      <c r="C502" s="243">
        <f>H72</f>
        <v>0</v>
      </c>
      <c r="D502" s="243">
        <v>4243</v>
      </c>
      <c r="E502" s="180">
        <f>H59</f>
        <v>0</v>
      </c>
      <c r="F502" s="266">
        <f t="shared" si="14"/>
        <v>694.27386283290127</v>
      </c>
      <c r="G502" s="266" t="str">
        <f t="shared" si="14"/>
        <v/>
      </c>
      <c r="H502" s="268" t="str">
        <f t="shared" si="15"/>
        <v/>
      </c>
      <c r="I502" s="270"/>
      <c r="K502" s="264"/>
      <c r="L502" s="264"/>
    </row>
    <row r="503" spans="1:12" ht="12.6" customHeight="1" x14ac:dyDescent="0.25">
      <c r="A503" s="180" t="s">
        <v>518</v>
      </c>
      <c r="B503" s="243">
        <v>0</v>
      </c>
      <c r="C503" s="243">
        <f>I72</f>
        <v>0</v>
      </c>
      <c r="D503" s="243">
        <v>0</v>
      </c>
      <c r="E503" s="180">
        <f>I59</f>
        <v>0</v>
      </c>
      <c r="F503" s="266" t="str">
        <f t="shared" si="14"/>
        <v/>
      </c>
      <c r="G503" s="266" t="str">
        <f t="shared" si="14"/>
        <v/>
      </c>
      <c r="H503" s="268" t="str">
        <f t="shared" si="15"/>
        <v/>
      </c>
      <c r="I503" s="270"/>
      <c r="K503" s="264"/>
      <c r="L503" s="264"/>
    </row>
    <row r="504" spans="1:12" ht="12.6" customHeight="1" x14ac:dyDescent="0.25">
      <c r="A504" s="180" t="s">
        <v>519</v>
      </c>
      <c r="B504" s="243">
        <v>0</v>
      </c>
      <c r="C504" s="243">
        <f>J72</f>
        <v>52318</v>
      </c>
      <c r="D504" s="243">
        <v>0</v>
      </c>
      <c r="E504" s="180">
        <f>J59</f>
        <v>127</v>
      </c>
      <c r="F504" s="266" t="str">
        <f t="shared" si="14"/>
        <v/>
      </c>
      <c r="G504" s="266">
        <f t="shared" si="14"/>
        <v>411.95275590551182</v>
      </c>
      <c r="H504" s="268" t="str">
        <f t="shared" si="15"/>
        <v/>
      </c>
      <c r="I504" s="270"/>
      <c r="K504" s="264"/>
      <c r="L504" s="264"/>
    </row>
    <row r="505" spans="1:12" ht="12.6" customHeight="1" x14ac:dyDescent="0.25">
      <c r="A505" s="180" t="s">
        <v>520</v>
      </c>
      <c r="B505" s="243">
        <v>0</v>
      </c>
      <c r="C505" s="243">
        <f>K72</f>
        <v>0</v>
      </c>
      <c r="D505" s="243">
        <v>0</v>
      </c>
      <c r="E505" s="180">
        <f>K59</f>
        <v>0</v>
      </c>
      <c r="F505" s="266" t="str">
        <f t="shared" si="14"/>
        <v/>
      </c>
      <c r="G505" s="266" t="str">
        <f t="shared" si="14"/>
        <v/>
      </c>
      <c r="H505" s="268" t="str">
        <f t="shared" si="15"/>
        <v/>
      </c>
      <c r="I505" s="270"/>
      <c r="K505" s="264"/>
      <c r="L505" s="264"/>
    </row>
    <row r="506" spans="1:12" ht="12.6" customHeight="1" x14ac:dyDescent="0.25">
      <c r="A506" s="180" t="s">
        <v>521</v>
      </c>
      <c r="B506" s="243">
        <v>0</v>
      </c>
      <c r="C506" s="243">
        <f>L72</f>
        <v>0</v>
      </c>
      <c r="D506" s="243">
        <v>0</v>
      </c>
      <c r="E506" s="180">
        <f>L59</f>
        <v>0</v>
      </c>
      <c r="F506" s="266" t="str">
        <f t="shared" si="14"/>
        <v/>
      </c>
      <c r="G506" s="266" t="str">
        <f t="shared" si="14"/>
        <v/>
      </c>
      <c r="H506" s="268" t="str">
        <f t="shared" si="15"/>
        <v/>
      </c>
      <c r="I506" s="270"/>
      <c r="K506" s="264"/>
      <c r="L506" s="264"/>
    </row>
    <row r="507" spans="1:12" ht="12.6" customHeight="1" x14ac:dyDescent="0.25">
      <c r="A507" s="180" t="s">
        <v>522</v>
      </c>
      <c r="B507" s="243">
        <v>0</v>
      </c>
      <c r="C507" s="243">
        <f>M72</f>
        <v>0</v>
      </c>
      <c r="D507" s="243">
        <v>0</v>
      </c>
      <c r="E507" s="180">
        <f>M59</f>
        <v>0</v>
      </c>
      <c r="F507" s="266" t="str">
        <f t="shared" si="14"/>
        <v/>
      </c>
      <c r="G507" s="266" t="str">
        <f t="shared" si="14"/>
        <v/>
      </c>
      <c r="H507" s="268" t="str">
        <f t="shared" si="15"/>
        <v/>
      </c>
      <c r="I507" s="270"/>
      <c r="K507" s="264"/>
      <c r="L507" s="264"/>
    </row>
    <row r="508" spans="1:12" ht="12.6" customHeight="1" x14ac:dyDescent="0.25">
      <c r="A508" s="180" t="s">
        <v>523</v>
      </c>
      <c r="B508" s="243">
        <v>0</v>
      </c>
      <c r="C508" s="243">
        <f>N72</f>
        <v>0</v>
      </c>
      <c r="D508" s="243">
        <v>0</v>
      </c>
      <c r="E508" s="180">
        <f>N59</f>
        <v>0</v>
      </c>
      <c r="F508" s="266" t="str">
        <f t="shared" si="14"/>
        <v/>
      </c>
      <c r="G508" s="266" t="str">
        <f t="shared" si="14"/>
        <v/>
      </c>
      <c r="H508" s="268" t="str">
        <f t="shared" si="15"/>
        <v/>
      </c>
      <c r="I508" s="270"/>
      <c r="K508" s="264"/>
      <c r="L508" s="264"/>
    </row>
    <row r="509" spans="1:12" ht="12.6" customHeight="1" x14ac:dyDescent="0.25">
      <c r="A509" s="180" t="s">
        <v>524</v>
      </c>
      <c r="B509" s="243">
        <v>8566030</v>
      </c>
      <c r="C509" s="243">
        <f>O72</f>
        <v>149934</v>
      </c>
      <c r="D509" s="243">
        <v>3648</v>
      </c>
      <c r="E509" s="180">
        <f>O59</f>
        <v>1027</v>
      </c>
      <c r="F509" s="266">
        <f t="shared" si="14"/>
        <v>2348.1441885964914</v>
      </c>
      <c r="G509" s="266">
        <f t="shared" si="14"/>
        <v>145.99221032132425</v>
      </c>
      <c r="H509" s="268">
        <f t="shared" si="15"/>
        <v>-0.93782655638000445</v>
      </c>
      <c r="I509" s="270"/>
      <c r="K509" s="264"/>
      <c r="L509" s="264"/>
    </row>
    <row r="510" spans="1:12" ht="12.6" customHeight="1" x14ac:dyDescent="0.25">
      <c r="A510" s="180" t="s">
        <v>525</v>
      </c>
      <c r="B510" s="243">
        <v>46359899</v>
      </c>
      <c r="C510" s="243">
        <f>P72</f>
        <v>3416957</v>
      </c>
      <c r="D510" s="243">
        <v>1391652</v>
      </c>
      <c r="E510" s="180">
        <f>P59</f>
        <v>245887</v>
      </c>
      <c r="F510" s="266">
        <f t="shared" si="14"/>
        <v>33.312853357017417</v>
      </c>
      <c r="G510" s="266">
        <f t="shared" si="14"/>
        <v>13.896452435468325</v>
      </c>
      <c r="H510" s="268">
        <f t="shared" si="15"/>
        <v>-0.58285013035243316</v>
      </c>
      <c r="I510" s="270"/>
      <c r="K510" s="264"/>
      <c r="L510" s="264"/>
    </row>
    <row r="511" spans="1:12" ht="12.6" customHeight="1" x14ac:dyDescent="0.25">
      <c r="A511" s="180" t="s">
        <v>526</v>
      </c>
      <c r="B511" s="243">
        <v>3671387</v>
      </c>
      <c r="C511" s="243">
        <f>Q72</f>
        <v>510292</v>
      </c>
      <c r="D511" s="243">
        <v>693702</v>
      </c>
      <c r="E511" s="180">
        <f>Q59</f>
        <v>111885</v>
      </c>
      <c r="F511" s="266">
        <f t="shared" si="14"/>
        <v>5.2924555500776993</v>
      </c>
      <c r="G511" s="266">
        <f t="shared" si="14"/>
        <v>4.5608615989632213</v>
      </c>
      <c r="H511" s="268" t="str">
        <f t="shared" si="15"/>
        <v/>
      </c>
      <c r="I511" s="270"/>
      <c r="K511" s="264"/>
      <c r="L511" s="264"/>
    </row>
    <row r="512" spans="1:12" ht="12.6" customHeight="1" x14ac:dyDescent="0.25">
      <c r="A512" s="180" t="s">
        <v>527</v>
      </c>
      <c r="B512" s="243">
        <v>2026281</v>
      </c>
      <c r="C512" s="243">
        <f>R72</f>
        <v>2650521</v>
      </c>
      <c r="D512" s="243">
        <v>1385678</v>
      </c>
      <c r="E512" s="180">
        <f>R59</f>
        <v>188967</v>
      </c>
      <c r="F512" s="266">
        <f t="shared" si="14"/>
        <v>1.4623029304066313</v>
      </c>
      <c r="G512" s="266">
        <f t="shared" si="14"/>
        <v>14.026369683595549</v>
      </c>
      <c r="H512" s="268">
        <f t="shared" si="15"/>
        <v>8.5919726288828215</v>
      </c>
      <c r="I512" s="270"/>
      <c r="K512" s="264"/>
      <c r="L512" s="264"/>
    </row>
    <row r="513" spans="1:12" ht="12.6" customHeight="1" x14ac:dyDescent="0.25">
      <c r="A513" s="180" t="s">
        <v>528</v>
      </c>
      <c r="B513" s="243">
        <v>5731579</v>
      </c>
      <c r="C513" s="243">
        <f>S72</f>
        <v>3905134</v>
      </c>
      <c r="D513" s="181" t="s">
        <v>529</v>
      </c>
      <c r="E513" s="181" t="s">
        <v>529</v>
      </c>
      <c r="F513" s="266" t="str">
        <f t="shared" ref="F513:G528" si="16">IF(B513=0,"",IF(D513=0,"",B513/D513))</f>
        <v/>
      </c>
      <c r="G513" s="266" t="str">
        <f t="shared" si="16"/>
        <v/>
      </c>
      <c r="H513" s="268" t="str">
        <f t="shared" si="15"/>
        <v/>
      </c>
      <c r="I513" s="270"/>
      <c r="K513" s="264"/>
      <c r="L513" s="264"/>
    </row>
    <row r="514" spans="1:12" ht="12.6" customHeight="1" x14ac:dyDescent="0.25">
      <c r="A514" s="180" t="s">
        <v>1246</v>
      </c>
      <c r="B514" s="243">
        <v>8670551</v>
      </c>
      <c r="C514" s="243">
        <f>T72</f>
        <v>0</v>
      </c>
      <c r="D514" s="181" t="s">
        <v>529</v>
      </c>
      <c r="E514" s="181" t="s">
        <v>529</v>
      </c>
      <c r="F514" s="266" t="str">
        <f t="shared" si="16"/>
        <v/>
      </c>
      <c r="G514" s="266" t="str">
        <f t="shared" si="16"/>
        <v/>
      </c>
      <c r="H514" s="268" t="str">
        <f t="shared" si="15"/>
        <v/>
      </c>
      <c r="I514" s="270"/>
      <c r="K514" s="264"/>
      <c r="L514" s="264"/>
    </row>
    <row r="515" spans="1:12" ht="12.6" customHeight="1" x14ac:dyDescent="0.25">
      <c r="A515" s="180" t="s">
        <v>530</v>
      </c>
      <c r="B515" s="243">
        <v>15012657</v>
      </c>
      <c r="C515" s="243">
        <f>U72</f>
        <v>2934402</v>
      </c>
      <c r="D515" s="243">
        <v>1204214</v>
      </c>
      <c r="E515" s="180">
        <f>U59</f>
        <v>401004</v>
      </c>
      <c r="F515" s="266">
        <f t="shared" si="16"/>
        <v>12.466768365091255</v>
      </c>
      <c r="G515" s="266">
        <f t="shared" si="16"/>
        <v>7.3176377292994585</v>
      </c>
      <c r="H515" s="268">
        <f t="shared" si="15"/>
        <v>-0.41302849984845336</v>
      </c>
      <c r="I515" s="270"/>
      <c r="K515" s="264"/>
      <c r="L515" s="264"/>
    </row>
    <row r="516" spans="1:12" ht="12.6" customHeight="1" x14ac:dyDescent="0.25">
      <c r="A516" s="180" t="s">
        <v>531</v>
      </c>
      <c r="B516" s="243">
        <v>625057</v>
      </c>
      <c r="C516" s="243">
        <f>V72</f>
        <v>21675</v>
      </c>
      <c r="D516" s="243">
        <v>23863</v>
      </c>
      <c r="E516" s="180">
        <f>V59</f>
        <v>836</v>
      </c>
      <c r="F516" s="266">
        <f t="shared" si="16"/>
        <v>26.193563256924946</v>
      </c>
      <c r="G516" s="266">
        <f t="shared" si="16"/>
        <v>25.927033492822968</v>
      </c>
      <c r="H516" s="268" t="str">
        <f t="shared" si="15"/>
        <v/>
      </c>
      <c r="I516" s="270"/>
      <c r="K516" s="264"/>
      <c r="L516" s="264"/>
    </row>
    <row r="517" spans="1:12" ht="12.6" customHeight="1" x14ac:dyDescent="0.25">
      <c r="A517" s="180" t="s">
        <v>532</v>
      </c>
      <c r="B517" s="243">
        <v>3024844</v>
      </c>
      <c r="C517" s="243">
        <f>W72</f>
        <v>580533</v>
      </c>
      <c r="D517" s="243">
        <v>136581</v>
      </c>
      <c r="E517" s="180">
        <f>W59</f>
        <v>9935</v>
      </c>
      <c r="F517" s="266">
        <f t="shared" si="16"/>
        <v>22.146887195144274</v>
      </c>
      <c r="G517" s="266">
        <f t="shared" si="16"/>
        <v>58.433115249119275</v>
      </c>
      <c r="H517" s="268">
        <f t="shared" si="15"/>
        <v>1.6384346808760912</v>
      </c>
      <c r="I517" s="270"/>
      <c r="K517" s="264"/>
      <c r="L517" s="264"/>
    </row>
    <row r="518" spans="1:12" ht="12.6" customHeight="1" x14ac:dyDescent="0.25">
      <c r="A518" s="180" t="s">
        <v>533</v>
      </c>
      <c r="B518" s="243">
        <v>2350447</v>
      </c>
      <c r="C518" s="243">
        <f>X72</f>
        <v>384586</v>
      </c>
      <c r="D518" s="243">
        <v>138430</v>
      </c>
      <c r="E518" s="180">
        <f>X59</f>
        <v>6143</v>
      </c>
      <c r="F518" s="266">
        <f t="shared" si="16"/>
        <v>16.979318066893015</v>
      </c>
      <c r="G518" s="266">
        <f t="shared" si="16"/>
        <v>62.605567312388082</v>
      </c>
      <c r="H518" s="268">
        <f t="shared" si="15"/>
        <v>2.6871661786263985</v>
      </c>
      <c r="I518" s="270"/>
      <c r="K518" s="264"/>
      <c r="L518" s="264"/>
    </row>
    <row r="519" spans="1:12" ht="12.6" customHeight="1" x14ac:dyDescent="0.25">
      <c r="A519" s="180" t="s">
        <v>534</v>
      </c>
      <c r="B519" s="243">
        <v>8956392</v>
      </c>
      <c r="C519" s="243">
        <f>Y72</f>
        <v>1638891</v>
      </c>
      <c r="D519" s="243">
        <v>146839</v>
      </c>
      <c r="E519" s="180">
        <f>Y59</f>
        <v>34062</v>
      </c>
      <c r="F519" s="266">
        <f t="shared" si="16"/>
        <v>60.994640388452659</v>
      </c>
      <c r="G519" s="266">
        <f t="shared" si="16"/>
        <v>48.114937466971995</v>
      </c>
      <c r="H519" s="268" t="str">
        <f t="shared" si="15"/>
        <v/>
      </c>
      <c r="I519" s="270"/>
      <c r="K519" s="264"/>
      <c r="L519" s="264"/>
    </row>
    <row r="520" spans="1:12" ht="12.6" customHeight="1" x14ac:dyDescent="0.25">
      <c r="A520" s="180" t="s">
        <v>535</v>
      </c>
      <c r="B520" s="243">
        <v>17585421</v>
      </c>
      <c r="C520" s="243">
        <f>Z72</f>
        <v>0</v>
      </c>
      <c r="D520" s="243">
        <v>24260</v>
      </c>
      <c r="E520" s="180">
        <f>Z59</f>
        <v>0</v>
      </c>
      <c r="F520" s="266">
        <f t="shared" si="16"/>
        <v>724.87308326463312</v>
      </c>
      <c r="G520" s="266" t="str">
        <f t="shared" si="16"/>
        <v/>
      </c>
      <c r="H520" s="268" t="str">
        <f t="shared" si="15"/>
        <v/>
      </c>
      <c r="I520" s="270"/>
      <c r="K520" s="264"/>
      <c r="L520" s="264"/>
    </row>
    <row r="521" spans="1:12" ht="12.6" customHeight="1" x14ac:dyDescent="0.25">
      <c r="A521" s="180" t="s">
        <v>536</v>
      </c>
      <c r="B521" s="243">
        <v>2093570</v>
      </c>
      <c r="C521" s="243">
        <f>AA72</f>
        <v>238239</v>
      </c>
      <c r="D521" s="243">
        <v>38874.47</v>
      </c>
      <c r="E521" s="180">
        <f>AA59</f>
        <v>1613</v>
      </c>
      <c r="F521" s="266">
        <f t="shared" si="16"/>
        <v>53.854624899066145</v>
      </c>
      <c r="G521" s="266">
        <f t="shared" si="16"/>
        <v>147.69931804091755</v>
      </c>
      <c r="H521" s="268">
        <f t="shared" si="15"/>
        <v>1.7425558773779279</v>
      </c>
      <c r="I521" s="270"/>
      <c r="K521" s="264"/>
      <c r="L521" s="264"/>
    </row>
    <row r="522" spans="1:12" ht="12.6" customHeight="1" x14ac:dyDescent="0.25">
      <c r="A522" s="180" t="s">
        <v>537</v>
      </c>
      <c r="B522" s="243">
        <v>11973528</v>
      </c>
      <c r="C522" s="243">
        <f>AB72</f>
        <v>3433461</v>
      </c>
      <c r="D522" s="181" t="s">
        <v>529</v>
      </c>
      <c r="E522" s="181" t="s">
        <v>529</v>
      </c>
      <c r="F522" s="266" t="str">
        <f t="shared" si="16"/>
        <v/>
      </c>
      <c r="G522" s="266" t="str">
        <f t="shared" si="16"/>
        <v/>
      </c>
      <c r="H522" s="268" t="str">
        <f t="shared" si="15"/>
        <v/>
      </c>
      <c r="I522" s="270"/>
      <c r="K522" s="264"/>
      <c r="L522" s="264"/>
    </row>
    <row r="523" spans="1:12" ht="12.6" customHeight="1" x14ac:dyDescent="0.25">
      <c r="A523" s="180" t="s">
        <v>538</v>
      </c>
      <c r="B523" s="243">
        <v>2657104</v>
      </c>
      <c r="C523" s="243">
        <f>AC72</f>
        <v>629178</v>
      </c>
      <c r="D523" s="243">
        <v>0</v>
      </c>
      <c r="E523" s="180">
        <f>AC59</f>
        <v>14004</v>
      </c>
      <c r="F523" s="266" t="str">
        <f t="shared" si="16"/>
        <v/>
      </c>
      <c r="G523" s="266">
        <f t="shared" si="16"/>
        <v>44.928449014567263</v>
      </c>
      <c r="H523" s="268" t="str">
        <f t="shared" si="15"/>
        <v/>
      </c>
      <c r="I523" s="270"/>
      <c r="K523" s="264"/>
      <c r="L523" s="264"/>
    </row>
    <row r="524" spans="1:12" ht="12.6" customHeight="1" x14ac:dyDescent="0.25">
      <c r="A524" s="180" t="s">
        <v>539</v>
      </c>
      <c r="B524" s="243">
        <v>564627</v>
      </c>
      <c r="C524" s="243">
        <f>AD72</f>
        <v>0</v>
      </c>
      <c r="D524" s="243">
        <v>0</v>
      </c>
      <c r="E524" s="180">
        <f>AD59</f>
        <v>0</v>
      </c>
      <c r="F524" s="266" t="str">
        <f t="shared" si="16"/>
        <v/>
      </c>
      <c r="G524" s="266" t="str">
        <f t="shared" si="16"/>
        <v/>
      </c>
      <c r="H524" s="268" t="str">
        <f t="shared" si="15"/>
        <v/>
      </c>
      <c r="I524" s="270"/>
      <c r="K524" s="264"/>
      <c r="L524" s="264"/>
    </row>
    <row r="525" spans="1:12" ht="12.6" customHeight="1" x14ac:dyDescent="0.25">
      <c r="A525" s="180" t="s">
        <v>540</v>
      </c>
      <c r="B525" s="243">
        <v>2474179</v>
      </c>
      <c r="C525" s="243">
        <f>AE72</f>
        <v>685937</v>
      </c>
      <c r="D525" s="243">
        <v>0</v>
      </c>
      <c r="E525" s="180">
        <f>AE59</f>
        <v>13679</v>
      </c>
      <c r="F525" s="266" t="str">
        <f t="shared" si="16"/>
        <v/>
      </c>
      <c r="G525" s="266">
        <f t="shared" si="16"/>
        <v>50.145259156371083</v>
      </c>
      <c r="H525" s="268" t="str">
        <f t="shared" si="15"/>
        <v/>
      </c>
      <c r="I525" s="270"/>
      <c r="K525" s="264"/>
      <c r="L525" s="264"/>
    </row>
    <row r="526" spans="1:12" ht="12.6" customHeight="1" x14ac:dyDescent="0.25">
      <c r="A526" s="180" t="s">
        <v>541</v>
      </c>
      <c r="B526" s="243">
        <v>3972673</v>
      </c>
      <c r="C526" s="243">
        <f>AF72</f>
        <v>0</v>
      </c>
      <c r="D526" s="243">
        <v>32902</v>
      </c>
      <c r="E526" s="180">
        <f>AF59</f>
        <v>0</v>
      </c>
      <c r="F526" s="266">
        <f t="shared" si="16"/>
        <v>120.74259923408911</v>
      </c>
      <c r="G526" s="266" t="str">
        <f t="shared" si="16"/>
        <v/>
      </c>
      <c r="H526" s="268" t="str">
        <f t="shared" si="15"/>
        <v/>
      </c>
      <c r="I526" s="270"/>
      <c r="K526" s="264"/>
      <c r="L526" s="264"/>
    </row>
    <row r="527" spans="1:12" ht="12.6" customHeight="1" x14ac:dyDescent="0.25">
      <c r="A527" s="180" t="s">
        <v>542</v>
      </c>
      <c r="B527" s="243">
        <v>11843440</v>
      </c>
      <c r="C527" s="243">
        <f>AG72</f>
        <v>5902410</v>
      </c>
      <c r="D527" s="243">
        <v>44098</v>
      </c>
      <c r="E527" s="180">
        <f>AG59</f>
        <v>20292</v>
      </c>
      <c r="F527" s="266">
        <f t="shared" si="16"/>
        <v>268.5709102453626</v>
      </c>
      <c r="G527" s="266">
        <f t="shared" si="16"/>
        <v>290.87374334713189</v>
      </c>
      <c r="H527" s="268" t="str">
        <f t="shared" si="15"/>
        <v/>
      </c>
      <c r="I527" s="270"/>
      <c r="K527" s="264"/>
      <c r="L527" s="264"/>
    </row>
    <row r="528" spans="1:12" ht="12.6" customHeight="1" x14ac:dyDescent="0.25">
      <c r="A528" s="180" t="s">
        <v>543</v>
      </c>
      <c r="B528" s="243">
        <v>0</v>
      </c>
      <c r="C528" s="243">
        <f>AH72</f>
        <v>0</v>
      </c>
      <c r="D528" s="243">
        <v>0</v>
      </c>
      <c r="E528" s="180">
        <f>AH59</f>
        <v>0</v>
      </c>
      <c r="F528" s="266" t="str">
        <f t="shared" si="16"/>
        <v/>
      </c>
      <c r="G528" s="266" t="str">
        <f t="shared" si="16"/>
        <v/>
      </c>
      <c r="H528" s="268" t="str">
        <f t="shared" si="15"/>
        <v/>
      </c>
      <c r="I528" s="270"/>
      <c r="K528" s="264"/>
      <c r="L528" s="264"/>
    </row>
    <row r="529" spans="1:12" ht="12.6" customHeight="1" x14ac:dyDescent="0.25">
      <c r="A529" s="180" t="s">
        <v>544</v>
      </c>
      <c r="B529" s="243">
        <v>0</v>
      </c>
      <c r="C529" s="243">
        <f>AI72</f>
        <v>1091401</v>
      </c>
      <c r="D529" s="243">
        <v>0</v>
      </c>
      <c r="E529" s="180">
        <f>AI59</f>
        <v>4439</v>
      </c>
      <c r="F529" s="266" t="str">
        <f t="shared" ref="F529:G541" si="17">IF(B529=0,"",IF(D529=0,"",B529/D529))</f>
        <v/>
      </c>
      <c r="G529" s="266">
        <f t="shared" si="17"/>
        <v>245.86641135390855</v>
      </c>
      <c r="H529" s="268" t="str">
        <f t="shared" si="15"/>
        <v/>
      </c>
      <c r="I529" s="270"/>
      <c r="K529" s="264"/>
      <c r="L529" s="264"/>
    </row>
    <row r="530" spans="1:12" ht="12.6" customHeight="1" x14ac:dyDescent="0.25">
      <c r="A530" s="180" t="s">
        <v>545</v>
      </c>
      <c r="B530" s="243">
        <v>2123212</v>
      </c>
      <c r="C530" s="243">
        <f>AJ72</f>
        <v>8424612</v>
      </c>
      <c r="D530" s="243">
        <v>23069</v>
      </c>
      <c r="E530" s="180">
        <f>AJ59</f>
        <v>37175</v>
      </c>
      <c r="F530" s="266">
        <f t="shared" si="17"/>
        <v>92.037452858814859</v>
      </c>
      <c r="G530" s="266">
        <f t="shared" si="17"/>
        <v>226.62036314727641</v>
      </c>
      <c r="H530" s="268">
        <f t="shared" si="15"/>
        <v>1.4622624389107255</v>
      </c>
      <c r="I530" s="270"/>
      <c r="K530" s="264"/>
      <c r="L530" s="264"/>
    </row>
    <row r="531" spans="1:12" ht="12.6" customHeight="1" x14ac:dyDescent="0.25">
      <c r="A531" s="180" t="s">
        <v>546</v>
      </c>
      <c r="B531" s="243">
        <v>468609</v>
      </c>
      <c r="C531" s="243">
        <f>AK72</f>
        <v>0</v>
      </c>
      <c r="D531" s="243">
        <v>0</v>
      </c>
      <c r="E531" s="180">
        <f>AK59</f>
        <v>0</v>
      </c>
      <c r="F531" s="266" t="str">
        <f t="shared" si="17"/>
        <v/>
      </c>
      <c r="G531" s="266" t="str">
        <f t="shared" si="17"/>
        <v/>
      </c>
      <c r="H531" s="268" t="str">
        <f t="shared" si="15"/>
        <v/>
      </c>
      <c r="I531" s="270"/>
      <c r="K531" s="264"/>
      <c r="L531" s="264"/>
    </row>
    <row r="532" spans="1:12" ht="12.6" customHeight="1" x14ac:dyDescent="0.25">
      <c r="A532" s="180" t="s">
        <v>547</v>
      </c>
      <c r="B532" s="243">
        <v>392840</v>
      </c>
      <c r="C532" s="243">
        <f>AL72</f>
        <v>13616</v>
      </c>
      <c r="D532" s="243">
        <v>0</v>
      </c>
      <c r="E532" s="180">
        <f>AL59</f>
        <v>273</v>
      </c>
      <c r="F532" s="266" t="str">
        <f t="shared" si="17"/>
        <v/>
      </c>
      <c r="G532" s="266">
        <f t="shared" si="17"/>
        <v>49.875457875457876</v>
      </c>
      <c r="H532" s="268" t="str">
        <f t="shared" si="15"/>
        <v/>
      </c>
      <c r="I532" s="270"/>
      <c r="K532" s="264"/>
      <c r="L532" s="264"/>
    </row>
    <row r="533" spans="1:12" ht="12.6" customHeight="1" x14ac:dyDescent="0.25">
      <c r="A533" s="180" t="s">
        <v>548</v>
      </c>
      <c r="B533" s="243">
        <v>0</v>
      </c>
      <c r="C533" s="243">
        <f>AM72</f>
        <v>0</v>
      </c>
      <c r="D533" s="243">
        <v>0</v>
      </c>
      <c r="E533" s="180">
        <f>AM59</f>
        <v>0</v>
      </c>
      <c r="F533" s="266" t="str">
        <f t="shared" si="17"/>
        <v/>
      </c>
      <c r="G533" s="266" t="str">
        <f t="shared" si="17"/>
        <v/>
      </c>
      <c r="H533" s="268" t="str">
        <f t="shared" si="15"/>
        <v/>
      </c>
      <c r="I533" s="270"/>
      <c r="K533" s="264"/>
      <c r="L533" s="264"/>
    </row>
    <row r="534" spans="1:12" ht="12.6" customHeight="1" x14ac:dyDescent="0.25">
      <c r="A534" s="180" t="s">
        <v>1247</v>
      </c>
      <c r="B534" s="243">
        <v>0</v>
      </c>
      <c r="C534" s="243">
        <f>AN72</f>
        <v>0</v>
      </c>
      <c r="D534" s="243">
        <v>0</v>
      </c>
      <c r="E534" s="180">
        <f>AN59</f>
        <v>0</v>
      </c>
      <c r="F534" s="266" t="str">
        <f t="shared" si="17"/>
        <v/>
      </c>
      <c r="G534" s="266" t="str">
        <f t="shared" si="17"/>
        <v/>
      </c>
      <c r="H534" s="268" t="str">
        <f t="shared" si="15"/>
        <v/>
      </c>
      <c r="I534" s="270"/>
      <c r="K534" s="264"/>
      <c r="L534" s="264"/>
    </row>
    <row r="535" spans="1:12" ht="12.6" customHeight="1" x14ac:dyDescent="0.25">
      <c r="A535" s="180" t="s">
        <v>549</v>
      </c>
      <c r="B535" s="243">
        <v>0</v>
      </c>
      <c r="C535" s="243">
        <f>AO72</f>
        <v>0</v>
      </c>
      <c r="D535" s="243">
        <v>0</v>
      </c>
      <c r="E535" s="180">
        <f>AO59</f>
        <v>0</v>
      </c>
      <c r="F535" s="266" t="str">
        <f t="shared" si="17"/>
        <v/>
      </c>
      <c r="G535" s="266" t="str">
        <f t="shared" si="17"/>
        <v/>
      </c>
      <c r="H535" s="268" t="str">
        <f t="shared" si="15"/>
        <v/>
      </c>
      <c r="I535" s="270"/>
      <c r="K535" s="264"/>
      <c r="L535" s="264"/>
    </row>
    <row r="536" spans="1:12" ht="12.6" customHeight="1" x14ac:dyDescent="0.25">
      <c r="A536" s="180" t="s">
        <v>550</v>
      </c>
      <c r="B536" s="243">
        <v>52726844</v>
      </c>
      <c r="C536" s="243">
        <f>AP72</f>
        <v>526887</v>
      </c>
      <c r="D536" s="243">
        <v>190475</v>
      </c>
      <c r="E536" s="180">
        <f>AP59</f>
        <v>7145</v>
      </c>
      <c r="F536" s="266">
        <f t="shared" si="17"/>
        <v>276.81766111038195</v>
      </c>
      <c r="G536" s="266">
        <f t="shared" si="17"/>
        <v>73.742057382785163</v>
      </c>
      <c r="H536" s="268">
        <f t="shared" si="15"/>
        <v>-0.73360783019772624</v>
      </c>
      <c r="I536" s="270"/>
      <c r="K536" s="264"/>
      <c r="L536" s="264"/>
    </row>
    <row r="537" spans="1:12" ht="12.6" customHeight="1" x14ac:dyDescent="0.25">
      <c r="A537" s="180" t="s">
        <v>551</v>
      </c>
      <c r="B537" s="243">
        <v>0</v>
      </c>
      <c r="C537" s="243">
        <f>AQ72</f>
        <v>0</v>
      </c>
      <c r="D537" s="243">
        <v>0</v>
      </c>
      <c r="E537" s="180">
        <f>AQ59</f>
        <v>0</v>
      </c>
      <c r="F537" s="266" t="str">
        <f t="shared" si="17"/>
        <v/>
      </c>
      <c r="G537" s="266" t="str">
        <f t="shared" si="17"/>
        <v/>
      </c>
      <c r="H537" s="268" t="str">
        <f t="shared" si="15"/>
        <v/>
      </c>
      <c r="I537" s="270"/>
      <c r="K537" s="264"/>
      <c r="L537" s="264"/>
    </row>
    <row r="538" spans="1:12" ht="12.6" customHeight="1" x14ac:dyDescent="0.25">
      <c r="A538" s="180" t="s">
        <v>552</v>
      </c>
      <c r="B538" s="243">
        <v>0</v>
      </c>
      <c r="C538" s="243">
        <f>AR72</f>
        <v>0</v>
      </c>
      <c r="D538" s="243">
        <v>0</v>
      </c>
      <c r="E538" s="180">
        <f>AR59</f>
        <v>0</v>
      </c>
      <c r="F538" s="266" t="str">
        <f t="shared" si="17"/>
        <v/>
      </c>
      <c r="G538" s="266" t="str">
        <f t="shared" si="17"/>
        <v/>
      </c>
      <c r="H538" s="268" t="str">
        <f t="shared" si="15"/>
        <v/>
      </c>
      <c r="I538" s="270"/>
      <c r="K538" s="264"/>
      <c r="L538" s="264"/>
    </row>
    <row r="539" spans="1:12" ht="12.6" customHeight="1" x14ac:dyDescent="0.25">
      <c r="A539" s="180" t="s">
        <v>553</v>
      </c>
      <c r="B539" s="243">
        <v>0</v>
      </c>
      <c r="C539" s="243">
        <f>AS72</f>
        <v>0</v>
      </c>
      <c r="D539" s="243">
        <v>0</v>
      </c>
      <c r="E539" s="180">
        <f>AS59</f>
        <v>0</v>
      </c>
      <c r="F539" s="266" t="str">
        <f t="shared" si="17"/>
        <v/>
      </c>
      <c r="G539" s="266" t="str">
        <f t="shared" si="17"/>
        <v/>
      </c>
      <c r="H539" s="268" t="str">
        <f t="shared" si="15"/>
        <v/>
      </c>
      <c r="I539" s="270"/>
      <c r="K539" s="264"/>
      <c r="L539" s="264"/>
    </row>
    <row r="540" spans="1:12" ht="12.6" customHeight="1" x14ac:dyDescent="0.25">
      <c r="A540" s="180" t="s">
        <v>554</v>
      </c>
      <c r="B540" s="243">
        <v>0</v>
      </c>
      <c r="C540" s="243">
        <f>AT72</f>
        <v>0</v>
      </c>
      <c r="D540" s="243">
        <v>0</v>
      </c>
      <c r="E540" s="180">
        <f>AT59</f>
        <v>0</v>
      </c>
      <c r="F540" s="266" t="str">
        <f t="shared" si="17"/>
        <v/>
      </c>
      <c r="G540" s="266" t="str">
        <f t="shared" si="17"/>
        <v/>
      </c>
      <c r="H540" s="268" t="str">
        <f t="shared" si="15"/>
        <v/>
      </c>
      <c r="I540" s="270"/>
      <c r="K540" s="264"/>
      <c r="L540" s="264"/>
    </row>
    <row r="541" spans="1:12" ht="12.6" customHeight="1" x14ac:dyDescent="0.25">
      <c r="A541" s="180" t="s">
        <v>555</v>
      </c>
      <c r="B541" s="243">
        <v>0</v>
      </c>
      <c r="C541" s="243">
        <f>AU72</f>
        <v>0</v>
      </c>
      <c r="D541" s="243">
        <v>0</v>
      </c>
      <c r="E541" s="180">
        <f>AU59</f>
        <v>0</v>
      </c>
      <c r="F541" s="266" t="str">
        <f t="shared" si="17"/>
        <v/>
      </c>
      <c r="G541" s="266" t="str">
        <f t="shared" si="17"/>
        <v/>
      </c>
      <c r="H541" s="268" t="str">
        <f t="shared" si="15"/>
        <v/>
      </c>
      <c r="I541" s="270"/>
      <c r="K541" s="264"/>
      <c r="L541" s="264"/>
    </row>
    <row r="542" spans="1:12" ht="12.6" customHeight="1" x14ac:dyDescent="0.25">
      <c r="A542" s="180" t="s">
        <v>556</v>
      </c>
      <c r="B542" s="243">
        <v>1983283</v>
      </c>
      <c r="C542" s="243">
        <f>AV72</f>
        <v>128441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1248</v>
      </c>
      <c r="B543" s="243">
        <v>96382</v>
      </c>
      <c r="C543" s="243">
        <f>AW72</f>
        <v>0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" customHeight="1" x14ac:dyDescent="0.25">
      <c r="A544" s="180" t="s">
        <v>557</v>
      </c>
      <c r="B544" s="243">
        <v>0</v>
      </c>
      <c r="C544" s="243">
        <f>AX72</f>
        <v>0</v>
      </c>
      <c r="D544" s="181" t="s">
        <v>529</v>
      </c>
      <c r="E544" s="181" t="s">
        <v>529</v>
      </c>
      <c r="F544" s="266"/>
      <c r="G544" s="266"/>
      <c r="H544" s="268"/>
      <c r="I544" s="270"/>
      <c r="K544" s="264"/>
      <c r="L544" s="264"/>
    </row>
    <row r="545" spans="1:13" ht="12.6" customHeight="1" x14ac:dyDescent="0.25">
      <c r="A545" s="180" t="s">
        <v>558</v>
      </c>
      <c r="B545" s="243">
        <v>646580</v>
      </c>
      <c r="C545" s="243">
        <f>AY72</f>
        <v>1584251</v>
      </c>
      <c r="D545" s="243">
        <v>285759</v>
      </c>
      <c r="E545" s="180">
        <f>AY59</f>
        <v>27498</v>
      </c>
      <c r="F545" s="266">
        <f t="shared" ref="F545:G551" si="18">IF(B545=0,"",IF(D545=0,"",B545/D545))</f>
        <v>2.2626758912230236</v>
      </c>
      <c r="G545" s="266">
        <f t="shared" si="18"/>
        <v>57.613317332169615</v>
      </c>
      <c r="H545" s="268">
        <f t="shared" si="15"/>
        <v>24.462470146808528</v>
      </c>
      <c r="I545" s="270"/>
      <c r="K545" s="264"/>
      <c r="L545" s="264"/>
    </row>
    <row r="546" spans="1:13" ht="12.6" customHeight="1" x14ac:dyDescent="0.25">
      <c r="A546" s="180" t="s">
        <v>559</v>
      </c>
      <c r="B546" s="243">
        <v>4466226</v>
      </c>
      <c r="C546" s="243">
        <f>AZ72</f>
        <v>0</v>
      </c>
      <c r="D546" s="243">
        <v>1081972</v>
      </c>
      <c r="E546" s="180">
        <f>AZ59</f>
        <v>27498</v>
      </c>
      <c r="F546" s="266">
        <f t="shared" si="18"/>
        <v>4.1278572828132338</v>
      </c>
      <c r="G546" s="266" t="str">
        <f t="shared" si="18"/>
        <v/>
      </c>
      <c r="H546" s="268" t="str">
        <f t="shared" si="15"/>
        <v/>
      </c>
      <c r="I546" s="270"/>
      <c r="K546" s="264"/>
      <c r="L546" s="264"/>
    </row>
    <row r="547" spans="1:13" ht="12.6" customHeight="1" x14ac:dyDescent="0.25">
      <c r="A547" s="180" t="s">
        <v>560</v>
      </c>
      <c r="B547" s="243">
        <v>276882</v>
      </c>
      <c r="C547" s="243">
        <f>BA72</f>
        <v>351543</v>
      </c>
      <c r="D547" s="243">
        <v>0</v>
      </c>
      <c r="E547" s="180">
        <f>BA59</f>
        <v>0</v>
      </c>
      <c r="F547" s="266" t="str">
        <f t="shared" si="18"/>
        <v/>
      </c>
      <c r="G547" s="266" t="str">
        <f t="shared" si="18"/>
        <v/>
      </c>
      <c r="H547" s="268" t="str">
        <f t="shared" si="15"/>
        <v/>
      </c>
      <c r="I547" s="270"/>
      <c r="K547" s="264"/>
      <c r="L547" s="264"/>
    </row>
    <row r="548" spans="1:13" ht="12.6" customHeight="1" x14ac:dyDescent="0.25">
      <c r="A548" s="180" t="s">
        <v>561</v>
      </c>
      <c r="B548" s="243">
        <v>2219789</v>
      </c>
      <c r="C548" s="243">
        <f>BB72</f>
        <v>1317600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562</v>
      </c>
      <c r="B549" s="243">
        <v>0</v>
      </c>
      <c r="C549" s="243">
        <f>BC72</f>
        <v>0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" customHeight="1" x14ac:dyDescent="0.25">
      <c r="A550" s="180" t="s">
        <v>563</v>
      </c>
      <c r="B550" s="243">
        <v>1192055</v>
      </c>
      <c r="C550" s="243">
        <f>BD72</f>
        <v>756235</v>
      </c>
      <c r="D550" s="181" t="s">
        <v>529</v>
      </c>
      <c r="E550" s="181" t="s">
        <v>529</v>
      </c>
      <c r="F550" s="266"/>
      <c r="G550" s="266"/>
      <c r="H550" s="268"/>
      <c r="I550" s="270"/>
      <c r="K550" s="264"/>
      <c r="L550" s="264"/>
    </row>
    <row r="551" spans="1:13" ht="12.6" customHeight="1" x14ac:dyDescent="0.25">
      <c r="A551" s="180" t="s">
        <v>564</v>
      </c>
      <c r="B551" s="243">
        <v>9757658</v>
      </c>
      <c r="C551" s="243">
        <f>BE72</f>
        <v>1860812</v>
      </c>
      <c r="D551" s="243">
        <v>564884</v>
      </c>
      <c r="E551" s="180">
        <f>BE59</f>
        <v>230046</v>
      </c>
      <c r="F551" s="266">
        <f t="shared" si="18"/>
        <v>17.27373761692666</v>
      </c>
      <c r="G551" s="266">
        <f t="shared" si="18"/>
        <v>8.0888691826852028</v>
      </c>
      <c r="H551" s="268">
        <f t="shared" si="15"/>
        <v>-0.53172443844701789</v>
      </c>
      <c r="I551" s="270"/>
      <c r="K551" s="264"/>
      <c r="L551" s="264"/>
    </row>
    <row r="552" spans="1:13" ht="12.6" customHeight="1" x14ac:dyDescent="0.25">
      <c r="A552" s="180" t="s">
        <v>565</v>
      </c>
      <c r="B552" s="243">
        <v>4700501</v>
      </c>
      <c r="C552" s="243">
        <f>BF72</f>
        <v>1467169</v>
      </c>
      <c r="D552" s="181" t="s">
        <v>529</v>
      </c>
      <c r="E552" s="181" t="s">
        <v>529</v>
      </c>
      <c r="F552" s="266"/>
      <c r="G552" s="266"/>
      <c r="H552" s="268"/>
      <c r="I552" s="270"/>
      <c r="J552" s="199"/>
      <c r="M552" s="268"/>
    </row>
    <row r="553" spans="1:13" ht="12.6" customHeight="1" x14ac:dyDescent="0.25">
      <c r="A553" s="180" t="s">
        <v>566</v>
      </c>
      <c r="B553" s="243">
        <v>610351</v>
      </c>
      <c r="C553" s="243">
        <f>BG72</f>
        <v>0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567</v>
      </c>
      <c r="B554" s="243">
        <v>28930273</v>
      </c>
      <c r="C554" s="243">
        <f>BH72</f>
        <v>3045637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568</v>
      </c>
      <c r="B555" s="243">
        <v>-11751</v>
      </c>
      <c r="C555" s="243">
        <f>BI72</f>
        <v>0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569</v>
      </c>
      <c r="B556" s="243">
        <v>1918608</v>
      </c>
      <c r="C556" s="243">
        <f>BJ72</f>
        <v>769934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570</v>
      </c>
      <c r="B557" s="243">
        <v>4520064</v>
      </c>
      <c r="C557" s="243">
        <f>BK72</f>
        <v>2810852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571</v>
      </c>
      <c r="B558" s="243">
        <v>5787754</v>
      </c>
      <c r="C558" s="243">
        <f>BL72</f>
        <v>815160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572</v>
      </c>
      <c r="B559" s="243">
        <v>0</v>
      </c>
      <c r="C559" s="243">
        <f>BM72</f>
        <v>233037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573</v>
      </c>
      <c r="B560" s="243">
        <v>8034118</v>
      </c>
      <c r="C560" s="243">
        <f>BN72</f>
        <v>3324982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574</v>
      </c>
      <c r="B561" s="243">
        <v>287037</v>
      </c>
      <c r="C561" s="243">
        <f>BO72</f>
        <v>60636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575</v>
      </c>
      <c r="B562" s="243">
        <v>2708727</v>
      </c>
      <c r="C562" s="243">
        <f>BP72</f>
        <v>775863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576</v>
      </c>
      <c r="B563" s="243">
        <v>1483071</v>
      </c>
      <c r="C563" s="243">
        <f>BQ72</f>
        <v>0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577</v>
      </c>
      <c r="B564" s="243">
        <v>3493607</v>
      </c>
      <c r="C564" s="243">
        <f>BR72</f>
        <v>1144105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1249</v>
      </c>
      <c r="B565" s="243">
        <v>72645</v>
      </c>
      <c r="C565" s="243">
        <f>BS72</f>
        <v>94874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578</v>
      </c>
      <c r="B566" s="243">
        <v>97302</v>
      </c>
      <c r="C566" s="243">
        <f>BT72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579</v>
      </c>
      <c r="B567" s="243">
        <v>0</v>
      </c>
      <c r="C567" s="243">
        <f>BU72</f>
        <v>8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580</v>
      </c>
      <c r="B568" s="243">
        <v>3525872</v>
      </c>
      <c r="C568" s="243">
        <f>BV72</f>
        <v>1652678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581</v>
      </c>
      <c r="B569" s="243">
        <v>1557491</v>
      </c>
      <c r="C569" s="243">
        <f>BW72</f>
        <v>232601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582</v>
      </c>
      <c r="B570" s="243">
        <v>773855</v>
      </c>
      <c r="C570" s="243">
        <f>BX72</f>
        <v>0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583</v>
      </c>
      <c r="B571" s="243">
        <v>4571883</v>
      </c>
      <c r="C571" s="243">
        <f>BY72</f>
        <v>399776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584</v>
      </c>
      <c r="B572" s="243">
        <v>599653</v>
      </c>
      <c r="C572" s="243">
        <f>BZ72</f>
        <v>167525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585</v>
      </c>
      <c r="B573" s="243">
        <v>1447841</v>
      </c>
      <c r="C573" s="243">
        <f>CA72</f>
        <v>146447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586</v>
      </c>
      <c r="B574" s="243">
        <v>983783</v>
      </c>
      <c r="C574" s="243">
        <f>CB72</f>
        <v>1908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" customHeight="1" x14ac:dyDescent="0.25">
      <c r="A575" s="180" t="s">
        <v>587</v>
      </c>
      <c r="B575" s="243">
        <v>8595100</v>
      </c>
      <c r="C575" s="243">
        <f>CC72</f>
        <v>610078</v>
      </c>
      <c r="D575" s="181" t="s">
        <v>529</v>
      </c>
      <c r="E575" s="181" t="s">
        <v>529</v>
      </c>
      <c r="F575" s="266"/>
      <c r="G575" s="266"/>
      <c r="H575" s="268"/>
      <c r="J575" s="199"/>
      <c r="M575" s="268"/>
    </row>
    <row r="576" spans="1:13" ht="12.6" customHeight="1" x14ac:dyDescent="0.25">
      <c r="A576" s="180" t="s">
        <v>588</v>
      </c>
      <c r="B576" s="243">
        <v>41487391</v>
      </c>
      <c r="C576" s="243">
        <f>CD72</f>
        <v>-2555384</v>
      </c>
      <c r="D576" s="181" t="s">
        <v>529</v>
      </c>
      <c r="E576" s="181" t="s">
        <v>529</v>
      </c>
      <c r="F576" s="266"/>
      <c r="G576" s="266"/>
      <c r="H576" s="268"/>
    </row>
    <row r="577" spans="13:13" ht="12.6" customHeight="1" x14ac:dyDescent="0.25">
      <c r="M577" s="268"/>
    </row>
    <row r="578" spans="13:13" ht="12.6" customHeight="1" x14ac:dyDescent="0.25">
      <c r="M578" s="268"/>
    </row>
    <row r="579" spans="13:13" ht="12.6" customHeight="1" x14ac:dyDescent="0.25">
      <c r="M579" s="268"/>
    </row>
    <row r="613" spans="1:14" ht="12.6" customHeight="1" x14ac:dyDescent="0.25">
      <c r="A613" s="196"/>
      <c r="C613" s="181" t="s">
        <v>589</v>
      </c>
      <c r="D613" s="180">
        <f>CE77-(BE77+CD77)</f>
        <v>205541</v>
      </c>
      <c r="E613" s="180">
        <f>SUM(C625:D648)+SUM(C669:D714)</f>
        <v>62709191.82348533</v>
      </c>
      <c r="F613" s="180">
        <f>CE64-(AX64+BD64+BE64+BG64+BJ64+BN64+BP64+BQ64+CB64+CC64+CD64)</f>
        <v>10120281</v>
      </c>
      <c r="G613" s="180">
        <f>CE78-(AX78+AY78+BD78+BE78+BG78+BJ78+BN78+BP78+BQ78+CB78+CC78+CD78)</f>
        <v>27498</v>
      </c>
      <c r="H613" s="197">
        <f>CE60-(AX60+AY60+AZ60+BD60+BE60+BG60+BJ60+BN60+BO60+BP60+BQ60+BR60+CB60+CC60+CD60)</f>
        <v>329.00999999999993</v>
      </c>
      <c r="I613" s="180">
        <f>CE79-(AX79+AY79+AZ79+BD79+BE79+BF79+BG79+BJ79+BN79+BO79+BP79+BQ79+BR79+CB79+CC79+CD79)</f>
        <v>156598</v>
      </c>
      <c r="J613" s="180">
        <f>CE80-(AX80+AY80+AZ80+BA80+BD80+BE80+BF80+BG80+BJ80+BN80+BO80+BP80+BQ80+BR80+CB80+CC80+CD80)</f>
        <v>308956</v>
      </c>
      <c r="K613" s="180">
        <f>CE76-(AW76+AX76+AY76+AZ76+BA76+BB76+BC76+BD76+BE76+BF76+BG76+BH76+BI76+BJ76+BK76+BL76+BM76+BN76+BO76+BP76+BQ76+BR76+BS76+BT76+BU76+BV76+BW76+BX76+CB76+CC76+CD76)</f>
        <v>204385398</v>
      </c>
      <c r="L613" s="197">
        <f>CE81-(AW81+AX81+AY81+AZ81+BA81+BB81+BC81+BD81+BE81+BF81+BG81+BH81+BI81+BJ81+BK81+BL81+BM81+BN81+BO81+BP81+BQ81+BR81+BS81+BT81+BU81+BV81+BW81+BX81+BY81+BZ81+CA81+CB81+CC81+CD81)</f>
        <v>115.97</v>
      </c>
    </row>
    <row r="614" spans="1:14" ht="12.6" customHeight="1" x14ac:dyDescent="0.25">
      <c r="A614" s="196"/>
      <c r="C614" s="181" t="s">
        <v>590</v>
      </c>
      <c r="D614" s="181" t="s">
        <v>591</v>
      </c>
      <c r="E614" s="198" t="s">
        <v>592</v>
      </c>
      <c r="F614" s="181" t="s">
        <v>593</v>
      </c>
      <c r="G614" s="181" t="s">
        <v>594</v>
      </c>
      <c r="H614" s="181" t="s">
        <v>595</v>
      </c>
      <c r="I614" s="181" t="s">
        <v>596</v>
      </c>
      <c r="J614" s="181" t="s">
        <v>597</v>
      </c>
      <c r="K614" s="181" t="s">
        <v>598</v>
      </c>
      <c r="L614" s="198" t="s">
        <v>599</v>
      </c>
    </row>
    <row r="615" spans="1:14" ht="12.6" customHeight="1" x14ac:dyDescent="0.25">
      <c r="A615" s="196">
        <v>8430</v>
      </c>
      <c r="B615" s="198" t="s">
        <v>140</v>
      </c>
      <c r="C615" s="180">
        <f>BE72</f>
        <v>1860812</v>
      </c>
      <c r="N615" s="199" t="s">
        <v>600</v>
      </c>
    </row>
    <row r="616" spans="1:14" ht="12.6" customHeight="1" x14ac:dyDescent="0.25">
      <c r="A616" s="196"/>
      <c r="B616" s="198" t="s">
        <v>601</v>
      </c>
      <c r="C616" s="180">
        <f>CD69+CD70-CD71</f>
        <v>-2555384</v>
      </c>
      <c r="D616" s="269">
        <f>SUM(C615:C616)</f>
        <v>-694572</v>
      </c>
      <c r="N616" s="199" t="s">
        <v>602</v>
      </c>
    </row>
    <row r="617" spans="1:14" ht="12.6" customHeight="1" x14ac:dyDescent="0.25">
      <c r="A617" s="196">
        <v>8310</v>
      </c>
      <c r="B617" s="200" t="s">
        <v>603</v>
      </c>
      <c r="C617" s="180">
        <f>AX72</f>
        <v>0</v>
      </c>
      <c r="D617" s="180">
        <f>(D616/D613)*AX77</f>
        <v>0</v>
      </c>
      <c r="N617" s="199" t="s">
        <v>604</v>
      </c>
    </row>
    <row r="618" spans="1:14" ht="12.6" customHeight="1" x14ac:dyDescent="0.25">
      <c r="A618" s="196">
        <v>8510</v>
      </c>
      <c r="B618" s="200" t="s">
        <v>145</v>
      </c>
      <c r="C618" s="180">
        <f>BJ72</f>
        <v>769934</v>
      </c>
      <c r="D618" s="180">
        <f>(D616/D613)*BJ77</f>
        <v>-4913.4123508205175</v>
      </c>
      <c r="N618" s="199" t="s">
        <v>605</v>
      </c>
    </row>
    <row r="619" spans="1:14" ht="12.6" customHeight="1" x14ac:dyDescent="0.25">
      <c r="A619" s="196">
        <v>8470</v>
      </c>
      <c r="B619" s="200" t="s">
        <v>606</v>
      </c>
      <c r="C619" s="180">
        <f>BG72</f>
        <v>0</v>
      </c>
      <c r="D619" s="180">
        <f>(D616/D613)*BG77</f>
        <v>0</v>
      </c>
      <c r="N619" s="199" t="s">
        <v>607</v>
      </c>
    </row>
    <row r="620" spans="1:14" ht="12.6" customHeight="1" x14ac:dyDescent="0.25">
      <c r="A620" s="196">
        <v>8610</v>
      </c>
      <c r="B620" s="200" t="s">
        <v>608</v>
      </c>
      <c r="C620" s="180">
        <f>BN72</f>
        <v>3324982</v>
      </c>
      <c r="D620" s="180">
        <f>(D616/D613)*BN77</f>
        <v>-96710.418203667388</v>
      </c>
      <c r="N620" s="199" t="s">
        <v>609</v>
      </c>
    </row>
    <row r="621" spans="1:14" ht="12.6" customHeight="1" x14ac:dyDescent="0.25">
      <c r="A621" s="196">
        <v>8790</v>
      </c>
      <c r="B621" s="200" t="s">
        <v>610</v>
      </c>
      <c r="C621" s="180">
        <f>CC72</f>
        <v>610078</v>
      </c>
      <c r="D621" s="180">
        <f>(D616/D613)*CC77</f>
        <v>-892.11888625627</v>
      </c>
      <c r="N621" s="199" t="s">
        <v>611</v>
      </c>
    </row>
    <row r="622" spans="1:14" ht="12.6" customHeight="1" x14ac:dyDescent="0.25">
      <c r="A622" s="196">
        <v>8630</v>
      </c>
      <c r="B622" s="200" t="s">
        <v>612</v>
      </c>
      <c r="C622" s="180">
        <f>BP72</f>
        <v>775863</v>
      </c>
      <c r="D622" s="180">
        <f>(D616/D613)*BP77</f>
        <v>-3946.9502240428915</v>
      </c>
      <c r="N622" s="199" t="s">
        <v>613</v>
      </c>
    </row>
    <row r="623" spans="1:14" ht="12.6" customHeight="1" x14ac:dyDescent="0.25">
      <c r="A623" s="196">
        <v>8770</v>
      </c>
      <c r="B623" s="198" t="s">
        <v>614</v>
      </c>
      <c r="C623" s="180">
        <f>CB72</f>
        <v>1908</v>
      </c>
      <c r="D623" s="180">
        <f>(D616/D613)*CB77</f>
        <v>-337.92382055161744</v>
      </c>
      <c r="N623" s="199" t="s">
        <v>615</v>
      </c>
    </row>
    <row r="624" spans="1:14" ht="12.6" customHeight="1" x14ac:dyDescent="0.25">
      <c r="A624" s="196">
        <v>8640</v>
      </c>
      <c r="B624" s="200" t="s">
        <v>616</v>
      </c>
      <c r="C624" s="180">
        <f>BQ72</f>
        <v>0</v>
      </c>
      <c r="D624" s="180">
        <f>(D616/D613)*BQ77</f>
        <v>0</v>
      </c>
      <c r="E624" s="180">
        <f>SUM(C617:D624)</f>
        <v>5375964.1765146619</v>
      </c>
      <c r="N624" s="199" t="s">
        <v>617</v>
      </c>
    </row>
    <row r="625" spans="1:14" ht="12.6" customHeight="1" x14ac:dyDescent="0.25">
      <c r="A625" s="196">
        <v>8420</v>
      </c>
      <c r="B625" s="200" t="s">
        <v>139</v>
      </c>
      <c r="C625" s="180">
        <f>BD72</f>
        <v>756235</v>
      </c>
      <c r="D625" s="180">
        <f>(D616/D613)*BD77</f>
        <v>-15885.798804131535</v>
      </c>
      <c r="E625" s="180">
        <f>(E624/E613)*SUM(C625:D625)</f>
        <v>63469.017348261281</v>
      </c>
      <c r="F625" s="180">
        <f>SUM(C625:E625)</f>
        <v>803818.21854412975</v>
      </c>
      <c r="N625" s="199" t="s">
        <v>618</v>
      </c>
    </row>
    <row r="626" spans="1:14" ht="12.6" customHeight="1" x14ac:dyDescent="0.25">
      <c r="A626" s="196">
        <v>8320</v>
      </c>
      <c r="B626" s="200" t="s">
        <v>135</v>
      </c>
      <c r="C626" s="180">
        <f>AY72</f>
        <v>1584251</v>
      </c>
      <c r="D626" s="180">
        <f>(D616/D613)*AY77</f>
        <v>-24915.123289270752</v>
      </c>
      <c r="E626" s="180">
        <f>(E624/E613)*SUM(C626:D626)</f>
        <v>133679.50644217132</v>
      </c>
      <c r="F626" s="180">
        <f>(F625/F613)*AY64</f>
        <v>37021.31415216309</v>
      </c>
      <c r="G626" s="180">
        <f>SUM(C626:F626)</f>
        <v>1730036.6973050635</v>
      </c>
      <c r="N626" s="199" t="s">
        <v>619</v>
      </c>
    </row>
    <row r="627" spans="1:14" ht="12.6" customHeight="1" x14ac:dyDescent="0.25">
      <c r="A627" s="196">
        <v>8650</v>
      </c>
      <c r="B627" s="200" t="s">
        <v>152</v>
      </c>
      <c r="C627" s="180">
        <f>BR72</f>
        <v>1144105</v>
      </c>
      <c r="D627" s="180">
        <f>(D616/D613)*BR77</f>
        <v>-5531.8129424299768</v>
      </c>
      <c r="E627" s="180">
        <f>(E624/E613)*SUM(C627:D627)</f>
        <v>97608.157400447701</v>
      </c>
      <c r="F627" s="180">
        <f>(F625/F613)*BR64</f>
        <v>611.9809690938938</v>
      </c>
      <c r="G627" s="180">
        <f>(G626/G613)*BR78</f>
        <v>0</v>
      </c>
      <c r="N627" s="199" t="s">
        <v>620</v>
      </c>
    </row>
    <row r="628" spans="1:14" ht="12.6" customHeight="1" x14ac:dyDescent="0.25">
      <c r="A628" s="196">
        <v>8620</v>
      </c>
      <c r="B628" s="198" t="s">
        <v>621</v>
      </c>
      <c r="C628" s="180">
        <f>BO72</f>
        <v>60636</v>
      </c>
      <c r="D628" s="180">
        <f>(D616/D613)*BO77</f>
        <v>-692.74383213081569</v>
      </c>
      <c r="E628" s="180">
        <f>(E624/E613)*SUM(C628:D628)</f>
        <v>5138.8446958332324</v>
      </c>
      <c r="F628" s="180">
        <f>(F625/F613)*BO64</f>
        <v>2158.65266424839</v>
      </c>
      <c r="G628" s="180">
        <f>(G626/G613)*BO78</f>
        <v>0</v>
      </c>
      <c r="N628" s="199" t="s">
        <v>622</v>
      </c>
    </row>
    <row r="629" spans="1:14" ht="12.6" customHeight="1" x14ac:dyDescent="0.25">
      <c r="A629" s="196">
        <v>8330</v>
      </c>
      <c r="B629" s="200" t="s">
        <v>136</v>
      </c>
      <c r="C629" s="180">
        <f>AZ72</f>
        <v>0</v>
      </c>
      <c r="D629" s="180">
        <f>(D616/D613)*AZ77</f>
        <v>0</v>
      </c>
      <c r="E629" s="180">
        <f>(E624/E613)*SUM(C629:D629)</f>
        <v>0</v>
      </c>
      <c r="F629" s="180">
        <f>(F625/F613)*AZ64</f>
        <v>0</v>
      </c>
      <c r="G629" s="180">
        <f>(G626/G613)*AZ78</f>
        <v>0</v>
      </c>
      <c r="H629" s="180">
        <f>SUM(C627:G629)</f>
        <v>1304034.0789550624</v>
      </c>
      <c r="N629" s="199" t="s">
        <v>623</v>
      </c>
    </row>
    <row r="630" spans="1:14" ht="12.6" customHeight="1" x14ac:dyDescent="0.25">
      <c r="A630" s="196">
        <v>8460</v>
      </c>
      <c r="B630" s="200" t="s">
        <v>141</v>
      </c>
      <c r="C630" s="180">
        <f>BF72</f>
        <v>1467169</v>
      </c>
      <c r="D630" s="180">
        <f>(D616/D613)*BF77</f>
        <v>-11563.753139276349</v>
      </c>
      <c r="E630" s="180">
        <f>(E624/E613)*SUM(C630:D630)</f>
        <v>124786.8364225892</v>
      </c>
      <c r="F630" s="180">
        <f>(F625/F613)*BF64</f>
        <v>9504.0922492934751</v>
      </c>
      <c r="G630" s="180">
        <f>(G626/G613)*BF78</f>
        <v>0</v>
      </c>
      <c r="H630" s="180">
        <f>(H629/H613)*BF60</f>
        <v>90130.193475694119</v>
      </c>
      <c r="I630" s="180">
        <f>SUM(C630:H630)</f>
        <v>1680026.3690083006</v>
      </c>
      <c r="N630" s="199" t="s">
        <v>624</v>
      </c>
    </row>
    <row r="631" spans="1:14" ht="12.6" customHeight="1" x14ac:dyDescent="0.25">
      <c r="A631" s="196">
        <v>8350</v>
      </c>
      <c r="B631" s="200" t="s">
        <v>625</v>
      </c>
      <c r="C631" s="180">
        <f>BA72</f>
        <v>351543</v>
      </c>
      <c r="D631" s="180">
        <f>(D616/D613)*BA77</f>
        <v>-2220.1595010241267</v>
      </c>
      <c r="E631" s="180">
        <f>(E624/E613)*SUM(C631:D631)</f>
        <v>29946.918816094938</v>
      </c>
      <c r="F631" s="180">
        <f>(F625/F613)*BA64</f>
        <v>0</v>
      </c>
      <c r="G631" s="180">
        <f>(G626/G613)*BA78</f>
        <v>0</v>
      </c>
      <c r="H631" s="180">
        <f>(H629/H613)*BA60</f>
        <v>0</v>
      </c>
      <c r="I631" s="180">
        <f>(I630/I613)*BA79</f>
        <v>7048.47650952409</v>
      </c>
      <c r="J631" s="180">
        <f>SUM(C631:I631)</f>
        <v>386318.23582459491</v>
      </c>
      <c r="N631" s="199" t="s">
        <v>626</v>
      </c>
    </row>
    <row r="632" spans="1:14" ht="12.6" customHeight="1" x14ac:dyDescent="0.25">
      <c r="A632" s="196">
        <v>8200</v>
      </c>
      <c r="B632" s="200" t="s">
        <v>627</v>
      </c>
      <c r="C632" s="180">
        <f>AW72</f>
        <v>0</v>
      </c>
      <c r="D632" s="180">
        <f>(D616/D613)*AW77</f>
        <v>0</v>
      </c>
      <c r="E632" s="180">
        <f>(E624/E613)*SUM(C632:D632)</f>
        <v>0</v>
      </c>
      <c r="F632" s="180">
        <f>(F625/F613)*AW64</f>
        <v>0</v>
      </c>
      <c r="G632" s="180">
        <f>(G626/G613)*AW78</f>
        <v>0</v>
      </c>
      <c r="H632" s="180">
        <f>(H629/H613)*AW60</f>
        <v>0</v>
      </c>
      <c r="I632" s="180">
        <f>(I630/I613)*AW79</f>
        <v>0</v>
      </c>
      <c r="J632" s="180">
        <f>(J631/J613)*AW80</f>
        <v>0</v>
      </c>
      <c r="N632" s="199" t="s">
        <v>628</v>
      </c>
    </row>
    <row r="633" spans="1:14" ht="12.6" customHeight="1" x14ac:dyDescent="0.25">
      <c r="A633" s="196">
        <v>8360</v>
      </c>
      <c r="B633" s="200" t="s">
        <v>629</v>
      </c>
      <c r="C633" s="180">
        <f>BB72</f>
        <v>1317600</v>
      </c>
      <c r="D633" s="180">
        <f>(D616/D613)*BB77</f>
        <v>-1976.854350226962</v>
      </c>
      <c r="E633" s="180">
        <f>(E624/E613)*SUM(C633:D633)</f>
        <v>112786.38258830002</v>
      </c>
      <c r="F633" s="180">
        <f>(F625/F613)*BB64</f>
        <v>231.0516079291547</v>
      </c>
      <c r="G633" s="180">
        <f>(G626/G613)*BB78</f>
        <v>0</v>
      </c>
      <c r="H633" s="180">
        <f>(H629/H613)*BB60</f>
        <v>36028.296336590131</v>
      </c>
      <c r="I633" s="180">
        <f>(I630/I613)*BB79</f>
        <v>6276.0407276584365</v>
      </c>
      <c r="J633" s="180">
        <f>(J631/J613)*BB80</f>
        <v>0</v>
      </c>
      <c r="N633" s="199" t="s">
        <v>630</v>
      </c>
    </row>
    <row r="634" spans="1:14" ht="12.6" customHeight="1" x14ac:dyDescent="0.25">
      <c r="A634" s="196">
        <v>8370</v>
      </c>
      <c r="B634" s="200" t="s">
        <v>631</v>
      </c>
      <c r="C634" s="180">
        <f>BC72</f>
        <v>0</v>
      </c>
      <c r="D634" s="180">
        <f>(D616/D613)*BC77</f>
        <v>0</v>
      </c>
      <c r="E634" s="180">
        <f>(E624/E613)*SUM(C634:D634)</f>
        <v>0</v>
      </c>
      <c r="F634" s="180">
        <f>(F625/F613)*BC64</f>
        <v>0</v>
      </c>
      <c r="G634" s="180">
        <f>(G626/G613)*BC78</f>
        <v>0</v>
      </c>
      <c r="H634" s="180">
        <f>(H629/H613)*BC60</f>
        <v>0</v>
      </c>
      <c r="I634" s="180">
        <f>(I630/I613)*BC79</f>
        <v>0</v>
      </c>
      <c r="J634" s="180">
        <f>(J631/J613)*BC80</f>
        <v>0</v>
      </c>
      <c r="N634" s="199" t="s">
        <v>632</v>
      </c>
    </row>
    <row r="635" spans="1:14" ht="12.6" customHeight="1" x14ac:dyDescent="0.25">
      <c r="A635" s="196">
        <v>8490</v>
      </c>
      <c r="B635" s="200" t="s">
        <v>633</v>
      </c>
      <c r="C635" s="180">
        <f>BI72</f>
        <v>0</v>
      </c>
      <c r="D635" s="180">
        <f>(D616/D613)*BI77</f>
        <v>0</v>
      </c>
      <c r="E635" s="180">
        <f>(E624/E613)*SUM(C635:D635)</f>
        <v>0</v>
      </c>
      <c r="F635" s="180">
        <f>(F625/F613)*BI64</f>
        <v>0</v>
      </c>
      <c r="G635" s="180">
        <f>(G626/G613)*BI78</f>
        <v>0</v>
      </c>
      <c r="H635" s="180">
        <f>(H629/H613)*BI60</f>
        <v>0</v>
      </c>
      <c r="I635" s="180">
        <f>(I630/I613)*BI79</f>
        <v>0</v>
      </c>
      <c r="J635" s="180">
        <f>(J631/J613)*BI80</f>
        <v>0</v>
      </c>
      <c r="N635" s="199" t="s">
        <v>634</v>
      </c>
    </row>
    <row r="636" spans="1:14" ht="12.6" customHeight="1" x14ac:dyDescent="0.25">
      <c r="A636" s="196">
        <v>8530</v>
      </c>
      <c r="B636" s="200" t="s">
        <v>635</v>
      </c>
      <c r="C636" s="180">
        <f>BK72</f>
        <v>2810852</v>
      </c>
      <c r="D636" s="180">
        <f>(D616/D613)*BK77</f>
        <v>-6312.4169679042134</v>
      </c>
      <c r="E636" s="180">
        <f>(E624/E613)*SUM(C636:D636)</f>
        <v>240428.93699598536</v>
      </c>
      <c r="F636" s="180">
        <f>(F625/F613)*BK64</f>
        <v>1097.1972883923488</v>
      </c>
      <c r="G636" s="180">
        <f>(G626/G613)*BK78</f>
        <v>0</v>
      </c>
      <c r="H636" s="180">
        <f>(H629/H613)*BK60</f>
        <v>40705.236895135386</v>
      </c>
      <c r="I636" s="180">
        <f>(I630/I613)*BK79</f>
        <v>20040.41722951446</v>
      </c>
      <c r="J636" s="180">
        <f>(J631/J613)*BK80</f>
        <v>0</v>
      </c>
      <c r="N636" s="199" t="s">
        <v>636</v>
      </c>
    </row>
    <row r="637" spans="1:14" ht="12.6" customHeight="1" x14ac:dyDescent="0.25">
      <c r="A637" s="196">
        <v>8480</v>
      </c>
      <c r="B637" s="200" t="s">
        <v>637</v>
      </c>
      <c r="C637" s="180">
        <f>BH72</f>
        <v>3045637</v>
      </c>
      <c r="D637" s="180">
        <f>(D616/D613)*BH77</f>
        <v>-12009.812582404484</v>
      </c>
      <c r="E637" s="180">
        <f>(E624/E613)*SUM(C637:D637)</f>
        <v>260068.27085834226</v>
      </c>
      <c r="F637" s="180">
        <f>(F625/F613)*BH64</f>
        <v>16685.75444844997</v>
      </c>
      <c r="G637" s="180">
        <f>(G626/G613)*BH78</f>
        <v>0</v>
      </c>
      <c r="H637" s="180">
        <f>(H629/H613)*BH60</f>
        <v>28616.534603980283</v>
      </c>
      <c r="I637" s="180">
        <f>(I630/I613)*BH79</f>
        <v>38128.288454868518</v>
      </c>
      <c r="J637" s="180">
        <f>(J631/J613)*BH80</f>
        <v>0</v>
      </c>
      <c r="N637" s="199" t="s">
        <v>638</v>
      </c>
    </row>
    <row r="638" spans="1:14" ht="12.6" customHeight="1" x14ac:dyDescent="0.25">
      <c r="A638" s="196">
        <v>8560</v>
      </c>
      <c r="B638" s="200" t="s">
        <v>147</v>
      </c>
      <c r="C638" s="180">
        <f>BL72</f>
        <v>815160</v>
      </c>
      <c r="D638" s="180">
        <f>(D616/D613)*BL77</f>
        <v>-4484.2490987199635</v>
      </c>
      <c r="E638" s="180">
        <f>(E624/E613)*SUM(C638:D638)</f>
        <v>69498.006095849923</v>
      </c>
      <c r="F638" s="180">
        <f>(F625/F613)*BL64</f>
        <v>1198.6248935231604</v>
      </c>
      <c r="G638" s="180">
        <f>(G626/G613)*BL78</f>
        <v>0</v>
      </c>
      <c r="H638" s="180">
        <f>(H629/H613)*BL60</f>
        <v>59492.269308274801</v>
      </c>
      <c r="I638" s="180">
        <f>(I630/I613)*BL79</f>
        <v>14236.420590773923</v>
      </c>
      <c r="J638" s="180">
        <f>(J631/J613)*BL80</f>
        <v>0</v>
      </c>
      <c r="N638" s="199" t="s">
        <v>639</v>
      </c>
    </row>
    <row r="639" spans="1:14" ht="12.6" customHeight="1" x14ac:dyDescent="0.25">
      <c r="A639" s="196">
        <v>8590</v>
      </c>
      <c r="B639" s="200" t="s">
        <v>640</v>
      </c>
      <c r="C639" s="180">
        <f>BM72</f>
        <v>233037</v>
      </c>
      <c r="D639" s="180">
        <f>(D616/D613)*BM77</f>
        <v>0</v>
      </c>
      <c r="E639" s="180">
        <f>(E624/E613)*SUM(C639:D639)</f>
        <v>19977.909575502767</v>
      </c>
      <c r="F639" s="180">
        <f>(F625/F613)*BM64</f>
        <v>1001.8060951565583</v>
      </c>
      <c r="G639" s="180">
        <f>(G626/G613)*BM78</f>
        <v>0</v>
      </c>
      <c r="H639" s="180">
        <f>(H629/H613)*BM60</f>
        <v>3606.7931426069331</v>
      </c>
      <c r="I639" s="180">
        <f>(I630/I613)*BM79</f>
        <v>0</v>
      </c>
      <c r="J639" s="180">
        <f>(J631/J613)*BM80</f>
        <v>0</v>
      </c>
      <c r="N639" s="199" t="s">
        <v>641</v>
      </c>
    </row>
    <row r="640" spans="1:14" ht="12.6" customHeight="1" x14ac:dyDescent="0.25">
      <c r="A640" s="196">
        <v>8660</v>
      </c>
      <c r="B640" s="200" t="s">
        <v>642</v>
      </c>
      <c r="C640" s="180">
        <f>BS72</f>
        <v>94874</v>
      </c>
      <c r="D640" s="180">
        <f>(D616/D613)*BS77</f>
        <v>-3017.6597175259435</v>
      </c>
      <c r="E640" s="180">
        <f>(E624/E613)*SUM(C640:D640)</f>
        <v>7874.705133089934</v>
      </c>
      <c r="F640" s="180">
        <f>(F625/F613)*BS64</f>
        <v>37.886427288486352</v>
      </c>
      <c r="G640" s="180">
        <f>(G626/G613)*BS78</f>
        <v>0</v>
      </c>
      <c r="H640" s="180">
        <f>(H629/H613)*BS60</f>
        <v>3408.6176952109477</v>
      </c>
      <c r="I640" s="180">
        <f>(I630/I613)*BS79</f>
        <v>9580.349350083734</v>
      </c>
      <c r="J640" s="180">
        <f>(J631/J613)*BS80</f>
        <v>0</v>
      </c>
      <c r="N640" s="199" t="s">
        <v>643</v>
      </c>
    </row>
    <row r="641" spans="1:14" ht="12.6" customHeight="1" x14ac:dyDescent="0.25">
      <c r="A641" s="196">
        <v>8670</v>
      </c>
      <c r="B641" s="200" t="s">
        <v>644</v>
      </c>
      <c r="C641" s="180">
        <f>BT72</f>
        <v>0</v>
      </c>
      <c r="D641" s="180">
        <f>(D616/D613)*BT77</f>
        <v>0</v>
      </c>
      <c r="E641" s="180">
        <f>(E624/E613)*SUM(C641:D641)</f>
        <v>0</v>
      </c>
      <c r="F641" s="180">
        <f>(F625/F613)*BT64</f>
        <v>0</v>
      </c>
      <c r="G641" s="180">
        <f>(G626/G613)*BT78</f>
        <v>0</v>
      </c>
      <c r="H641" s="180">
        <f>(H629/H613)*BT60</f>
        <v>0</v>
      </c>
      <c r="I641" s="180">
        <f>(I630/I613)*BT79</f>
        <v>0</v>
      </c>
      <c r="J641" s="180">
        <f>(J631/J613)*BT80</f>
        <v>0</v>
      </c>
      <c r="N641" s="199" t="s">
        <v>645</v>
      </c>
    </row>
    <row r="642" spans="1:14" ht="12.6" customHeight="1" x14ac:dyDescent="0.25">
      <c r="A642" s="196">
        <v>8680</v>
      </c>
      <c r="B642" s="200" t="s">
        <v>646</v>
      </c>
      <c r="C642" s="180">
        <f>BU72</f>
        <v>8</v>
      </c>
      <c r="D642" s="180">
        <f>(D616/D613)*BU77</f>
        <v>0</v>
      </c>
      <c r="E642" s="180">
        <f>(E624/E613)*SUM(C642:D642)</f>
        <v>0.68582790116600423</v>
      </c>
      <c r="F642" s="180">
        <f>(F625/F613)*BU64</f>
        <v>0.63541177842325114</v>
      </c>
      <c r="G642" s="180">
        <f>(G626/G613)*BU78</f>
        <v>0</v>
      </c>
      <c r="H642" s="180">
        <f>(H629/H613)*BU60</f>
        <v>0</v>
      </c>
      <c r="I642" s="180">
        <f>(I630/I613)*BU79</f>
        <v>0</v>
      </c>
      <c r="J642" s="180">
        <f>(J631/J613)*BU80</f>
        <v>0</v>
      </c>
      <c r="N642" s="199" t="s">
        <v>647</v>
      </c>
    </row>
    <row r="643" spans="1:14" ht="12.6" customHeight="1" x14ac:dyDescent="0.25">
      <c r="A643" s="196">
        <v>8690</v>
      </c>
      <c r="B643" s="200" t="s">
        <v>648</v>
      </c>
      <c r="C643" s="180">
        <f>BV72</f>
        <v>1652678</v>
      </c>
      <c r="D643" s="180">
        <f>(D616/D613)*BV77</f>
        <v>-5548.709133457558</v>
      </c>
      <c r="E643" s="180">
        <f>(E624/E613)*SUM(C643:D643)</f>
        <v>141205.9030630062</v>
      </c>
      <c r="F643" s="180">
        <f>(F625/F613)*BV64</f>
        <v>512.6978787152608</v>
      </c>
      <c r="G643" s="180">
        <f>(G626/G613)*BV78</f>
        <v>0</v>
      </c>
      <c r="H643" s="180">
        <f>(H629/H613)*BV60</f>
        <v>43717.503695554362</v>
      </c>
      <c r="I643" s="180">
        <f>(I630/I613)*BV79</f>
        <v>17615.827136436161</v>
      </c>
      <c r="J643" s="180">
        <f>(J631/J613)*BV80</f>
        <v>0</v>
      </c>
      <c r="N643" s="199" t="s">
        <v>649</v>
      </c>
    </row>
    <row r="644" spans="1:14" ht="12.6" customHeight="1" x14ac:dyDescent="0.25">
      <c r="A644" s="196">
        <v>8700</v>
      </c>
      <c r="B644" s="200" t="s">
        <v>650</v>
      </c>
      <c r="C644" s="180">
        <f>BW72</f>
        <v>232601</v>
      </c>
      <c r="D644" s="180">
        <f>(D616/D613)*BW77</f>
        <v>-3179.8631513907198</v>
      </c>
      <c r="E644" s="180">
        <f>(E624/E613)*SUM(C644:D644)</f>
        <v>19667.927096000043</v>
      </c>
      <c r="F644" s="180">
        <f>(F625/F613)*BW64</f>
        <v>2530.4479810982948</v>
      </c>
      <c r="G644" s="180">
        <f>(G626/G613)*BW78</f>
        <v>0</v>
      </c>
      <c r="H644" s="180">
        <f>(H629/H613)*BW60</f>
        <v>6301.9792271923343</v>
      </c>
      <c r="I644" s="180">
        <f>(I630/I613)*BW79</f>
        <v>10095.306537994169</v>
      </c>
      <c r="J644" s="180">
        <f>(J631/J613)*BW80</f>
        <v>0</v>
      </c>
      <c r="N644" s="199" t="s">
        <v>651</v>
      </c>
    </row>
    <row r="645" spans="1:14" ht="12.6" customHeight="1" x14ac:dyDescent="0.25">
      <c r="A645" s="196">
        <v>8710</v>
      </c>
      <c r="B645" s="200" t="s">
        <v>652</v>
      </c>
      <c r="C645" s="180">
        <f>BX72</f>
        <v>0</v>
      </c>
      <c r="D645" s="180">
        <f>(D616/D613)*BX77</f>
        <v>0</v>
      </c>
      <c r="E645" s="180">
        <f>(E624/E613)*SUM(C645:D645)</f>
        <v>0</v>
      </c>
      <c r="F645" s="180">
        <f>(F625/F613)*BX64</f>
        <v>0</v>
      </c>
      <c r="G645" s="180">
        <f>(G626/G613)*BX78</f>
        <v>0</v>
      </c>
      <c r="H645" s="180">
        <f>(H629/H613)*BX60</f>
        <v>0</v>
      </c>
      <c r="I645" s="180">
        <f>(I630/I613)*BX79</f>
        <v>0</v>
      </c>
      <c r="J645" s="180">
        <f>(J631/J613)*BX80</f>
        <v>0</v>
      </c>
      <c r="K645" s="180">
        <f>SUM(C632:J645)</f>
        <v>11398572.145196557</v>
      </c>
      <c r="N645" s="199" t="s">
        <v>653</v>
      </c>
    </row>
    <row r="646" spans="1:14" ht="12.6" customHeight="1" x14ac:dyDescent="0.25">
      <c r="A646" s="196">
        <v>8720</v>
      </c>
      <c r="B646" s="200" t="s">
        <v>654</v>
      </c>
      <c r="C646" s="180">
        <f>BY72</f>
        <v>399776</v>
      </c>
      <c r="D646" s="180">
        <f>(D616/D613)*BY77</f>
        <v>-2037.680637926253</v>
      </c>
      <c r="E646" s="180">
        <f>(E624/E613)*SUM(C646:D646)</f>
        <v>34097.504597673113</v>
      </c>
      <c r="F646" s="180">
        <f>(F625/F613)*BY64</f>
        <v>463.05633352594424</v>
      </c>
      <c r="G646" s="180">
        <f>(G626/G613)*BY78</f>
        <v>0</v>
      </c>
      <c r="H646" s="180">
        <f>(H629/H613)*BY60</f>
        <v>10939.28469625839</v>
      </c>
      <c r="I646" s="180">
        <f>(I630/I613)*BY79</f>
        <v>6469.1496731248499</v>
      </c>
      <c r="J646" s="180">
        <f>(J631/J613)*BY80</f>
        <v>0</v>
      </c>
      <c r="K646" s="180">
        <v>0</v>
      </c>
      <c r="N646" s="199" t="s">
        <v>655</v>
      </c>
    </row>
    <row r="647" spans="1:14" ht="12.6" customHeight="1" x14ac:dyDescent="0.25">
      <c r="A647" s="196">
        <v>8730</v>
      </c>
      <c r="B647" s="200" t="s">
        <v>656</v>
      </c>
      <c r="C647" s="180">
        <f>BZ72</f>
        <v>167525</v>
      </c>
      <c r="D647" s="180">
        <f>(D616/D613)*BZ77</f>
        <v>0</v>
      </c>
      <c r="E647" s="180">
        <f>(E624/E613)*SUM(C647:D647)</f>
        <v>14361.664892854358</v>
      </c>
      <c r="F647" s="180">
        <f>(F625/F613)*BZ64</f>
        <v>0</v>
      </c>
      <c r="G647" s="180">
        <f>(G626/G613)*BZ78</f>
        <v>0</v>
      </c>
      <c r="H647" s="180">
        <f>(H629/H613)*BZ60</f>
        <v>2497.0106371894153</v>
      </c>
      <c r="I647" s="180">
        <f>(I630/I613)*BZ79</f>
        <v>0</v>
      </c>
      <c r="J647" s="180">
        <f>(J631/J613)*BZ80</f>
        <v>0</v>
      </c>
      <c r="K647" s="180">
        <v>0</v>
      </c>
      <c r="N647" s="199" t="s">
        <v>657</v>
      </c>
    </row>
    <row r="648" spans="1:14" ht="12.6" customHeight="1" x14ac:dyDescent="0.25">
      <c r="A648" s="196">
        <v>8740</v>
      </c>
      <c r="B648" s="200" t="s">
        <v>658</v>
      </c>
      <c r="C648" s="180">
        <f>CA72</f>
        <v>146447</v>
      </c>
      <c r="D648" s="180">
        <f>(D616/D613)*CA77</f>
        <v>-25942.411703747668</v>
      </c>
      <c r="E648" s="180">
        <f>(E624/E613)*SUM(C648:D648)</f>
        <v>10330.676109011521</v>
      </c>
      <c r="F648" s="180">
        <f>(F625/F613)*CA64</f>
        <v>0</v>
      </c>
      <c r="G648" s="180">
        <f>(G626/G613)*CA78</f>
        <v>0</v>
      </c>
      <c r="H648" s="180">
        <f>(H629/H613)*CA60</f>
        <v>0</v>
      </c>
      <c r="I648" s="180">
        <f>(I630/I613)*CA79</f>
        <v>82360.965241425336</v>
      </c>
      <c r="J648" s="180">
        <f>(J631/J613)*CA80</f>
        <v>0</v>
      </c>
      <c r="K648" s="180">
        <v>0</v>
      </c>
      <c r="L648" s="180">
        <f>SUM(C646:K648)</f>
        <v>847287.21983938897</v>
      </c>
      <c r="N648" s="199" t="s">
        <v>659</v>
      </c>
    </row>
    <row r="649" spans="1:14" ht="12.6" customHeight="1" x14ac:dyDescent="0.25">
      <c r="A649" s="196"/>
      <c r="B649" s="196"/>
      <c r="C649" s="180">
        <f>SUM(C615:C648)</f>
        <v>21068327</v>
      </c>
      <c r="L649" s="269"/>
    </row>
    <row r="667" spans="1:14" ht="12.6" customHeight="1" x14ac:dyDescent="0.25">
      <c r="C667" s="181" t="s">
        <v>660</v>
      </c>
      <c r="M667" s="181" t="s">
        <v>661</v>
      </c>
    </row>
    <row r="668" spans="1:14" ht="12.6" customHeight="1" x14ac:dyDescent="0.25">
      <c r="C668" s="181" t="s">
        <v>590</v>
      </c>
      <c r="D668" s="181" t="s">
        <v>591</v>
      </c>
      <c r="E668" s="198" t="s">
        <v>592</v>
      </c>
      <c r="F668" s="181" t="s">
        <v>593</v>
      </c>
      <c r="G668" s="181" t="s">
        <v>594</v>
      </c>
      <c r="H668" s="181" t="s">
        <v>595</v>
      </c>
      <c r="I668" s="181" t="s">
        <v>596</v>
      </c>
      <c r="J668" s="181" t="s">
        <v>597</v>
      </c>
      <c r="K668" s="181" t="s">
        <v>598</v>
      </c>
      <c r="L668" s="198" t="s">
        <v>599</v>
      </c>
      <c r="M668" s="181" t="s">
        <v>662</v>
      </c>
    </row>
    <row r="669" spans="1:14" ht="12.6" customHeight="1" x14ac:dyDescent="0.25">
      <c r="A669" s="196">
        <v>6010</v>
      </c>
      <c r="B669" s="198" t="s">
        <v>283</v>
      </c>
      <c r="C669" s="180">
        <f>C72</f>
        <v>0</v>
      </c>
      <c r="D669" s="180">
        <f>(D616/D613)*C77</f>
        <v>0</v>
      </c>
      <c r="E669" s="180">
        <f>(E624/E613)*SUM(C669:D669)</f>
        <v>0</v>
      </c>
      <c r="F669" s="180">
        <f>(F625/F613)*C64</f>
        <v>0</v>
      </c>
      <c r="G669" s="180">
        <f>(G626/G613)*C78</f>
        <v>0</v>
      </c>
      <c r="H669" s="180">
        <f>(H629/H613)*C60</f>
        <v>0</v>
      </c>
      <c r="I669" s="180">
        <f>(I630/I613)*C79</f>
        <v>0</v>
      </c>
      <c r="J669" s="180">
        <f>(J631/J613)*C80</f>
        <v>0</v>
      </c>
      <c r="K669" s="180">
        <f>(K645/K613)*C76</f>
        <v>0</v>
      </c>
      <c r="L669" s="180">
        <f>(L648/L613)*C81</f>
        <v>0</v>
      </c>
      <c r="M669" s="180">
        <f t="shared" ref="M669:M714" si="19">ROUND(SUM(D669:L669),0)</f>
        <v>0</v>
      </c>
      <c r="N669" s="198" t="s">
        <v>663</v>
      </c>
    </row>
    <row r="670" spans="1:14" ht="12.6" customHeight="1" x14ac:dyDescent="0.25">
      <c r="A670" s="196">
        <v>6030</v>
      </c>
      <c r="B670" s="198" t="s">
        <v>284</v>
      </c>
      <c r="C670" s="180">
        <f>D72</f>
        <v>0</v>
      </c>
      <c r="D670" s="180">
        <f>(D616/D613)*D77</f>
        <v>0</v>
      </c>
      <c r="E670" s="180">
        <f>(E624/E613)*SUM(C670:D670)</f>
        <v>0</v>
      </c>
      <c r="F670" s="180">
        <f>(F625/F613)*D64</f>
        <v>0</v>
      </c>
      <c r="G670" s="180">
        <f>(G626/G613)*D78</f>
        <v>0</v>
      </c>
      <c r="H670" s="180">
        <f>(H629/H613)*D60</f>
        <v>0</v>
      </c>
      <c r="I670" s="180">
        <f>(I630/I613)*D79</f>
        <v>0</v>
      </c>
      <c r="J670" s="180">
        <f>(J631/J613)*D80</f>
        <v>0</v>
      </c>
      <c r="K670" s="180">
        <f>(K645/K613)*D76</f>
        <v>0</v>
      </c>
      <c r="L670" s="180">
        <f>(L648/L613)*D81</f>
        <v>0</v>
      </c>
      <c r="M670" s="180">
        <f t="shared" si="19"/>
        <v>0</v>
      </c>
      <c r="N670" s="198" t="s">
        <v>664</v>
      </c>
    </row>
    <row r="671" spans="1:14" ht="12.6" customHeight="1" x14ac:dyDescent="0.25">
      <c r="A671" s="196">
        <v>6070</v>
      </c>
      <c r="B671" s="198" t="s">
        <v>665</v>
      </c>
      <c r="C671" s="180">
        <f>E72</f>
        <v>5421254</v>
      </c>
      <c r="D671" s="180">
        <f>(D616/D613)*E77</f>
        <v>-67645.590398022774</v>
      </c>
      <c r="E671" s="180">
        <f>(E624/E613)*SUM(C671:D671)</f>
        <v>458956.7524027492</v>
      </c>
      <c r="F671" s="180">
        <f>(F625/F613)*E64</f>
        <v>29304.87351499113</v>
      </c>
      <c r="G671" s="180">
        <f>(G626/G613)*E78</f>
        <v>1273462.5350989813</v>
      </c>
      <c r="H671" s="180">
        <f>(H629/H613)*E60</f>
        <v>163970.36517543826</v>
      </c>
      <c r="I671" s="180">
        <f>(I630/I613)*E79</f>
        <v>214758.60390814801</v>
      </c>
      <c r="J671" s="180">
        <f>(J631/J613)*E80</f>
        <v>105842.51384612854</v>
      </c>
      <c r="K671" s="180">
        <f>(K645/K613)*E76</f>
        <v>958533.36395514407</v>
      </c>
      <c r="L671" s="180">
        <f>(L648/L613)*E81</f>
        <v>284572.19291837717</v>
      </c>
      <c r="M671" s="180">
        <f t="shared" si="19"/>
        <v>3421756</v>
      </c>
      <c r="N671" s="198" t="s">
        <v>666</v>
      </c>
    </row>
    <row r="672" spans="1:14" ht="12.6" customHeight="1" x14ac:dyDescent="0.25">
      <c r="A672" s="196">
        <v>6100</v>
      </c>
      <c r="B672" s="198" t="s">
        <v>667</v>
      </c>
      <c r="C672" s="180">
        <f>F72</f>
        <v>4276150</v>
      </c>
      <c r="D672" s="180">
        <f>(D616/D613)*F77</f>
        <v>-42858.878160561639</v>
      </c>
      <c r="E672" s="180">
        <f>(E624/E613)*SUM(C672:D672)</f>
        <v>362913.64563947771</v>
      </c>
      <c r="F672" s="180">
        <f>(F625/F613)*F64</f>
        <v>11083.090518675255</v>
      </c>
      <c r="G672" s="180">
        <f>(G626/G613)*F78</f>
        <v>394288.31122302829</v>
      </c>
      <c r="H672" s="180">
        <f>(H629/H613)*F60</f>
        <v>121600.4545221766</v>
      </c>
      <c r="I672" s="180">
        <f>(I630/I613)*F79</f>
        <v>136066.70863058453</v>
      </c>
      <c r="J672" s="180">
        <f>(J631/J613)*F80</f>
        <v>78072.405159362694</v>
      </c>
      <c r="K672" s="180">
        <f>(K645/K613)*F76</f>
        <v>239231.62973169392</v>
      </c>
      <c r="L672" s="180">
        <f>(L648/L613)*F81</f>
        <v>169866.58498978871</v>
      </c>
      <c r="M672" s="180">
        <f t="shared" si="19"/>
        <v>1470264</v>
      </c>
      <c r="N672" s="198" t="s">
        <v>668</v>
      </c>
    </row>
    <row r="673" spans="1:14" ht="12.6" customHeight="1" x14ac:dyDescent="0.25">
      <c r="A673" s="196">
        <v>6120</v>
      </c>
      <c r="B673" s="198" t="s">
        <v>669</v>
      </c>
      <c r="C673" s="180">
        <f>G72</f>
        <v>0</v>
      </c>
      <c r="D673" s="180">
        <f>(D616/D613)*G77</f>
        <v>0</v>
      </c>
      <c r="E673" s="180">
        <f>(E624/E613)*SUM(C673:D673)</f>
        <v>0</v>
      </c>
      <c r="F673" s="180">
        <f>(F625/F613)*G64</f>
        <v>0</v>
      </c>
      <c r="G673" s="180">
        <f>(G626/G613)*G78</f>
        <v>0</v>
      </c>
      <c r="H673" s="180">
        <f>(H629/H613)*G60</f>
        <v>0</v>
      </c>
      <c r="I673" s="180">
        <f>(I630/I613)*G79</f>
        <v>0</v>
      </c>
      <c r="J673" s="180">
        <f>(J631/J613)*G80</f>
        <v>0</v>
      </c>
      <c r="K673" s="180">
        <f>(K645/K613)*G76</f>
        <v>0</v>
      </c>
      <c r="L673" s="180">
        <f>(L648/L613)*G81</f>
        <v>0</v>
      </c>
      <c r="M673" s="180">
        <f t="shared" si="19"/>
        <v>0</v>
      </c>
      <c r="N673" s="198" t="s">
        <v>670</v>
      </c>
    </row>
    <row r="674" spans="1:14" ht="12.6" customHeight="1" x14ac:dyDescent="0.25">
      <c r="A674" s="196">
        <v>6140</v>
      </c>
      <c r="B674" s="198" t="s">
        <v>671</v>
      </c>
      <c r="C674" s="180">
        <f>H72</f>
        <v>0</v>
      </c>
      <c r="D674" s="180">
        <f>(D616/D613)*H77</f>
        <v>0</v>
      </c>
      <c r="E674" s="180">
        <f>(E624/E613)*SUM(C674:D674)</f>
        <v>0</v>
      </c>
      <c r="F674" s="180">
        <f>(F625/F613)*H64</f>
        <v>0</v>
      </c>
      <c r="G674" s="180">
        <f>(G626/G613)*H78</f>
        <v>0</v>
      </c>
      <c r="H674" s="180">
        <f>(H629/H613)*H60</f>
        <v>0</v>
      </c>
      <c r="I674" s="180">
        <f>(I630/I613)*H79</f>
        <v>0</v>
      </c>
      <c r="J674" s="180">
        <f>(J631/J613)*H80</f>
        <v>0</v>
      </c>
      <c r="K674" s="180">
        <f>(K645/K613)*H76</f>
        <v>0</v>
      </c>
      <c r="L674" s="180">
        <f>(L648/L613)*H81</f>
        <v>0</v>
      </c>
      <c r="M674" s="180">
        <f t="shared" si="19"/>
        <v>0</v>
      </c>
      <c r="N674" s="198" t="s">
        <v>672</v>
      </c>
    </row>
    <row r="675" spans="1:14" ht="12.6" customHeight="1" x14ac:dyDescent="0.25">
      <c r="A675" s="196">
        <v>6150</v>
      </c>
      <c r="B675" s="198" t="s">
        <v>673</v>
      </c>
      <c r="C675" s="180">
        <f>I72</f>
        <v>0</v>
      </c>
      <c r="D675" s="180">
        <f>(D616/D613)*I77</f>
        <v>0</v>
      </c>
      <c r="E675" s="180">
        <f>(E624/E613)*SUM(C675:D675)</f>
        <v>0</v>
      </c>
      <c r="F675" s="180">
        <f>(F625/F613)*I64</f>
        <v>0</v>
      </c>
      <c r="G675" s="180">
        <f>(G626/G613)*I78</f>
        <v>0</v>
      </c>
      <c r="H675" s="180">
        <f>(H629/H613)*I60</f>
        <v>0</v>
      </c>
      <c r="I675" s="180">
        <f>(I630/I613)*I79</f>
        <v>0</v>
      </c>
      <c r="J675" s="180">
        <f>(J631/J613)*I80</f>
        <v>0</v>
      </c>
      <c r="K675" s="180">
        <f>(K645/K613)*I76</f>
        <v>0</v>
      </c>
      <c r="L675" s="180">
        <f>(L648/L613)*I81</f>
        <v>0</v>
      </c>
      <c r="M675" s="180">
        <f t="shared" si="19"/>
        <v>0</v>
      </c>
      <c r="N675" s="198" t="s">
        <v>674</v>
      </c>
    </row>
    <row r="676" spans="1:14" ht="12.6" customHeight="1" x14ac:dyDescent="0.25">
      <c r="A676" s="196">
        <v>6170</v>
      </c>
      <c r="B676" s="198" t="s">
        <v>99</v>
      </c>
      <c r="C676" s="180">
        <f>J72</f>
        <v>52318</v>
      </c>
      <c r="D676" s="180">
        <f>(D616/D613)*J77</f>
        <v>0</v>
      </c>
      <c r="E676" s="180">
        <f>(E624/E613)*SUM(C676:D676)</f>
        <v>4485.143016650376</v>
      </c>
      <c r="F676" s="180">
        <f>(F625/F613)*J64</f>
        <v>4155.4341779434562</v>
      </c>
      <c r="G676" s="180">
        <f>(G626/G613)*J78</f>
        <v>0</v>
      </c>
      <c r="H676" s="180">
        <f>(H629/H613)*J60</f>
        <v>0</v>
      </c>
      <c r="I676" s="180">
        <f>(I630/I613)*J79</f>
        <v>0</v>
      </c>
      <c r="J676" s="180">
        <f>(J631/J613)*J80</f>
        <v>0</v>
      </c>
      <c r="K676" s="180">
        <f>(K645/K613)*J76</f>
        <v>0</v>
      </c>
      <c r="L676" s="180">
        <f>(L648/L613)*J81</f>
        <v>0</v>
      </c>
      <c r="M676" s="180">
        <f t="shared" si="19"/>
        <v>8641</v>
      </c>
      <c r="N676" s="198" t="s">
        <v>675</v>
      </c>
    </row>
    <row r="677" spans="1:14" ht="12.6" customHeight="1" x14ac:dyDescent="0.25">
      <c r="A677" s="196">
        <v>6200</v>
      </c>
      <c r="B677" s="198" t="s">
        <v>288</v>
      </c>
      <c r="C677" s="180">
        <f>K72</f>
        <v>0</v>
      </c>
      <c r="D677" s="180">
        <f>(D616/D613)*K77</f>
        <v>0</v>
      </c>
      <c r="E677" s="180">
        <f>(E624/E613)*SUM(C677:D677)</f>
        <v>0</v>
      </c>
      <c r="F677" s="180">
        <f>(F625/F613)*K64</f>
        <v>0</v>
      </c>
      <c r="G677" s="180">
        <f>(G626/G613)*K78</f>
        <v>0</v>
      </c>
      <c r="H677" s="180">
        <f>(H629/H613)*K60</f>
        <v>0</v>
      </c>
      <c r="I677" s="180">
        <f>(I630/I613)*K79</f>
        <v>0</v>
      </c>
      <c r="J677" s="180">
        <f>(J631/J613)*K80</f>
        <v>0</v>
      </c>
      <c r="K677" s="180">
        <f>(K645/K613)*K76</f>
        <v>0</v>
      </c>
      <c r="L677" s="180">
        <f>(L648/L613)*K81</f>
        <v>0</v>
      </c>
      <c r="M677" s="180">
        <f t="shared" si="19"/>
        <v>0</v>
      </c>
      <c r="N677" s="198" t="s">
        <v>676</v>
      </c>
    </row>
    <row r="678" spans="1:14" ht="12.6" customHeight="1" x14ac:dyDescent="0.25">
      <c r="A678" s="196">
        <v>6210</v>
      </c>
      <c r="B678" s="198" t="s">
        <v>289</v>
      </c>
      <c r="C678" s="180">
        <f>L72</f>
        <v>0</v>
      </c>
      <c r="D678" s="180">
        <f>(D616/D613)*L77</f>
        <v>0</v>
      </c>
      <c r="E678" s="180">
        <f>(E624/E613)*SUM(C678:D678)</f>
        <v>0</v>
      </c>
      <c r="F678" s="180">
        <f>(F625/F613)*L64</f>
        <v>0</v>
      </c>
      <c r="G678" s="180">
        <f>(G626/G613)*L78</f>
        <v>0</v>
      </c>
      <c r="H678" s="180">
        <f>(H629/H613)*L60</f>
        <v>0</v>
      </c>
      <c r="I678" s="180">
        <f>(I630/I613)*L79</f>
        <v>0</v>
      </c>
      <c r="J678" s="180">
        <f>(J631/J613)*L80</f>
        <v>0</v>
      </c>
      <c r="K678" s="180">
        <f>(K645/K613)*L76</f>
        <v>0</v>
      </c>
      <c r="L678" s="180">
        <f>(L648/L613)*L81</f>
        <v>0</v>
      </c>
      <c r="M678" s="180">
        <f t="shared" si="19"/>
        <v>0</v>
      </c>
      <c r="N678" s="198" t="s">
        <v>677</v>
      </c>
    </row>
    <row r="679" spans="1:14" ht="12.6" customHeight="1" x14ac:dyDescent="0.25">
      <c r="A679" s="196">
        <v>6330</v>
      </c>
      <c r="B679" s="198" t="s">
        <v>678</v>
      </c>
      <c r="C679" s="180">
        <f>M72</f>
        <v>0</v>
      </c>
      <c r="D679" s="180">
        <f>(D616/D613)*M77</f>
        <v>0</v>
      </c>
      <c r="E679" s="180">
        <f>(E624/E613)*SUM(C679:D679)</f>
        <v>0</v>
      </c>
      <c r="F679" s="180">
        <f>(F625/F613)*M64</f>
        <v>0</v>
      </c>
      <c r="G679" s="180">
        <f>(G626/G613)*M78</f>
        <v>0</v>
      </c>
      <c r="H679" s="180">
        <f>(H629/H613)*M60</f>
        <v>0</v>
      </c>
      <c r="I679" s="180">
        <f>(I630/I613)*M79</f>
        <v>0</v>
      </c>
      <c r="J679" s="180">
        <f>(J631/J613)*M80</f>
        <v>0</v>
      </c>
      <c r="K679" s="180">
        <f>(K645/K613)*M76</f>
        <v>0</v>
      </c>
      <c r="L679" s="180">
        <f>(L648/L613)*M81</f>
        <v>0</v>
      </c>
      <c r="M679" s="180">
        <f t="shared" si="19"/>
        <v>0</v>
      </c>
      <c r="N679" s="198" t="s">
        <v>679</v>
      </c>
    </row>
    <row r="680" spans="1:14" ht="12.6" customHeight="1" x14ac:dyDescent="0.25">
      <c r="A680" s="196">
        <v>6400</v>
      </c>
      <c r="B680" s="198" t="s">
        <v>680</v>
      </c>
      <c r="C680" s="180">
        <f>N72</f>
        <v>0</v>
      </c>
      <c r="D680" s="180">
        <f>(D616/D613)*N77</f>
        <v>0</v>
      </c>
      <c r="E680" s="180">
        <f>(E624/E613)*SUM(C680:D680)</f>
        <v>0</v>
      </c>
      <c r="F680" s="180">
        <f>(F625/F613)*N64</f>
        <v>0</v>
      </c>
      <c r="G680" s="180">
        <f>(G626/G613)*N78</f>
        <v>0</v>
      </c>
      <c r="H680" s="180">
        <f>(H629/H613)*N60</f>
        <v>0</v>
      </c>
      <c r="I680" s="180">
        <f>(I630/I613)*N79</f>
        <v>0</v>
      </c>
      <c r="J680" s="180">
        <f>(J631/J613)*N80</f>
        <v>3561.1360052190162</v>
      </c>
      <c r="K680" s="180">
        <f>(K645/K613)*N76</f>
        <v>0</v>
      </c>
      <c r="L680" s="180">
        <f>(L648/L613)*N81</f>
        <v>0</v>
      </c>
      <c r="M680" s="180">
        <f t="shared" si="19"/>
        <v>3561</v>
      </c>
      <c r="N680" s="198" t="s">
        <v>681</v>
      </c>
    </row>
    <row r="681" spans="1:14" ht="12.6" customHeight="1" x14ac:dyDescent="0.25">
      <c r="A681" s="196">
        <v>7010</v>
      </c>
      <c r="B681" s="198" t="s">
        <v>682</v>
      </c>
      <c r="C681" s="180">
        <f>O72</f>
        <v>149934</v>
      </c>
      <c r="D681" s="180">
        <f>(D616/D613)*O77</f>
        <v>0</v>
      </c>
      <c r="E681" s="180">
        <f>(E624/E613)*SUM(C681:D681)</f>
        <v>12853.615066677959</v>
      </c>
      <c r="F681" s="180">
        <f>(F625/F613)*O64</f>
        <v>11892.843403803387</v>
      </c>
      <c r="G681" s="180">
        <f>(G626/G613)*O78</f>
        <v>0</v>
      </c>
      <c r="H681" s="180">
        <f>(H629/H613)*O60</f>
        <v>0</v>
      </c>
      <c r="I681" s="180">
        <f>(I630/I613)*O79</f>
        <v>0</v>
      </c>
      <c r="J681" s="180">
        <f>(J631/J613)*O80</f>
        <v>0</v>
      </c>
      <c r="K681" s="180">
        <f>(K645/K613)*O76</f>
        <v>726152.29704118811</v>
      </c>
      <c r="L681" s="180">
        <f>(L648/L613)*O81</f>
        <v>0</v>
      </c>
      <c r="M681" s="180">
        <f t="shared" si="19"/>
        <v>750899</v>
      </c>
      <c r="N681" s="198" t="s">
        <v>683</v>
      </c>
    </row>
    <row r="682" spans="1:14" ht="12.6" customHeight="1" x14ac:dyDescent="0.25">
      <c r="A682" s="196">
        <v>7020</v>
      </c>
      <c r="B682" s="198" t="s">
        <v>684</v>
      </c>
      <c r="C682" s="180">
        <f>P72</f>
        <v>3416957</v>
      </c>
      <c r="D682" s="180">
        <f>(D616/D613)*P77</f>
        <v>-33201.015369196415</v>
      </c>
      <c r="E682" s="180">
        <f>(E624/E613)*SUM(C682:D682)</f>
        <v>290084.28312465624</v>
      </c>
      <c r="F682" s="180">
        <f>(F625/F613)*P64</f>
        <v>108864.06745311568</v>
      </c>
      <c r="G682" s="180">
        <f>(G626/G613)*P78</f>
        <v>0</v>
      </c>
      <c r="H682" s="180">
        <f>(H629/H613)*P60</f>
        <v>51842.697038789767</v>
      </c>
      <c r="I682" s="180">
        <f>(I630/I613)*P79</f>
        <v>105405.29940041734</v>
      </c>
      <c r="J682" s="180">
        <f>(J631/J613)*P80</f>
        <v>30095.850600286692</v>
      </c>
      <c r="K682" s="180">
        <f>(K645/K613)*P76</f>
        <v>2004570.6271654759</v>
      </c>
      <c r="L682" s="180">
        <f>(L648/L613)*P81</f>
        <v>34192.49968826714</v>
      </c>
      <c r="M682" s="180">
        <f t="shared" si="19"/>
        <v>2591854</v>
      </c>
      <c r="N682" s="198" t="s">
        <v>685</v>
      </c>
    </row>
    <row r="683" spans="1:14" ht="12.6" customHeight="1" x14ac:dyDescent="0.25">
      <c r="A683" s="196">
        <v>7030</v>
      </c>
      <c r="B683" s="198" t="s">
        <v>686</v>
      </c>
      <c r="C683" s="180">
        <f>Q72</f>
        <v>510292</v>
      </c>
      <c r="D683" s="180">
        <f>(D616/D613)*Q77</f>
        <v>-4717.4165349005789</v>
      </c>
      <c r="E683" s="180">
        <f>(E624/E613)*SUM(C683:D683)</f>
        <v>43342.144432593246</v>
      </c>
      <c r="F683" s="180">
        <f>(F625/F613)*Q64</f>
        <v>3123.3665968394912</v>
      </c>
      <c r="G683" s="180">
        <f>(G626/G613)*Q78</f>
        <v>0</v>
      </c>
      <c r="H683" s="180">
        <f>(H629/H613)*Q60</f>
        <v>10186.217996153646</v>
      </c>
      <c r="I683" s="180">
        <f>(I630/I613)*Q79</f>
        <v>14976.671548395176</v>
      </c>
      <c r="J683" s="180">
        <f>(J631/J613)*Q80</f>
        <v>6913.4553977724509</v>
      </c>
      <c r="K683" s="180">
        <f>(K645/K613)*Q76</f>
        <v>316344.91011539125</v>
      </c>
      <c r="L683" s="180">
        <f>(L648/L613)*Q81</f>
        <v>17753.797915061787</v>
      </c>
      <c r="M683" s="180">
        <f t="shared" si="19"/>
        <v>407923</v>
      </c>
      <c r="N683" s="198" t="s">
        <v>687</v>
      </c>
    </row>
    <row r="684" spans="1:14" ht="12.6" customHeight="1" x14ac:dyDescent="0.25">
      <c r="A684" s="196">
        <v>7040</v>
      </c>
      <c r="B684" s="198" t="s">
        <v>107</v>
      </c>
      <c r="C684" s="180">
        <f>R72</f>
        <v>2650521</v>
      </c>
      <c r="D684" s="180">
        <f>(D616/D613)*R77</f>
        <v>-628.53830622600844</v>
      </c>
      <c r="E684" s="180">
        <f>(E624/E613)*SUM(C684:D684)</f>
        <v>227171.27316488215</v>
      </c>
      <c r="F684" s="180">
        <f>(F625/F613)*R64</f>
        <v>9587.0929128500138</v>
      </c>
      <c r="G684" s="180">
        <f>(G626/G613)*R78</f>
        <v>0</v>
      </c>
      <c r="H684" s="180">
        <f>(H629/H613)*R60</f>
        <v>29369.601304085027</v>
      </c>
      <c r="I684" s="180">
        <f>(I630/I613)*R79</f>
        <v>1995.459103152939</v>
      </c>
      <c r="J684" s="180">
        <f>(J631/J613)*R80</f>
        <v>0</v>
      </c>
      <c r="K684" s="180">
        <f>(K645/K613)*R76</f>
        <v>851536.01185736642</v>
      </c>
      <c r="L684" s="180">
        <f>(L648/L613)*R81</f>
        <v>53188.332848415557</v>
      </c>
      <c r="M684" s="180">
        <f t="shared" si="19"/>
        <v>1172219</v>
      </c>
      <c r="N684" s="198" t="s">
        <v>688</v>
      </c>
    </row>
    <row r="685" spans="1:14" ht="12.6" customHeight="1" x14ac:dyDescent="0.25">
      <c r="A685" s="196">
        <v>7050</v>
      </c>
      <c r="B685" s="198" t="s">
        <v>689</v>
      </c>
      <c r="C685" s="180">
        <f>S72</f>
        <v>3905134</v>
      </c>
      <c r="D685" s="180">
        <f>(D616/D613)*S77</f>
        <v>-4592.3847212964811</v>
      </c>
      <c r="E685" s="180">
        <f>(E624/E613)*SUM(C685:D685)</f>
        <v>334387.53367715614</v>
      </c>
      <c r="F685" s="180">
        <f>(F625/F613)*S64</f>
        <v>271011.0661447469</v>
      </c>
      <c r="G685" s="180">
        <f>(G626/G613)*S78</f>
        <v>0</v>
      </c>
      <c r="H685" s="180">
        <f>(H629/H613)*S60</f>
        <v>17875.425355117877</v>
      </c>
      <c r="I685" s="180">
        <f>(I630/I613)*S79</f>
        <v>14579.725382714214</v>
      </c>
      <c r="J685" s="180">
        <f>(J631/J613)*S80</f>
        <v>1310.4180243923909</v>
      </c>
      <c r="K685" s="180">
        <f>(K645/K613)*S76</f>
        <v>535830.0027778279</v>
      </c>
      <c r="L685" s="180">
        <f>(L648/L613)*S81</f>
        <v>0</v>
      </c>
      <c r="M685" s="180">
        <f t="shared" si="19"/>
        <v>1170402</v>
      </c>
      <c r="N685" s="198" t="s">
        <v>690</v>
      </c>
    </row>
    <row r="686" spans="1:14" ht="12.6" customHeight="1" x14ac:dyDescent="0.25">
      <c r="A686" s="196">
        <v>7060</v>
      </c>
      <c r="B686" s="198" t="s">
        <v>691</v>
      </c>
      <c r="C686" s="180">
        <f>T72</f>
        <v>0</v>
      </c>
      <c r="D686" s="180">
        <f>(D616/D613)*T77</f>
        <v>0</v>
      </c>
      <c r="E686" s="180">
        <f>(E624/E613)*SUM(C686:D686)</f>
        <v>0</v>
      </c>
      <c r="F686" s="180">
        <f>(F625/F613)*T64</f>
        <v>0</v>
      </c>
      <c r="G686" s="180">
        <f>(G626/G613)*T78</f>
        <v>0</v>
      </c>
      <c r="H686" s="180">
        <f>(H629/H613)*T60</f>
        <v>0</v>
      </c>
      <c r="I686" s="180">
        <f>(I630/I613)*T79</f>
        <v>0</v>
      </c>
      <c r="J686" s="180">
        <f>(J631/J613)*T80</f>
        <v>0</v>
      </c>
      <c r="K686" s="180">
        <f>(K645/K613)*T76</f>
        <v>0</v>
      </c>
      <c r="L686" s="180">
        <f>(L648/L613)*T81</f>
        <v>0</v>
      </c>
      <c r="M686" s="180">
        <f t="shared" si="19"/>
        <v>0</v>
      </c>
      <c r="N686" s="198" t="s">
        <v>692</v>
      </c>
    </row>
    <row r="687" spans="1:14" ht="12.6" customHeight="1" x14ac:dyDescent="0.25">
      <c r="A687" s="196">
        <v>7070</v>
      </c>
      <c r="B687" s="198" t="s">
        <v>109</v>
      </c>
      <c r="C687" s="180">
        <f>U72</f>
        <v>2934402</v>
      </c>
      <c r="D687" s="180">
        <f>(D616/D613)*U77</f>
        <v>-10985.903406133082</v>
      </c>
      <c r="E687" s="180">
        <f>(E624/E613)*SUM(C687:D687)</f>
        <v>250620.04072023556</v>
      </c>
      <c r="F687" s="180">
        <f>(F625/F613)*U64</f>
        <v>42087.849393893186</v>
      </c>
      <c r="G687" s="180">
        <f>(G626/G613)*U78</f>
        <v>0</v>
      </c>
      <c r="H687" s="180">
        <f>(H629/H613)*U60</f>
        <v>78556.747347768585</v>
      </c>
      <c r="I687" s="180">
        <f>(I630/I613)*U79</f>
        <v>34877.621206183896</v>
      </c>
      <c r="J687" s="180">
        <f>(J631/J613)*U80</f>
        <v>497.65875353833161</v>
      </c>
      <c r="K687" s="180">
        <f>(K645/K613)*U76</f>
        <v>667720.34686704236</v>
      </c>
      <c r="L687" s="180">
        <f>(L648/L613)*U81</f>
        <v>0</v>
      </c>
      <c r="M687" s="180">
        <f t="shared" si="19"/>
        <v>1063374</v>
      </c>
      <c r="N687" s="198" t="s">
        <v>693</v>
      </c>
    </row>
    <row r="688" spans="1:14" ht="12.6" customHeight="1" x14ac:dyDescent="0.25">
      <c r="A688" s="196">
        <v>7110</v>
      </c>
      <c r="B688" s="198" t="s">
        <v>694</v>
      </c>
      <c r="C688" s="180">
        <f>V72</f>
        <v>21675</v>
      </c>
      <c r="D688" s="180">
        <f>(D616/D613)*V77</f>
        <v>0</v>
      </c>
      <c r="E688" s="180">
        <f>(E624/E613)*SUM(C688:D688)</f>
        <v>1858.1649697216426</v>
      </c>
      <c r="F688" s="180">
        <f>(F625/F613)*V64</f>
        <v>220.56731358517106</v>
      </c>
      <c r="G688" s="180">
        <f>(G626/G613)*V78</f>
        <v>0</v>
      </c>
      <c r="H688" s="180">
        <f>(H629/H613)*V60</f>
        <v>0</v>
      </c>
      <c r="I688" s="180">
        <f>(I630/I613)*V79</f>
        <v>0</v>
      </c>
      <c r="J688" s="180">
        <f>(J631/J613)*V80</f>
        <v>0</v>
      </c>
      <c r="K688" s="180">
        <f>(K645/K613)*V76</f>
        <v>9242.6493426851121</v>
      </c>
      <c r="L688" s="180">
        <f>(L648/L613)*V81</f>
        <v>0</v>
      </c>
      <c r="M688" s="180">
        <f t="shared" si="19"/>
        <v>11321</v>
      </c>
      <c r="N688" s="198" t="s">
        <v>695</v>
      </c>
    </row>
    <row r="689" spans="1:14" ht="12.6" customHeight="1" x14ac:dyDescent="0.25">
      <c r="A689" s="196">
        <v>7120</v>
      </c>
      <c r="B689" s="198" t="s">
        <v>696</v>
      </c>
      <c r="C689" s="180">
        <f>W72</f>
        <v>580533</v>
      </c>
      <c r="D689" s="180">
        <f>(D616/D613)*W77</f>
        <v>0</v>
      </c>
      <c r="E689" s="180">
        <f>(E624/E613)*SUM(C689:D689)</f>
        <v>49768.216118450495</v>
      </c>
      <c r="F689" s="180">
        <f>(F625/F613)*W64</f>
        <v>702.52714751920701</v>
      </c>
      <c r="G689" s="180">
        <f>(G626/G613)*W78</f>
        <v>0</v>
      </c>
      <c r="H689" s="180">
        <f>(H629/H613)*W60</f>
        <v>4161.6843953156922</v>
      </c>
      <c r="I689" s="180">
        <f>(I630/I613)*W79</f>
        <v>0</v>
      </c>
      <c r="J689" s="180">
        <f>(J631/J613)*W80</f>
        <v>0</v>
      </c>
      <c r="K689" s="180">
        <f>(K645/K613)*W76</f>
        <v>120763.17092473297</v>
      </c>
      <c r="L689" s="180">
        <f>(L648/L613)*W81</f>
        <v>0</v>
      </c>
      <c r="M689" s="180">
        <f t="shared" si="19"/>
        <v>175396</v>
      </c>
      <c r="N689" s="198" t="s">
        <v>697</v>
      </c>
    </row>
    <row r="690" spans="1:14" ht="12.6" customHeight="1" x14ac:dyDescent="0.25">
      <c r="A690" s="196">
        <v>7130</v>
      </c>
      <c r="B690" s="198" t="s">
        <v>698</v>
      </c>
      <c r="C690" s="180">
        <f>X72</f>
        <v>384586</v>
      </c>
      <c r="D690" s="180">
        <f>(D616/D613)*X77</f>
        <v>0</v>
      </c>
      <c r="E690" s="180">
        <f>(E624/E613)*SUM(C690:D690)</f>
        <v>32969.976149728616</v>
      </c>
      <c r="F690" s="180">
        <f>(F625/F613)*X64</f>
        <v>4845.6502222557128</v>
      </c>
      <c r="G690" s="180">
        <f>(G626/G613)*X78</f>
        <v>0</v>
      </c>
      <c r="H690" s="180">
        <f>(H629/H613)*X60</f>
        <v>7213.5862852138662</v>
      </c>
      <c r="I690" s="180">
        <f>(I630/I613)*X79</f>
        <v>0</v>
      </c>
      <c r="J690" s="180">
        <f>(J631/J613)*X80</f>
        <v>11279.848280576105</v>
      </c>
      <c r="K690" s="180">
        <f>(K645/K613)*X76</f>
        <v>825922.80618078634</v>
      </c>
      <c r="L690" s="180">
        <f>(L648/L613)*X81</f>
        <v>0</v>
      </c>
      <c r="M690" s="180">
        <f t="shared" si="19"/>
        <v>882232</v>
      </c>
      <c r="N690" s="198" t="s">
        <v>699</v>
      </c>
    </row>
    <row r="691" spans="1:14" ht="12.6" customHeight="1" x14ac:dyDescent="0.25">
      <c r="A691" s="196">
        <v>7140</v>
      </c>
      <c r="B691" s="198" t="s">
        <v>1250</v>
      </c>
      <c r="C691" s="180">
        <f>Y72</f>
        <v>1638891</v>
      </c>
      <c r="D691" s="180">
        <f>(D616/D613)*Y77</f>
        <v>-22475.313304888074</v>
      </c>
      <c r="E691" s="180">
        <f>(E624/E613)*SUM(C691:D691)</f>
        <v>138572.87222723925</v>
      </c>
      <c r="F691" s="180">
        <f>(F625/F613)*Y64</f>
        <v>2286.0527258222519</v>
      </c>
      <c r="G691" s="180">
        <f>(G626/G613)*Y78</f>
        <v>0</v>
      </c>
      <c r="H691" s="180">
        <f>(H629/H613)*Y60</f>
        <v>64724.101119528808</v>
      </c>
      <c r="I691" s="180">
        <f>(I630/I613)*Y79</f>
        <v>71353.755349839761</v>
      </c>
      <c r="J691" s="180">
        <f>(J631/J613)*Y80</f>
        <v>21819.460425235895</v>
      </c>
      <c r="K691" s="180">
        <f>(K645/K613)*Y76</f>
        <v>251960.74016519025</v>
      </c>
      <c r="L691" s="180">
        <f>(L648/L613)*Y81</f>
        <v>0</v>
      </c>
      <c r="M691" s="180">
        <f t="shared" si="19"/>
        <v>528242</v>
      </c>
      <c r="N691" s="198" t="s">
        <v>700</v>
      </c>
    </row>
    <row r="692" spans="1:14" ht="12.6" customHeight="1" x14ac:dyDescent="0.25">
      <c r="A692" s="196">
        <v>7150</v>
      </c>
      <c r="B692" s="198" t="s">
        <v>701</v>
      </c>
      <c r="C692" s="180">
        <f>Z72</f>
        <v>0</v>
      </c>
      <c r="D692" s="180">
        <f>(D616/D613)*Z77</f>
        <v>0</v>
      </c>
      <c r="E692" s="180">
        <f>(E624/E613)*SUM(C692:D692)</f>
        <v>0</v>
      </c>
      <c r="F692" s="180">
        <f>(F625/F613)*Z64</f>
        <v>0</v>
      </c>
      <c r="G692" s="180">
        <f>(G626/G613)*Z78</f>
        <v>0</v>
      </c>
      <c r="H692" s="180">
        <f>(H629/H613)*Z60</f>
        <v>0</v>
      </c>
      <c r="I692" s="180">
        <f>(I630/I613)*Z79</f>
        <v>0</v>
      </c>
      <c r="J692" s="180">
        <f>(J631/J613)*Z80</f>
        <v>0</v>
      </c>
      <c r="K692" s="180">
        <f>(K645/K613)*Z76</f>
        <v>0</v>
      </c>
      <c r="L692" s="180">
        <f>(L648/L613)*Z81</f>
        <v>0</v>
      </c>
      <c r="M692" s="180">
        <f t="shared" si="19"/>
        <v>0</v>
      </c>
      <c r="N692" s="198" t="s">
        <v>702</v>
      </c>
    </row>
    <row r="693" spans="1:14" ht="12.6" customHeight="1" x14ac:dyDescent="0.25">
      <c r="A693" s="196">
        <v>7160</v>
      </c>
      <c r="B693" s="198" t="s">
        <v>703</v>
      </c>
      <c r="C693" s="180">
        <f>AA72</f>
        <v>238239</v>
      </c>
      <c r="D693" s="180">
        <f>(D616/D613)*AA77</f>
        <v>0</v>
      </c>
      <c r="E693" s="180">
        <f>(E624/E613)*SUM(C693:D693)</f>
        <v>20423.86916823596</v>
      </c>
      <c r="F693" s="180">
        <f>(F625/F613)*AA64</f>
        <v>9416.0877179818563</v>
      </c>
      <c r="G693" s="180">
        <f>(G626/G613)*AA78</f>
        <v>0</v>
      </c>
      <c r="H693" s="180">
        <f>(H629/H613)*AA60</f>
        <v>1347.5930422927004</v>
      </c>
      <c r="I693" s="180">
        <f>(I630/I613)*AA79</f>
        <v>0</v>
      </c>
      <c r="J693" s="180">
        <f>(J631/J613)*AA80</f>
        <v>723.9809504992312</v>
      </c>
      <c r="K693" s="180">
        <f>(K645/K613)*AA76</f>
        <v>21706.015761181585</v>
      </c>
      <c r="L693" s="180">
        <f>(L648/L613)*AA81</f>
        <v>0</v>
      </c>
      <c r="M693" s="180">
        <f t="shared" si="19"/>
        <v>53618</v>
      </c>
      <c r="N693" s="198" t="s">
        <v>704</v>
      </c>
    </row>
    <row r="694" spans="1:14" ht="12.6" customHeight="1" x14ac:dyDescent="0.25">
      <c r="A694" s="196">
        <v>7170</v>
      </c>
      <c r="B694" s="198" t="s">
        <v>115</v>
      </c>
      <c r="C694" s="180">
        <f>AB72</f>
        <v>3433461</v>
      </c>
      <c r="D694" s="180">
        <f>(D616/D613)*AB77</f>
        <v>-5579.1222773072041</v>
      </c>
      <c r="E694" s="180">
        <f>(E624/E613)*SUM(C694:D694)</f>
        <v>293867.12920544198</v>
      </c>
      <c r="F694" s="180">
        <f>(F625/F613)*AB64</f>
        <v>149782.04433645937</v>
      </c>
      <c r="G694" s="180">
        <f>(G626/G613)*AB78</f>
        <v>0</v>
      </c>
      <c r="H694" s="180">
        <f>(H629/H613)*AB60</f>
        <v>29448.871483043422</v>
      </c>
      <c r="I694" s="180">
        <f>(I630/I613)*AB79</f>
        <v>17712.381609169366</v>
      </c>
      <c r="J694" s="180">
        <f>(J631/J613)*AB80</f>
        <v>0</v>
      </c>
      <c r="K694" s="180">
        <f>(K645/K613)*AB76</f>
        <v>771324.59684171295</v>
      </c>
      <c r="L694" s="180">
        <f>(L648/L613)*AB81</f>
        <v>0</v>
      </c>
      <c r="M694" s="180">
        <f t="shared" si="19"/>
        <v>1256556</v>
      </c>
      <c r="N694" s="198" t="s">
        <v>705</v>
      </c>
    </row>
    <row r="695" spans="1:14" ht="12.6" customHeight="1" x14ac:dyDescent="0.25">
      <c r="A695" s="196">
        <v>7180</v>
      </c>
      <c r="B695" s="198" t="s">
        <v>706</v>
      </c>
      <c r="C695" s="180">
        <f>AC72</f>
        <v>629178</v>
      </c>
      <c r="D695" s="180">
        <f>(D616/D613)*AC77</f>
        <v>-2801.3884723729084</v>
      </c>
      <c r="E695" s="180">
        <f>(E624/E613)*SUM(C695:D695)</f>
        <v>53698.319602933261</v>
      </c>
      <c r="F695" s="180">
        <f>(F625/F613)*AC64</f>
        <v>3604.9292984120125</v>
      </c>
      <c r="G695" s="180">
        <f>(G626/G613)*AC78</f>
        <v>0</v>
      </c>
      <c r="H695" s="180">
        <f>(H629/H613)*AC60</f>
        <v>22037.109750433567</v>
      </c>
      <c r="I695" s="180">
        <f>(I630/I613)*AC79</f>
        <v>8893.7397662031526</v>
      </c>
      <c r="J695" s="180">
        <f>(J631/J613)*AC80</f>
        <v>0</v>
      </c>
      <c r="K695" s="180">
        <f>(K645/K613)*AC76</f>
        <v>117219.15520150207</v>
      </c>
      <c r="L695" s="180">
        <f>(L648/L613)*AC81</f>
        <v>0</v>
      </c>
      <c r="M695" s="180">
        <f t="shared" si="19"/>
        <v>202652</v>
      </c>
      <c r="N695" s="198" t="s">
        <v>707</v>
      </c>
    </row>
    <row r="696" spans="1:14" ht="12.6" customHeight="1" x14ac:dyDescent="0.25">
      <c r="A696" s="196">
        <v>7190</v>
      </c>
      <c r="B696" s="198" t="s">
        <v>117</v>
      </c>
      <c r="C696" s="180">
        <f>AD72</f>
        <v>0</v>
      </c>
      <c r="D696" s="180">
        <f>(D616/D613)*AD77</f>
        <v>0</v>
      </c>
      <c r="E696" s="180">
        <f>(E624/E613)*SUM(C696:D696)</f>
        <v>0</v>
      </c>
      <c r="F696" s="180">
        <f>(F625/F613)*AD64</f>
        <v>0</v>
      </c>
      <c r="G696" s="180">
        <f>(G626/G613)*AD78</f>
        <v>0</v>
      </c>
      <c r="H696" s="180">
        <f>(H629/H613)*AD60</f>
        <v>0</v>
      </c>
      <c r="I696" s="180">
        <f>(I630/I613)*AD79</f>
        <v>0</v>
      </c>
      <c r="J696" s="180">
        <f>(J631/J613)*AD80</f>
        <v>0</v>
      </c>
      <c r="K696" s="180">
        <f>(K645/K613)*AD76</f>
        <v>0</v>
      </c>
      <c r="L696" s="180">
        <f>(L648/L613)*AD81</f>
        <v>0</v>
      </c>
      <c r="M696" s="180">
        <f t="shared" si="19"/>
        <v>0</v>
      </c>
      <c r="N696" s="198" t="s">
        <v>708</v>
      </c>
    </row>
    <row r="697" spans="1:14" ht="12.6" customHeight="1" x14ac:dyDescent="0.25">
      <c r="A697" s="196">
        <v>7200</v>
      </c>
      <c r="B697" s="198" t="s">
        <v>709</v>
      </c>
      <c r="C697" s="180">
        <f>AE72</f>
        <v>685937</v>
      </c>
      <c r="D697" s="180">
        <f>(D616/D613)*AE77</f>
        <v>-6890.2667010474797</v>
      </c>
      <c r="E697" s="180">
        <f>(E624/E613)*SUM(C697:D697)</f>
        <v>58213.649486506511</v>
      </c>
      <c r="F697" s="180">
        <f>(F625/F613)*AE64</f>
        <v>782.90673748974837</v>
      </c>
      <c r="G697" s="180">
        <f>(G626/G613)*AE78</f>
        <v>0</v>
      </c>
      <c r="H697" s="180">
        <f>(H629/H613)*AE60</f>
        <v>17082.723565533935</v>
      </c>
      <c r="I697" s="180">
        <f>(I630/I613)*AE79</f>
        <v>21874.95221144539</v>
      </c>
      <c r="J697" s="180">
        <f>(J631/J613)*AE80</f>
        <v>533.92032100720508</v>
      </c>
      <c r="K697" s="180">
        <f>(K645/K613)*AE76</f>
        <v>98488.078158502394</v>
      </c>
      <c r="L697" s="180">
        <f>(L648/L613)*AE81</f>
        <v>0</v>
      </c>
      <c r="M697" s="180">
        <f t="shared" si="19"/>
        <v>190086</v>
      </c>
      <c r="N697" s="198" t="s">
        <v>710</v>
      </c>
    </row>
    <row r="698" spans="1:14" ht="12.6" customHeight="1" x14ac:dyDescent="0.25">
      <c r="A698" s="196">
        <v>7220</v>
      </c>
      <c r="B698" s="198" t="s">
        <v>711</v>
      </c>
      <c r="C698" s="180">
        <f>AF72</f>
        <v>0</v>
      </c>
      <c r="D698" s="180">
        <f>(D616/D613)*AF77</f>
        <v>0</v>
      </c>
      <c r="E698" s="180">
        <f>(E624/E613)*SUM(C698:D698)</f>
        <v>0</v>
      </c>
      <c r="F698" s="180">
        <f>(F625/F613)*AF64</f>
        <v>0</v>
      </c>
      <c r="G698" s="180">
        <f>(G626/G613)*AF78</f>
        <v>0</v>
      </c>
      <c r="H698" s="180">
        <f>(H629/H613)*AF60</f>
        <v>0</v>
      </c>
      <c r="I698" s="180">
        <f>(I630/I613)*AF79</f>
        <v>0</v>
      </c>
      <c r="J698" s="180">
        <f>(J631/J613)*AF80</f>
        <v>0</v>
      </c>
      <c r="K698" s="180">
        <f>(K645/K613)*AF76</f>
        <v>0</v>
      </c>
      <c r="L698" s="180">
        <f>(L648/L613)*AF81</f>
        <v>0</v>
      </c>
      <c r="M698" s="180">
        <f t="shared" si="19"/>
        <v>0</v>
      </c>
      <c r="N698" s="198" t="s">
        <v>712</v>
      </c>
    </row>
    <row r="699" spans="1:14" ht="12.6" customHeight="1" x14ac:dyDescent="0.25">
      <c r="A699" s="196">
        <v>7230</v>
      </c>
      <c r="B699" s="198" t="s">
        <v>713</v>
      </c>
      <c r="C699" s="180">
        <f>AG72</f>
        <v>5902410</v>
      </c>
      <c r="D699" s="180">
        <f>(D616/D613)*AG77</f>
        <v>-18491.191460584505</v>
      </c>
      <c r="E699" s="180">
        <f>(E624/E613)*SUM(C699:D699)</f>
        <v>504419.46088647045</v>
      </c>
      <c r="F699" s="180">
        <f>(F625/F613)*AG64</f>
        <v>20147.795523189052</v>
      </c>
      <c r="G699" s="180">
        <f>(G626/G613)*AG78</f>
        <v>27682.600436912791</v>
      </c>
      <c r="H699" s="180">
        <f>(H629/H613)*AG60</f>
        <v>83669.673890585007</v>
      </c>
      <c r="I699" s="180">
        <f>(I630/I613)*AG79</f>
        <v>58705.119421789685</v>
      </c>
      <c r="J699" s="180">
        <f>(J631/J613)*AG80</f>
        <v>106911.60488702118</v>
      </c>
      <c r="K699" s="180">
        <f>(K645/K613)*AG76</f>
        <v>1840033.4774660505</v>
      </c>
      <c r="L699" s="180">
        <f>(L648/L613)*AG81</f>
        <v>155254.40563582836</v>
      </c>
      <c r="M699" s="180">
        <f t="shared" si="19"/>
        <v>2778333</v>
      </c>
      <c r="N699" s="198" t="s">
        <v>714</v>
      </c>
    </row>
    <row r="700" spans="1:14" ht="12.6" customHeight="1" x14ac:dyDescent="0.25">
      <c r="A700" s="196">
        <v>7240</v>
      </c>
      <c r="B700" s="198" t="s">
        <v>119</v>
      </c>
      <c r="C700" s="180">
        <f>AH72</f>
        <v>0</v>
      </c>
      <c r="D700" s="180">
        <f>(D616/D613)*AH77</f>
        <v>0</v>
      </c>
      <c r="E700" s="180">
        <f>(E624/E613)*SUM(C700:D700)</f>
        <v>0</v>
      </c>
      <c r="F700" s="180">
        <f>(F625/F613)*AH64</f>
        <v>0</v>
      </c>
      <c r="G700" s="180">
        <f>(G626/G613)*AH78</f>
        <v>0</v>
      </c>
      <c r="H700" s="180">
        <f>(H629/H613)*AH60</f>
        <v>0</v>
      </c>
      <c r="I700" s="180">
        <f>(I630/I613)*AH79</f>
        <v>0</v>
      </c>
      <c r="J700" s="180">
        <f>(J631/J613)*AH80</f>
        <v>0</v>
      </c>
      <c r="K700" s="180">
        <f>(K645/K613)*AH76</f>
        <v>0</v>
      </c>
      <c r="L700" s="180">
        <f>(L648/L613)*AH81</f>
        <v>0</v>
      </c>
      <c r="M700" s="180">
        <f t="shared" si="19"/>
        <v>0</v>
      </c>
      <c r="N700" s="198" t="s">
        <v>715</v>
      </c>
    </row>
    <row r="701" spans="1:14" ht="12.6" customHeight="1" x14ac:dyDescent="0.25">
      <c r="A701" s="196">
        <v>7250</v>
      </c>
      <c r="B701" s="198" t="s">
        <v>716</v>
      </c>
      <c r="C701" s="180">
        <f>AI72</f>
        <v>1091401</v>
      </c>
      <c r="D701" s="180">
        <f>(D616/D613)*AI77</f>
        <v>-13111.444237402757</v>
      </c>
      <c r="E701" s="180">
        <f>(E624/E613)*SUM(C701:D701)</f>
        <v>92440.132859735648</v>
      </c>
      <c r="F701" s="180">
        <f>(F625/F613)*AI64</f>
        <v>8318.731576644901</v>
      </c>
      <c r="G701" s="180">
        <f>(G626/G613)*AI78</f>
        <v>34603.250546140989</v>
      </c>
      <c r="H701" s="180">
        <f>(H629/H613)*AI60</f>
        <v>26595.145040541232</v>
      </c>
      <c r="I701" s="180">
        <f>(I630/I613)*AI79</f>
        <v>41625.706022760227</v>
      </c>
      <c r="J701" s="180">
        <f>(J631/J613)*AI80</f>
        <v>18755.983173555211</v>
      </c>
      <c r="K701" s="180">
        <f>(K645/K613)*AI76</f>
        <v>400294.92235864809</v>
      </c>
      <c r="L701" s="180">
        <f>(L648/L613)*AI81</f>
        <v>46905.095726212618</v>
      </c>
      <c r="M701" s="180">
        <f t="shared" si="19"/>
        <v>656428</v>
      </c>
      <c r="N701" s="198" t="s">
        <v>717</v>
      </c>
    </row>
    <row r="702" spans="1:14" ht="12.6" customHeight="1" x14ac:dyDescent="0.25">
      <c r="A702" s="196">
        <v>7260</v>
      </c>
      <c r="B702" s="198" t="s">
        <v>121</v>
      </c>
      <c r="C702" s="180">
        <f>AJ72</f>
        <v>8424612</v>
      </c>
      <c r="D702" s="180">
        <f>(D616/D613)*AJ77</f>
        <v>-228473.67431315407</v>
      </c>
      <c r="E702" s="180">
        <f>(E624/E613)*SUM(C702:D702)</f>
        <v>702642.54319650715</v>
      </c>
      <c r="F702" s="180">
        <f>(F625/F613)*AJ64</f>
        <v>34278.876916488342</v>
      </c>
      <c r="G702" s="180">
        <f>(G626/G613)*AJ78</f>
        <v>0</v>
      </c>
      <c r="H702" s="180">
        <f>(H629/H613)*AJ60</f>
        <v>212602.61996641307</v>
      </c>
      <c r="I702" s="180">
        <f>(I630/I613)*AJ79</f>
        <v>725349.3839960933</v>
      </c>
      <c r="J702" s="180">
        <f>(J631/J613)*AJ80</f>
        <v>0</v>
      </c>
      <c r="K702" s="180">
        <f>(K645/K613)*AJ76</f>
        <v>526050.3441758703</v>
      </c>
      <c r="L702" s="180">
        <f>(L648/L613)*AJ81</f>
        <v>72549.470492412976</v>
      </c>
      <c r="M702" s="180">
        <f t="shared" si="19"/>
        <v>2045000</v>
      </c>
      <c r="N702" s="198" t="s">
        <v>718</v>
      </c>
    </row>
    <row r="703" spans="1:14" ht="12.6" customHeight="1" x14ac:dyDescent="0.25">
      <c r="A703" s="196">
        <v>7310</v>
      </c>
      <c r="B703" s="198" t="s">
        <v>719</v>
      </c>
      <c r="C703" s="180">
        <f>AK72</f>
        <v>0</v>
      </c>
      <c r="D703" s="180">
        <f>(D616/D613)*AK77</f>
        <v>0</v>
      </c>
      <c r="E703" s="180">
        <f>(E624/E613)*SUM(C703:D703)</f>
        <v>0</v>
      </c>
      <c r="F703" s="180">
        <f>(F625/F613)*AK64</f>
        <v>0</v>
      </c>
      <c r="G703" s="180">
        <f>(G626/G613)*AK78</f>
        <v>0</v>
      </c>
      <c r="H703" s="180">
        <f>(H629/H613)*AK60</f>
        <v>0</v>
      </c>
      <c r="I703" s="180">
        <f>(I630/I613)*AK79</f>
        <v>0</v>
      </c>
      <c r="J703" s="180">
        <f>(J631/J613)*AK80</f>
        <v>0</v>
      </c>
      <c r="K703" s="180">
        <f>(K645/K613)*AK76</f>
        <v>0</v>
      </c>
      <c r="L703" s="180">
        <f>(L648/L613)*AK81</f>
        <v>0</v>
      </c>
      <c r="M703" s="180">
        <f t="shared" si="19"/>
        <v>0</v>
      </c>
      <c r="N703" s="198" t="s">
        <v>720</v>
      </c>
    </row>
    <row r="704" spans="1:14" ht="12.6" customHeight="1" x14ac:dyDescent="0.25">
      <c r="A704" s="196">
        <v>7320</v>
      </c>
      <c r="B704" s="198" t="s">
        <v>721</v>
      </c>
      <c r="C704" s="180">
        <f>AL72</f>
        <v>13616</v>
      </c>
      <c r="D704" s="180">
        <f>(D616/D613)*AL77</f>
        <v>0</v>
      </c>
      <c r="E704" s="180">
        <f>(E624/E613)*SUM(C704:D704)</f>
        <v>1167.2790877845391</v>
      </c>
      <c r="F704" s="180">
        <f>(F625/F613)*AL64</f>
        <v>0</v>
      </c>
      <c r="G704" s="180">
        <f>(G626/G613)*AL78</f>
        <v>0</v>
      </c>
      <c r="H704" s="180">
        <f>(H629/H613)*AL60</f>
        <v>435.98598427116775</v>
      </c>
      <c r="I704" s="180">
        <f>(I630/I613)*AL79</f>
        <v>0</v>
      </c>
      <c r="J704" s="180">
        <f>(J631/J613)*AL80</f>
        <v>0</v>
      </c>
      <c r="K704" s="180">
        <f>(K645/K613)*AL76</f>
        <v>1216.2877698072723</v>
      </c>
      <c r="L704" s="180">
        <f>(L648/L613)*AL81</f>
        <v>0</v>
      </c>
      <c r="M704" s="180">
        <f t="shared" si="19"/>
        <v>2820</v>
      </c>
      <c r="N704" s="198" t="s">
        <v>722</v>
      </c>
    </row>
    <row r="705" spans="1:15" ht="12.6" customHeight="1" x14ac:dyDescent="0.25">
      <c r="A705" s="196">
        <v>7330</v>
      </c>
      <c r="B705" s="198" t="s">
        <v>723</v>
      </c>
      <c r="C705" s="180">
        <f>AM72</f>
        <v>0</v>
      </c>
      <c r="D705" s="180">
        <f>(D616/D613)*AM77</f>
        <v>0</v>
      </c>
      <c r="E705" s="180">
        <f>(E624/E613)*SUM(C705:D705)</f>
        <v>0</v>
      </c>
      <c r="F705" s="180">
        <f>(F625/F613)*AM64</f>
        <v>0</v>
      </c>
      <c r="G705" s="180">
        <f>(G626/G613)*AM78</f>
        <v>0</v>
      </c>
      <c r="H705" s="180">
        <f>(H629/H613)*AM60</f>
        <v>0</v>
      </c>
      <c r="I705" s="180">
        <f>(I630/I613)*AM79</f>
        <v>0</v>
      </c>
      <c r="J705" s="180">
        <f>(J631/J613)*AM80</f>
        <v>0</v>
      </c>
      <c r="K705" s="180">
        <f>(K645/K613)*AM76</f>
        <v>0</v>
      </c>
      <c r="L705" s="180">
        <f>(L648/L613)*AM81</f>
        <v>0</v>
      </c>
      <c r="M705" s="180">
        <f t="shared" si="19"/>
        <v>0</v>
      </c>
      <c r="N705" s="198" t="s">
        <v>724</v>
      </c>
    </row>
    <row r="706" spans="1:15" ht="12.6" customHeight="1" x14ac:dyDescent="0.25">
      <c r="A706" s="196">
        <v>7340</v>
      </c>
      <c r="B706" s="198" t="s">
        <v>725</v>
      </c>
      <c r="C706" s="180">
        <f>AN72</f>
        <v>0</v>
      </c>
      <c r="D706" s="180">
        <f>(D616/D613)*AN77</f>
        <v>0</v>
      </c>
      <c r="E706" s="180">
        <f>(E624/E613)*SUM(C706:D706)</f>
        <v>0</v>
      </c>
      <c r="F706" s="180">
        <f>(F625/F613)*AN64</f>
        <v>0</v>
      </c>
      <c r="G706" s="180">
        <f>(G626/G613)*AN78</f>
        <v>0</v>
      </c>
      <c r="H706" s="180">
        <f>(H629/H613)*AN60</f>
        <v>0</v>
      </c>
      <c r="I706" s="180">
        <f>(I630/I613)*AN79</f>
        <v>0</v>
      </c>
      <c r="J706" s="180">
        <f>(J631/J613)*AN80</f>
        <v>0</v>
      </c>
      <c r="K706" s="180">
        <f>(K645/K613)*AN76</f>
        <v>0</v>
      </c>
      <c r="L706" s="180">
        <f>(L648/L613)*AN81</f>
        <v>0</v>
      </c>
      <c r="M706" s="180">
        <f t="shared" si="19"/>
        <v>0</v>
      </c>
      <c r="N706" s="198" t="s">
        <v>726</v>
      </c>
    </row>
    <row r="707" spans="1:15" ht="12.6" customHeight="1" x14ac:dyDescent="0.25">
      <c r="A707" s="196">
        <v>7350</v>
      </c>
      <c r="B707" s="198" t="s">
        <v>727</v>
      </c>
      <c r="C707" s="180">
        <f>AO72</f>
        <v>0</v>
      </c>
      <c r="D707" s="180">
        <f>(D616/D613)*AO77</f>
        <v>0</v>
      </c>
      <c r="E707" s="180">
        <f>(E624/E613)*SUM(C707:D707)</f>
        <v>0</v>
      </c>
      <c r="F707" s="180">
        <f>(F625/F613)*AO64</f>
        <v>0</v>
      </c>
      <c r="G707" s="180">
        <f>(G626/G613)*AO78</f>
        <v>0</v>
      </c>
      <c r="H707" s="180">
        <f>(H629/H613)*AO60</f>
        <v>0</v>
      </c>
      <c r="I707" s="180">
        <f>(I630/I613)*AO79</f>
        <v>0</v>
      </c>
      <c r="J707" s="180">
        <f>(J631/J613)*AO80</f>
        <v>0</v>
      </c>
      <c r="K707" s="180">
        <f>(K645/K613)*AO76</f>
        <v>0</v>
      </c>
      <c r="L707" s="180">
        <f>(L648/L613)*AO81</f>
        <v>0</v>
      </c>
      <c r="M707" s="180">
        <f t="shared" si="19"/>
        <v>0</v>
      </c>
      <c r="N707" s="198" t="s">
        <v>728</v>
      </c>
    </row>
    <row r="708" spans="1:15" ht="12.6" customHeight="1" x14ac:dyDescent="0.25">
      <c r="A708" s="196">
        <v>7380</v>
      </c>
      <c r="B708" s="198" t="s">
        <v>729</v>
      </c>
      <c r="C708" s="180">
        <f>AP72</f>
        <v>526887</v>
      </c>
      <c r="D708" s="180">
        <f>(D616/D613)*AP77</f>
        <v>0</v>
      </c>
      <c r="E708" s="180">
        <f>(E624/E613)*SUM(C708:D708)</f>
        <v>45169.225670206557</v>
      </c>
      <c r="F708" s="180">
        <f>(F625/F613)*AP64</f>
        <v>5054.541844412357</v>
      </c>
      <c r="G708" s="180">
        <f>(G626/G613)*AP78</f>
        <v>0</v>
      </c>
      <c r="H708" s="180">
        <f>(H629/H613)*AP60</f>
        <v>28576.899514501085</v>
      </c>
      <c r="I708" s="180">
        <f>(I630/I613)*AP79</f>
        <v>0</v>
      </c>
      <c r="J708" s="180">
        <f>(J631/J613)*AP80</f>
        <v>0</v>
      </c>
      <c r="K708" s="180">
        <f>(K645/K613)*AP76</f>
        <v>87587.833094133035</v>
      </c>
      <c r="L708" s="180">
        <f>(L648/L613)*AP81</f>
        <v>12858.717831485079</v>
      </c>
      <c r="M708" s="180">
        <f t="shared" si="19"/>
        <v>179247</v>
      </c>
      <c r="N708" s="198" t="s">
        <v>730</v>
      </c>
    </row>
    <row r="709" spans="1:15" ht="12.6" customHeight="1" x14ac:dyDescent="0.25">
      <c r="A709" s="196">
        <v>7390</v>
      </c>
      <c r="B709" s="198" t="s">
        <v>731</v>
      </c>
      <c r="C709" s="180">
        <f>AQ72</f>
        <v>0</v>
      </c>
      <c r="D709" s="180">
        <f>(D616/D613)*AQ77</f>
        <v>0</v>
      </c>
      <c r="E709" s="180">
        <f>(E624/E613)*SUM(C709:D709)</f>
        <v>0</v>
      </c>
      <c r="F709" s="180">
        <f>(F625/F613)*AQ64</f>
        <v>0</v>
      </c>
      <c r="G709" s="180">
        <f>(G626/G613)*AQ78</f>
        <v>0</v>
      </c>
      <c r="H709" s="180">
        <f>(H629/H613)*AQ60</f>
        <v>0</v>
      </c>
      <c r="I709" s="180">
        <f>(I630/I613)*AQ79</f>
        <v>0</v>
      </c>
      <c r="J709" s="180">
        <f>(J631/J613)*AQ80</f>
        <v>0</v>
      </c>
      <c r="K709" s="180">
        <f>(K645/K613)*AQ76</f>
        <v>0</v>
      </c>
      <c r="L709" s="180">
        <f>(L648/L613)*AQ81</f>
        <v>0</v>
      </c>
      <c r="M709" s="180">
        <f t="shared" si="19"/>
        <v>0</v>
      </c>
      <c r="N709" s="198" t="s">
        <v>732</v>
      </c>
    </row>
    <row r="710" spans="1:15" ht="12.6" customHeight="1" x14ac:dyDescent="0.25">
      <c r="A710" s="196">
        <v>7400</v>
      </c>
      <c r="B710" s="198" t="s">
        <v>733</v>
      </c>
      <c r="C710" s="180">
        <f>AR72</f>
        <v>0</v>
      </c>
      <c r="D710" s="180">
        <f>(D616/D613)*AR77</f>
        <v>0</v>
      </c>
      <c r="E710" s="180">
        <f>(E624/E613)*SUM(C710:D710)</f>
        <v>0</v>
      </c>
      <c r="F710" s="180">
        <f>(F625/F613)*AR64</f>
        <v>0</v>
      </c>
      <c r="G710" s="180">
        <f>(G626/G613)*AR78</f>
        <v>0</v>
      </c>
      <c r="H710" s="180">
        <f>(H629/H613)*AR60</f>
        <v>0</v>
      </c>
      <c r="I710" s="180">
        <f>(I630/I613)*AR79</f>
        <v>0</v>
      </c>
      <c r="J710" s="180">
        <f>(J631/J613)*AR80</f>
        <v>0</v>
      </c>
      <c r="K710" s="180">
        <f>(K645/K613)*AR76</f>
        <v>0</v>
      </c>
      <c r="L710" s="180">
        <f>(L648/L613)*AR81</f>
        <v>0</v>
      </c>
      <c r="M710" s="180">
        <f t="shared" si="19"/>
        <v>0</v>
      </c>
      <c r="N710" s="198" t="s">
        <v>734</v>
      </c>
    </row>
    <row r="711" spans="1:15" ht="12.6" customHeight="1" x14ac:dyDescent="0.25">
      <c r="A711" s="196">
        <v>7410</v>
      </c>
      <c r="B711" s="198" t="s">
        <v>129</v>
      </c>
      <c r="C711" s="180">
        <f>AS72</f>
        <v>0</v>
      </c>
      <c r="D711" s="180">
        <f>(D616/D613)*AS77</f>
        <v>0</v>
      </c>
      <c r="E711" s="180">
        <f>(E624/E613)*SUM(C711:D711)</f>
        <v>0</v>
      </c>
      <c r="F711" s="180">
        <f>(F625/F613)*AS64</f>
        <v>0</v>
      </c>
      <c r="G711" s="180">
        <f>(G626/G613)*AS78</f>
        <v>0</v>
      </c>
      <c r="H711" s="180">
        <f>(H629/H613)*AS60</f>
        <v>0</v>
      </c>
      <c r="I711" s="180">
        <f>(I630/I613)*AS79</f>
        <v>0</v>
      </c>
      <c r="J711" s="180">
        <f>(J631/J613)*AS80</f>
        <v>0</v>
      </c>
      <c r="K711" s="180">
        <f>(K645/K613)*AS76</f>
        <v>0</v>
      </c>
      <c r="L711" s="180">
        <f>(L648/L613)*AS81</f>
        <v>0</v>
      </c>
      <c r="M711" s="180">
        <f t="shared" si="19"/>
        <v>0</v>
      </c>
      <c r="N711" s="198" t="s">
        <v>735</v>
      </c>
    </row>
    <row r="712" spans="1:15" ht="12.6" customHeight="1" x14ac:dyDescent="0.25">
      <c r="A712" s="196">
        <v>7420</v>
      </c>
      <c r="B712" s="198" t="s">
        <v>736</v>
      </c>
      <c r="C712" s="180">
        <f>AT72</f>
        <v>0</v>
      </c>
      <c r="D712" s="180">
        <f>(D616/D613)*AT77</f>
        <v>0</v>
      </c>
      <c r="E712" s="180">
        <f>(E624/E613)*SUM(C712:D712)</f>
        <v>0</v>
      </c>
      <c r="F712" s="180">
        <f>(F625/F613)*AT64</f>
        <v>0</v>
      </c>
      <c r="G712" s="180">
        <f>(G626/G613)*AT78</f>
        <v>0</v>
      </c>
      <c r="H712" s="180">
        <f>(H629/H613)*AT60</f>
        <v>0</v>
      </c>
      <c r="I712" s="180">
        <f>(I630/I613)*AT79</f>
        <v>0</v>
      </c>
      <c r="J712" s="180">
        <f>(J631/J613)*AT80</f>
        <v>0</v>
      </c>
      <c r="K712" s="180">
        <f>(K645/K613)*AT76</f>
        <v>0</v>
      </c>
      <c r="L712" s="180">
        <f>(L648/L613)*AT81</f>
        <v>0</v>
      </c>
      <c r="M712" s="180">
        <f t="shared" si="19"/>
        <v>0</v>
      </c>
      <c r="N712" s="198" t="s">
        <v>737</v>
      </c>
    </row>
    <row r="713" spans="1:15" ht="12.6" customHeight="1" x14ac:dyDescent="0.25">
      <c r="A713" s="196">
        <v>7430</v>
      </c>
      <c r="B713" s="198" t="s">
        <v>738</v>
      </c>
      <c r="C713" s="180">
        <f>AU72</f>
        <v>0</v>
      </c>
      <c r="D713" s="180">
        <f>(D616/D613)*AU77</f>
        <v>0</v>
      </c>
      <c r="E713" s="180">
        <f>(E624/E613)*SUM(C713:D713)</f>
        <v>0</v>
      </c>
      <c r="F713" s="180">
        <f>(F625/F613)*AU64</f>
        <v>0</v>
      </c>
      <c r="G713" s="180">
        <f>(G626/G613)*AU78</f>
        <v>0</v>
      </c>
      <c r="H713" s="180">
        <f>(H629/H613)*AU60</f>
        <v>0</v>
      </c>
      <c r="I713" s="180">
        <f>(I630/I613)*AU79</f>
        <v>0</v>
      </c>
      <c r="J713" s="180">
        <f>(J631/J613)*AU80</f>
        <v>0</v>
      </c>
      <c r="K713" s="180">
        <f>(K645/K613)*AU76</f>
        <v>0</v>
      </c>
      <c r="L713" s="180">
        <f>(L648/L613)*AU81</f>
        <v>0</v>
      </c>
      <c r="M713" s="180">
        <f t="shared" si="19"/>
        <v>0</v>
      </c>
      <c r="N713" s="198" t="s">
        <v>739</v>
      </c>
    </row>
    <row r="714" spans="1:15" ht="12.6" customHeight="1" x14ac:dyDescent="0.25">
      <c r="A714" s="196">
        <v>7490</v>
      </c>
      <c r="B714" s="198" t="s">
        <v>740</v>
      </c>
      <c r="C714" s="180">
        <f>AV72</f>
        <v>128441</v>
      </c>
      <c r="D714" s="180">
        <f>(D616/D613)*AV77</f>
        <v>0</v>
      </c>
      <c r="E714" s="180">
        <f>(E624/E613)*SUM(C714:D714)</f>
        <v>11011.052681707844</v>
      </c>
      <c r="F714" s="180">
        <f>(F625/F613)*AV64</f>
        <v>212.62466635488042</v>
      </c>
      <c r="G714" s="180">
        <f>(G626/G613)*AV78</f>
        <v>0</v>
      </c>
      <c r="H714" s="180">
        <f>(H629/H613)*AV60</f>
        <v>7292.8564641722605</v>
      </c>
      <c r="I714" s="180">
        <f>(I630/I613)*AV79</f>
        <v>0</v>
      </c>
      <c r="J714" s="180">
        <f>(J631/J613)*AV80</f>
        <v>0</v>
      </c>
      <c r="K714" s="180">
        <f>(K645/K613)*AV76</f>
        <v>26842.878244624579</v>
      </c>
      <c r="L714" s="180">
        <f>(L648/L613)*AV81</f>
        <v>146.12179353960317</v>
      </c>
      <c r="M714" s="180">
        <f t="shared" si="19"/>
        <v>45506</v>
      </c>
      <c r="N714" s="199" t="s">
        <v>741</v>
      </c>
    </row>
    <row r="716" spans="1:15" ht="12.6" customHeight="1" x14ac:dyDescent="0.25">
      <c r="C716" s="180">
        <f>SUM(C615:C648)+SUM(C669:C714)</f>
        <v>68085156</v>
      </c>
      <c r="D716" s="180">
        <f>SUM(D617:D648)+SUM(D669:D714)</f>
        <v>-694572</v>
      </c>
      <c r="E716" s="180">
        <f>SUM(E625:E648)+SUM(E669:E714)</f>
        <v>5375964.1765146628</v>
      </c>
      <c r="F716" s="180">
        <f>SUM(F626:F649)+SUM(F669:F714)</f>
        <v>803818.21854412986</v>
      </c>
      <c r="G716" s="180">
        <f>SUM(G627:G648)+SUM(G669:G714)</f>
        <v>1730036.6973050635</v>
      </c>
      <c r="H716" s="180">
        <f>SUM(H630:H648)+SUM(H669:H714)</f>
        <v>1304034.0789550627</v>
      </c>
      <c r="I716" s="180">
        <f>SUM(I631:I648)+SUM(I669:I714)</f>
        <v>1680026.3690083008</v>
      </c>
      <c r="J716" s="180">
        <f>SUM(J632:J648)+SUM(J669:J714)</f>
        <v>386318.23582459497</v>
      </c>
      <c r="K716" s="180">
        <f>SUM(K669:K714)</f>
        <v>11398572.145196557</v>
      </c>
      <c r="L716" s="180">
        <f>SUM(L669:L714)</f>
        <v>847287.21983938897</v>
      </c>
      <c r="M716" s="180">
        <f>SUM(M669:M714)</f>
        <v>21068330</v>
      </c>
      <c r="N716" s="198" t="s">
        <v>742</v>
      </c>
    </row>
    <row r="717" spans="1:15" ht="12.6" customHeight="1" x14ac:dyDescent="0.25">
      <c r="C717" s="180">
        <f>CE72</f>
        <v>68085156</v>
      </c>
      <c r="D717" s="180">
        <f>D616</f>
        <v>-694572</v>
      </c>
      <c r="E717" s="180">
        <f>E624</f>
        <v>5375964.1765146619</v>
      </c>
      <c r="F717" s="180">
        <f>F625</f>
        <v>803818.21854412975</v>
      </c>
      <c r="G717" s="180">
        <f>G626</f>
        <v>1730036.6973050635</v>
      </c>
      <c r="H717" s="180">
        <f>H629</f>
        <v>1304034.0789550624</v>
      </c>
      <c r="I717" s="180">
        <f>I630</f>
        <v>1680026.3690083006</v>
      </c>
      <c r="J717" s="180">
        <f>J631</f>
        <v>386318.23582459491</v>
      </c>
      <c r="K717" s="180">
        <f>K645</f>
        <v>11398572.145196557</v>
      </c>
      <c r="L717" s="180">
        <f>L648</f>
        <v>847287.21983938897</v>
      </c>
      <c r="M717" s="180">
        <f>C649</f>
        <v>21068327</v>
      </c>
      <c r="N717" s="198" t="s">
        <v>743</v>
      </c>
    </row>
    <row r="718" spans="1:15" ht="12.6" customHeight="1" x14ac:dyDescent="0.25">
      <c r="O718" s="198"/>
    </row>
    <row r="719" spans="1:15" ht="12.6" customHeight="1" x14ac:dyDescent="0.25">
      <c r="O719" s="198"/>
    </row>
    <row r="720" spans="1:15" ht="12.6" customHeight="1" x14ac:dyDescent="0.25">
      <c r="O720" s="198"/>
    </row>
    <row r="721" spans="1:84" ht="12.6" customHeight="1" x14ac:dyDescent="0.25">
      <c r="A721" s="201" t="s">
        <v>744</v>
      </c>
      <c r="B721" s="201"/>
      <c r="C721" s="201"/>
      <c r="D721" s="201"/>
      <c r="E721" s="201"/>
      <c r="F721" s="201"/>
      <c r="G721" s="201"/>
      <c r="H721" s="201"/>
      <c r="I721" s="280"/>
      <c r="J721" s="280"/>
      <c r="K721" s="280"/>
      <c r="L721" s="280"/>
      <c r="M721" s="280"/>
      <c r="N721" s="280"/>
      <c r="O721" s="202"/>
      <c r="P721" s="280"/>
      <c r="Q721" s="280"/>
      <c r="R721" s="280"/>
      <c r="S721" s="280"/>
      <c r="T721" s="280"/>
      <c r="U721" s="280"/>
      <c r="V721" s="280"/>
      <c r="W721" s="280"/>
      <c r="X721" s="280"/>
      <c r="Y721" s="280"/>
      <c r="Z721" s="280"/>
      <c r="AA721" s="280"/>
      <c r="AB721" s="280"/>
      <c r="AC721" s="280"/>
      <c r="AD721" s="280"/>
      <c r="AE721" s="280"/>
      <c r="AF721" s="280"/>
      <c r="AG721" s="280"/>
      <c r="AH721" s="280"/>
      <c r="AI721" s="280"/>
      <c r="AJ721" s="280"/>
      <c r="AK721" s="280"/>
      <c r="AL721" s="280"/>
      <c r="AM721" s="280"/>
      <c r="AN721" s="280"/>
      <c r="AO721" s="280"/>
      <c r="AP721" s="280"/>
      <c r="AQ721" s="280"/>
      <c r="AR721" s="280"/>
      <c r="AS721" s="280"/>
      <c r="AT721" s="280"/>
      <c r="AU721" s="280"/>
      <c r="AV721" s="280"/>
      <c r="AW721" s="280"/>
      <c r="AX721" s="280"/>
      <c r="AY721" s="280"/>
      <c r="AZ721" s="280"/>
      <c r="BA721" s="280"/>
      <c r="BB721" s="280"/>
      <c r="BC721" s="280"/>
      <c r="BD721" s="280"/>
      <c r="BE721" s="280"/>
      <c r="BF721" s="280"/>
      <c r="BG721" s="280"/>
      <c r="BH721" s="280"/>
      <c r="BI721" s="280"/>
      <c r="BJ721" s="280"/>
      <c r="BK721" s="280"/>
      <c r="BL721" s="280"/>
      <c r="BM721" s="280"/>
      <c r="BN721" s="280"/>
      <c r="BO721" s="280"/>
      <c r="BP721" s="280"/>
      <c r="BQ721" s="280"/>
      <c r="BR721" s="280"/>
      <c r="BS721" s="280"/>
      <c r="BT721" s="280"/>
      <c r="BU721" s="280"/>
      <c r="BV721" s="280"/>
      <c r="BW721" s="280"/>
      <c r="BX721" s="280"/>
      <c r="BY721" s="280"/>
      <c r="BZ721" s="280"/>
      <c r="CA721" s="280"/>
      <c r="CB721" s="280"/>
      <c r="CC721" s="280"/>
      <c r="CD721" s="280"/>
    </row>
    <row r="722" spans="1:84" ht="12.6" customHeight="1" x14ac:dyDescent="0.25">
      <c r="A722" s="203" t="s">
        <v>745</v>
      </c>
      <c r="B722" s="203" t="s">
        <v>746</v>
      </c>
      <c r="C722" s="203" t="s">
        <v>747</v>
      </c>
      <c r="D722" s="203" t="s">
        <v>748</v>
      </c>
      <c r="E722" s="203" t="s">
        <v>749</v>
      </c>
      <c r="F722" s="203" t="s">
        <v>750</v>
      </c>
      <c r="G722" s="203" t="s">
        <v>751</v>
      </c>
      <c r="H722" s="203" t="s">
        <v>752</v>
      </c>
      <c r="I722" s="203" t="s">
        <v>753</v>
      </c>
      <c r="J722" s="203" t="s">
        <v>754</v>
      </c>
      <c r="K722" s="203" t="s">
        <v>755</v>
      </c>
      <c r="L722" s="203" t="s">
        <v>756</v>
      </c>
      <c r="M722" s="203" t="s">
        <v>757</v>
      </c>
      <c r="N722" s="203" t="s">
        <v>758</v>
      </c>
      <c r="O722" s="203" t="s">
        <v>759</v>
      </c>
      <c r="P722" s="203" t="s">
        <v>760</v>
      </c>
      <c r="Q722" s="203" t="s">
        <v>761</v>
      </c>
      <c r="R722" s="203" t="s">
        <v>762</v>
      </c>
      <c r="S722" s="203" t="s">
        <v>763</v>
      </c>
      <c r="T722" s="203" t="s">
        <v>764</v>
      </c>
      <c r="U722" s="203" t="s">
        <v>765</v>
      </c>
      <c r="V722" s="203" t="s">
        <v>766</v>
      </c>
      <c r="W722" s="203" t="s">
        <v>767</v>
      </c>
      <c r="X722" s="203" t="s">
        <v>768</v>
      </c>
      <c r="Y722" s="203" t="s">
        <v>769</v>
      </c>
      <c r="Z722" s="203" t="s">
        <v>770</v>
      </c>
      <c r="AA722" s="203" t="s">
        <v>771</v>
      </c>
      <c r="AB722" s="203" t="s">
        <v>772</v>
      </c>
      <c r="AC722" s="203" t="s">
        <v>773</v>
      </c>
      <c r="AD722" s="203" t="s">
        <v>774</v>
      </c>
      <c r="AE722" s="203" t="s">
        <v>775</v>
      </c>
      <c r="AF722" s="203" t="s">
        <v>776</v>
      </c>
      <c r="AG722" s="203" t="s">
        <v>777</v>
      </c>
      <c r="AH722" s="203" t="s">
        <v>778</v>
      </c>
      <c r="AI722" s="203" t="s">
        <v>779</v>
      </c>
      <c r="AJ722" s="203" t="s">
        <v>780</v>
      </c>
      <c r="AK722" s="203" t="s">
        <v>781</v>
      </c>
      <c r="AL722" s="203" t="s">
        <v>782</v>
      </c>
      <c r="AM722" s="203" t="s">
        <v>783</v>
      </c>
      <c r="AN722" s="203" t="s">
        <v>784</v>
      </c>
      <c r="AO722" s="203" t="s">
        <v>785</v>
      </c>
      <c r="AP722" s="203" t="s">
        <v>786</v>
      </c>
      <c r="AQ722" s="203" t="s">
        <v>787</v>
      </c>
      <c r="AR722" s="203" t="s">
        <v>788</v>
      </c>
      <c r="AS722" s="203" t="s">
        <v>789</v>
      </c>
      <c r="AT722" s="203" t="s">
        <v>790</v>
      </c>
      <c r="AU722" s="203" t="s">
        <v>791</v>
      </c>
      <c r="AV722" s="203" t="s">
        <v>792</v>
      </c>
      <c r="AW722" s="203" t="s">
        <v>793</v>
      </c>
      <c r="AX722" s="203" t="s">
        <v>794</v>
      </c>
      <c r="AY722" s="203" t="s">
        <v>795</v>
      </c>
      <c r="AZ722" s="203" t="s">
        <v>796</v>
      </c>
      <c r="BA722" s="203" t="s">
        <v>797</v>
      </c>
      <c r="BB722" s="203" t="s">
        <v>798</v>
      </c>
      <c r="BC722" s="203" t="s">
        <v>799</v>
      </c>
      <c r="BD722" s="203" t="s">
        <v>800</v>
      </c>
      <c r="BE722" s="203" t="s">
        <v>801</v>
      </c>
      <c r="BF722" s="203" t="s">
        <v>802</v>
      </c>
      <c r="BG722" s="203" t="s">
        <v>803</v>
      </c>
      <c r="BH722" s="203" t="s">
        <v>804</v>
      </c>
      <c r="BI722" s="203" t="s">
        <v>805</v>
      </c>
      <c r="BJ722" s="203" t="s">
        <v>806</v>
      </c>
      <c r="BK722" s="203" t="s">
        <v>807</v>
      </c>
      <c r="BL722" s="203" t="s">
        <v>808</v>
      </c>
      <c r="BM722" s="203" t="s">
        <v>809</v>
      </c>
      <c r="BN722" s="203" t="s">
        <v>810</v>
      </c>
      <c r="BO722" s="203" t="s">
        <v>811</v>
      </c>
      <c r="BP722" s="203" t="s">
        <v>812</v>
      </c>
      <c r="BQ722" s="203" t="s">
        <v>813</v>
      </c>
      <c r="BR722" s="203" t="s">
        <v>814</v>
      </c>
      <c r="BS722" s="203" t="s">
        <v>815</v>
      </c>
      <c r="BT722" s="203" t="s">
        <v>816</v>
      </c>
      <c r="BU722" s="203" t="s">
        <v>817</v>
      </c>
      <c r="BV722" s="203" t="s">
        <v>818</v>
      </c>
      <c r="BW722" s="203" t="s">
        <v>819</v>
      </c>
      <c r="BX722" s="203" t="s">
        <v>820</v>
      </c>
      <c r="BY722" s="203" t="s">
        <v>821</v>
      </c>
      <c r="BZ722" s="281" t="s">
        <v>822</v>
      </c>
      <c r="CA722" s="203" t="s">
        <v>823</v>
      </c>
      <c r="CB722" s="203" t="s">
        <v>824</v>
      </c>
      <c r="CC722" s="203" t="s">
        <v>825</v>
      </c>
    </row>
    <row r="723" spans="1:84" ht="12.6" customHeight="1" x14ac:dyDescent="0.25">
      <c r="A723" s="282" t="str">
        <f>RIGHT(C84,3)&amp;"*"&amp;RIGHT(C83,4)&amp;"*"&amp;"A"</f>
        <v>078*2017*A</v>
      </c>
      <c r="B723" s="280">
        <f>ROUND(C166,0)</f>
        <v>2416654</v>
      </c>
      <c r="C723" s="280">
        <f>ROUND(C167,0)</f>
        <v>120912</v>
      </c>
      <c r="D723" s="280">
        <f>ROUND(C168,0)</f>
        <v>404099</v>
      </c>
      <c r="E723" s="280">
        <f>ROUND(C169,0)</f>
        <v>4341569</v>
      </c>
      <c r="F723" s="280">
        <f>ROUND(C170,0)</f>
        <v>62875</v>
      </c>
      <c r="G723" s="280">
        <f>ROUND(C171,0)</f>
        <v>2084685</v>
      </c>
      <c r="H723" s="280">
        <f>ROUND(C172+C173,0)</f>
        <v>63363</v>
      </c>
      <c r="I723" s="280">
        <f>ROUND(C176,0)</f>
        <v>77807</v>
      </c>
      <c r="J723" s="280">
        <f>ROUND(C177,0)</f>
        <v>907953</v>
      </c>
      <c r="K723" s="280">
        <f>ROUND(C180,0)</f>
        <v>534486</v>
      </c>
      <c r="L723" s="280">
        <f>ROUND(C181,0)</f>
        <v>140119</v>
      </c>
      <c r="M723" s="280">
        <f>ROUND(C184,0)</f>
        <v>0</v>
      </c>
      <c r="N723" s="280">
        <f>ROUND(C185,0)</f>
        <v>0</v>
      </c>
      <c r="O723" s="280">
        <f>ROUND(C186,0)</f>
        <v>0</v>
      </c>
      <c r="P723" s="280">
        <f>ROUND(C189,0)</f>
        <v>0</v>
      </c>
      <c r="Q723" s="280">
        <f>ROUND(C190,0)</f>
        <v>423314</v>
      </c>
      <c r="R723" s="280">
        <f>ROUND(B196,0)</f>
        <v>932777</v>
      </c>
      <c r="S723" s="280">
        <f>ROUND(C196,0)</f>
        <v>0</v>
      </c>
      <c r="T723" s="280">
        <f>ROUND(D196,0)</f>
        <v>0</v>
      </c>
      <c r="U723" s="280">
        <f>ROUND(B197,0)</f>
        <v>542357</v>
      </c>
      <c r="V723" s="280">
        <f>ROUND(C197,0)</f>
        <v>13488</v>
      </c>
      <c r="W723" s="280">
        <f>ROUND(D197,0)</f>
        <v>0</v>
      </c>
      <c r="X723" s="280">
        <f>ROUND(B198,0)</f>
        <v>48310994</v>
      </c>
      <c r="Y723" s="280">
        <f>ROUND(C198,0)</f>
        <v>1586102</v>
      </c>
      <c r="Z723" s="280">
        <f>ROUND(D198,0)</f>
        <v>0</v>
      </c>
      <c r="AA723" s="280">
        <f>ROUND(B199,0)</f>
        <v>3821672</v>
      </c>
      <c r="AB723" s="280">
        <f>ROUND(C199,0)</f>
        <v>90184</v>
      </c>
      <c r="AC723" s="280">
        <f>ROUND(D199,0)</f>
        <v>0</v>
      </c>
      <c r="AD723" s="280">
        <f>ROUND(B200,0)</f>
        <v>0</v>
      </c>
      <c r="AE723" s="280">
        <f>ROUND(C200,0)</f>
        <v>0</v>
      </c>
      <c r="AF723" s="280">
        <f>ROUND(D200,0)</f>
        <v>0</v>
      </c>
      <c r="AG723" s="280">
        <f>ROUND(B201,0)</f>
        <v>28040159</v>
      </c>
      <c r="AH723" s="280">
        <f>ROUND(C201,0)</f>
        <v>1285093</v>
      </c>
      <c r="AI723" s="280">
        <f>ROUND(D201,0)</f>
        <v>473675</v>
      </c>
      <c r="AJ723" s="280">
        <f>ROUND(B202,0)</f>
        <v>0</v>
      </c>
      <c r="AK723" s="280">
        <f>ROUND(C202,0)</f>
        <v>0</v>
      </c>
      <c r="AL723" s="280">
        <f>ROUND(D202,0)</f>
        <v>0</v>
      </c>
      <c r="AM723" s="280">
        <f>ROUND(B203,0)</f>
        <v>0</v>
      </c>
      <c r="AN723" s="280">
        <f>ROUND(C203,0)</f>
        <v>0</v>
      </c>
      <c r="AO723" s="280">
        <f>ROUND(D203,0)</f>
        <v>0</v>
      </c>
      <c r="AP723" s="280">
        <f>ROUND(B204,0)</f>
        <v>818109</v>
      </c>
      <c r="AQ723" s="280">
        <f>ROUND(C204,0)</f>
        <v>1047354</v>
      </c>
      <c r="AR723" s="280">
        <f>ROUND(D204,0)</f>
        <v>0</v>
      </c>
      <c r="AS723" s="280"/>
      <c r="AT723" s="280"/>
      <c r="AU723" s="280"/>
      <c r="AV723" s="280">
        <f>ROUND(B210,0)</f>
        <v>200236</v>
      </c>
      <c r="AW723" s="280">
        <f>ROUND(C210,0)</f>
        <v>23746</v>
      </c>
      <c r="AX723" s="280">
        <f>ROUND(D210,0)</f>
        <v>0</v>
      </c>
      <c r="AY723" s="280">
        <f>ROUND(B211,0)</f>
        <v>31942498</v>
      </c>
      <c r="AZ723" s="280">
        <f>ROUND(C211,0)</f>
        <v>909165</v>
      </c>
      <c r="BA723" s="280">
        <f>ROUND(D211,0)</f>
        <v>0</v>
      </c>
      <c r="BB723" s="280">
        <f>ROUND(B212,0)</f>
        <v>1000995</v>
      </c>
      <c r="BC723" s="280">
        <f>ROUND(C212,0)</f>
        <v>157710</v>
      </c>
      <c r="BD723" s="280">
        <f>ROUND(D212,0)</f>
        <v>0</v>
      </c>
      <c r="BE723" s="280">
        <f>ROUND(B213,0)</f>
        <v>0</v>
      </c>
      <c r="BF723" s="280">
        <f>ROUND(C213,0)</f>
        <v>0</v>
      </c>
      <c r="BG723" s="280">
        <f>ROUND(D213,0)</f>
        <v>0</v>
      </c>
      <c r="BH723" s="280">
        <f>ROUND(B214,0)</f>
        <v>19655220</v>
      </c>
      <c r="BI723" s="280">
        <f>ROUND(C214,0)</f>
        <v>1115689</v>
      </c>
      <c r="BJ723" s="280">
        <f>ROUND(D214,0)</f>
        <v>462495</v>
      </c>
      <c r="BK723" s="280">
        <f>ROUND(B215,0)</f>
        <v>0</v>
      </c>
      <c r="BL723" s="280">
        <f>ROUND(C215,0)</f>
        <v>0</v>
      </c>
      <c r="BM723" s="280">
        <f>ROUND(D215,0)</f>
        <v>0</v>
      </c>
      <c r="BN723" s="280">
        <f>ROUND(B216,0)</f>
        <v>0</v>
      </c>
      <c r="BO723" s="280">
        <f>ROUND(C216,0)</f>
        <v>0</v>
      </c>
      <c r="BP723" s="280">
        <f>ROUND(D216,0)</f>
        <v>0</v>
      </c>
      <c r="BQ723" s="280">
        <f>ROUND(B217,0)</f>
        <v>0</v>
      </c>
      <c r="BR723" s="280">
        <f>ROUND(C217,0)</f>
        <v>0</v>
      </c>
      <c r="BS723" s="280">
        <f>ROUND(D217,0)</f>
        <v>0</v>
      </c>
      <c r="BT723" s="280">
        <f>ROUND(C224,0)</f>
        <v>46713026</v>
      </c>
      <c r="BU723" s="280">
        <f>ROUND(C225,0)</f>
        <v>6999117</v>
      </c>
      <c r="BV723" s="280">
        <f>ROUND(C226,0)</f>
        <v>3074935</v>
      </c>
      <c r="BW723" s="280">
        <f>ROUND(C227,0)</f>
        <v>595102</v>
      </c>
      <c r="BX723" s="280">
        <f>ROUND(C228,0)</f>
        <v>0</v>
      </c>
      <c r="BY723" s="280">
        <f>ROUND(C229,0)</f>
        <v>252339</v>
      </c>
      <c r="BZ723" s="280">
        <f>ROUND(C232,0)</f>
        <v>0</v>
      </c>
      <c r="CA723" s="280">
        <f>ROUND(C234,0)</f>
        <v>2636350</v>
      </c>
      <c r="CB723" s="280">
        <f>ROUND(C235,0)</f>
        <v>0</v>
      </c>
      <c r="CC723" s="280">
        <f>ROUND(C239+C240,0)</f>
        <v>76546473</v>
      </c>
    </row>
    <row r="725" spans="1:84" ht="12.6" customHeight="1" x14ac:dyDescent="0.25">
      <c r="A725" s="201" t="s">
        <v>148</v>
      </c>
      <c r="B725" s="201"/>
      <c r="C725" s="201"/>
      <c r="D725" s="201"/>
      <c r="E725" s="201"/>
      <c r="F725" s="201"/>
      <c r="G725" s="201"/>
      <c r="H725" s="280"/>
      <c r="I725" s="280"/>
      <c r="J725" s="280"/>
      <c r="K725" s="280"/>
      <c r="L725" s="280"/>
      <c r="M725" s="280"/>
      <c r="N725" s="280"/>
      <c r="O725" s="280"/>
      <c r="P725" s="280"/>
      <c r="Q725" s="280"/>
      <c r="R725" s="280"/>
      <c r="S725" s="280"/>
      <c r="T725" s="280"/>
      <c r="U725" s="280"/>
      <c r="V725" s="280"/>
      <c r="W725" s="280"/>
      <c r="X725" s="280"/>
      <c r="Y725" s="280"/>
      <c r="Z725" s="280"/>
      <c r="AA725" s="280"/>
      <c r="AB725" s="280"/>
      <c r="AC725" s="280"/>
      <c r="AD725" s="280"/>
      <c r="AE725" s="280"/>
      <c r="AF725" s="280"/>
      <c r="AG725" s="280"/>
      <c r="AH725" s="280"/>
      <c r="AI725" s="280"/>
      <c r="AJ725" s="280"/>
      <c r="AK725" s="280"/>
      <c r="AL725" s="280"/>
      <c r="AM725" s="280"/>
      <c r="AN725" s="280"/>
      <c r="AO725" s="280"/>
      <c r="AP725" s="280"/>
      <c r="AQ725" s="280"/>
      <c r="AR725" s="280"/>
      <c r="AS725" s="280"/>
      <c r="AT725" s="280"/>
      <c r="AU725" s="280"/>
      <c r="AV725" s="280"/>
      <c r="AW725" s="280"/>
      <c r="AX725" s="280"/>
      <c r="AY725" s="280"/>
      <c r="AZ725" s="280"/>
      <c r="BA725" s="280"/>
      <c r="BB725" s="280"/>
      <c r="BC725" s="280"/>
      <c r="BD725" s="280"/>
      <c r="BE725" s="280"/>
      <c r="BF725" s="280"/>
      <c r="BG725" s="280"/>
      <c r="BH725" s="280"/>
      <c r="BI725" s="280"/>
      <c r="BJ725" s="280"/>
      <c r="BK725" s="280"/>
      <c r="BL725" s="280"/>
      <c r="BM725" s="280"/>
      <c r="BN725" s="280"/>
      <c r="BO725" s="280"/>
      <c r="BP725" s="280"/>
      <c r="BQ725" s="280"/>
      <c r="BR725" s="280"/>
    </row>
    <row r="726" spans="1:84" ht="12.6" customHeight="1" x14ac:dyDescent="0.25">
      <c r="A726" s="203" t="s">
        <v>745</v>
      </c>
      <c r="B726" s="203" t="s">
        <v>826</v>
      </c>
      <c r="C726" s="203" t="s">
        <v>827</v>
      </c>
      <c r="D726" s="203" t="s">
        <v>828</v>
      </c>
      <c r="E726" s="203" t="s">
        <v>829</v>
      </c>
      <c r="F726" s="203" t="s">
        <v>830</v>
      </c>
      <c r="G726" s="203" t="s">
        <v>831</v>
      </c>
      <c r="H726" s="203" t="s">
        <v>832</v>
      </c>
      <c r="I726" s="203" t="s">
        <v>833</v>
      </c>
      <c r="J726" s="203" t="s">
        <v>834</v>
      </c>
      <c r="K726" s="203" t="s">
        <v>835</v>
      </c>
      <c r="L726" s="203" t="s">
        <v>836</v>
      </c>
      <c r="M726" s="203" t="s">
        <v>837</v>
      </c>
      <c r="N726" s="203" t="s">
        <v>838</v>
      </c>
      <c r="O726" s="203" t="s">
        <v>839</v>
      </c>
      <c r="P726" s="203" t="s">
        <v>840</v>
      </c>
      <c r="Q726" s="203" t="s">
        <v>841</v>
      </c>
      <c r="R726" s="203" t="s">
        <v>842</v>
      </c>
      <c r="S726" s="203" t="s">
        <v>843</v>
      </c>
      <c r="T726" s="203" t="s">
        <v>844</v>
      </c>
      <c r="U726" s="203" t="s">
        <v>845</v>
      </c>
      <c r="V726" s="203" t="s">
        <v>846</v>
      </c>
      <c r="W726" s="203" t="s">
        <v>847</v>
      </c>
      <c r="X726" s="203" t="s">
        <v>848</v>
      </c>
      <c r="Y726" s="203" t="s">
        <v>849</v>
      </c>
      <c r="Z726" s="203" t="s">
        <v>850</v>
      </c>
      <c r="AA726" s="203" t="s">
        <v>851</v>
      </c>
      <c r="AB726" s="203" t="s">
        <v>852</v>
      </c>
      <c r="AC726" s="203" t="s">
        <v>853</v>
      </c>
      <c r="AD726" s="203" t="s">
        <v>854</v>
      </c>
      <c r="AE726" s="203" t="s">
        <v>855</v>
      </c>
      <c r="AF726" s="203" t="s">
        <v>856</v>
      </c>
      <c r="AG726" s="203" t="s">
        <v>857</v>
      </c>
      <c r="AH726" s="203" t="s">
        <v>858</v>
      </c>
      <c r="AI726" s="203" t="s">
        <v>859</v>
      </c>
      <c r="AJ726" s="203" t="s">
        <v>860</v>
      </c>
      <c r="AK726" s="203" t="s">
        <v>861</v>
      </c>
      <c r="AL726" s="203" t="s">
        <v>862</v>
      </c>
      <c r="AM726" s="203" t="s">
        <v>863</v>
      </c>
      <c r="AN726" s="203" t="s">
        <v>864</v>
      </c>
      <c r="AO726" s="203" t="s">
        <v>865</v>
      </c>
      <c r="AP726" s="203" t="s">
        <v>866</v>
      </c>
      <c r="AQ726" s="203" t="s">
        <v>867</v>
      </c>
      <c r="AR726" s="203" t="s">
        <v>868</v>
      </c>
      <c r="AS726" s="203" t="s">
        <v>869</v>
      </c>
      <c r="AT726" s="203" t="s">
        <v>870</v>
      </c>
      <c r="AU726" s="203" t="s">
        <v>871</v>
      </c>
      <c r="AV726" s="203" t="s">
        <v>872</v>
      </c>
      <c r="AW726" s="203" t="s">
        <v>873</v>
      </c>
      <c r="AX726" s="203" t="s">
        <v>874</v>
      </c>
      <c r="AY726" s="203" t="s">
        <v>875</v>
      </c>
      <c r="AZ726" s="203" t="s">
        <v>876</v>
      </c>
      <c r="BA726" s="203" t="s">
        <v>877</v>
      </c>
      <c r="BB726" s="203" t="s">
        <v>878</v>
      </c>
      <c r="BC726" s="203" t="s">
        <v>879</v>
      </c>
      <c r="BD726" s="203" t="s">
        <v>880</v>
      </c>
      <c r="BE726" s="203" t="s">
        <v>881</v>
      </c>
      <c r="BF726" s="203" t="s">
        <v>882</v>
      </c>
      <c r="BG726" s="203" t="s">
        <v>883</v>
      </c>
      <c r="BH726" s="203" t="s">
        <v>884</v>
      </c>
      <c r="BI726" s="203" t="s">
        <v>885</v>
      </c>
      <c r="BJ726" s="203" t="s">
        <v>886</v>
      </c>
      <c r="BK726" s="203" t="s">
        <v>887</v>
      </c>
      <c r="BL726" s="203" t="s">
        <v>888</v>
      </c>
      <c r="BM726" s="203" t="s">
        <v>889</v>
      </c>
      <c r="BN726" s="203" t="s">
        <v>890</v>
      </c>
      <c r="BO726" s="203" t="s">
        <v>891</v>
      </c>
      <c r="BP726" s="203" t="s">
        <v>892</v>
      </c>
      <c r="BQ726" s="203" t="s">
        <v>893</v>
      </c>
      <c r="BR726" s="203" t="s">
        <v>894</v>
      </c>
    </row>
    <row r="727" spans="1:84" ht="12.6" customHeight="1" x14ac:dyDescent="0.25">
      <c r="A727" s="282" t="str">
        <f>RIGHT(C84,3)&amp;"*"&amp;RIGHT(C83,4)&amp;"*"&amp;"A"</f>
        <v>078*2017*A</v>
      </c>
      <c r="B727" s="280">
        <f>ROUND(C112,0)</f>
        <v>3053</v>
      </c>
      <c r="C727" s="280">
        <f>ROUND(C113,0)</f>
        <v>0</v>
      </c>
      <c r="D727" s="280">
        <f>ROUND(C114,0)</f>
        <v>0</v>
      </c>
      <c r="E727" s="280">
        <f>ROUND(C115,0)</f>
        <v>1027</v>
      </c>
      <c r="F727" s="280">
        <f>ROUND(D112,0)</f>
        <v>8927</v>
      </c>
      <c r="G727" s="280">
        <f>ROUND(D113,0)</f>
        <v>0</v>
      </c>
      <c r="H727" s="280">
        <f>ROUND(D114,0)</f>
        <v>0</v>
      </c>
      <c r="I727" s="280">
        <f>ROUND(D115,0)</f>
        <v>1764</v>
      </c>
      <c r="J727" s="280">
        <f>ROUND(C117,0)</f>
        <v>0</v>
      </c>
      <c r="K727" s="280">
        <f>ROUND(C118,0)</f>
        <v>12</v>
      </c>
      <c r="L727" s="280">
        <f>ROUND(C119,0)</f>
        <v>0</v>
      </c>
      <c r="M727" s="280">
        <f>ROUND(C120,0)</f>
        <v>0</v>
      </c>
      <c r="N727" s="280">
        <f>ROUND(C121,0)</f>
        <v>11</v>
      </c>
      <c r="O727" s="280">
        <f>ROUND(C122,0)</f>
        <v>0</v>
      </c>
      <c r="P727" s="280">
        <f>ROUND(C123,0)</f>
        <v>0</v>
      </c>
      <c r="Q727" s="280">
        <f>ROUND(C124,0)</f>
        <v>23</v>
      </c>
      <c r="R727" s="280">
        <f>ROUND(C125,0)</f>
        <v>0</v>
      </c>
      <c r="S727" s="280">
        <f>ROUND(C126,0)</f>
        <v>0</v>
      </c>
      <c r="T727" s="280"/>
      <c r="U727" s="280">
        <f>ROUND(C127,0)</f>
        <v>0</v>
      </c>
      <c r="V727" s="280">
        <f>ROUND(C129,0)</f>
        <v>50</v>
      </c>
      <c r="W727" s="280">
        <f>ROUND(C130,0)</f>
        <v>11</v>
      </c>
      <c r="X727" s="280">
        <f>ROUND(B139,0)</f>
        <v>907</v>
      </c>
      <c r="Y727" s="280">
        <f>ROUND(B140,0)</f>
        <v>4429</v>
      </c>
      <c r="Z727" s="280">
        <f>ROUND(B141,0)</f>
        <v>0</v>
      </c>
      <c r="AA727" s="280">
        <f>ROUND(B142,0)</f>
        <v>33924015</v>
      </c>
      <c r="AB727" s="280">
        <f>ROUND(B143,0)</f>
        <v>32135194</v>
      </c>
      <c r="AC727" s="280">
        <f>ROUND(C139,0)</f>
        <v>1019</v>
      </c>
      <c r="AD727" s="280">
        <f>ROUND(C140,0)</f>
        <v>2526</v>
      </c>
      <c r="AE727" s="280">
        <f>ROUND(C141,0)</f>
        <v>0</v>
      </c>
      <c r="AF727" s="280">
        <f>ROUND(C142,0)</f>
        <v>27458542</v>
      </c>
      <c r="AG727" s="280">
        <f>ROUND(C143,0)</f>
        <v>41564091</v>
      </c>
      <c r="AH727" s="280">
        <f>ROUND(D139,0)</f>
        <v>988</v>
      </c>
      <c r="AI727" s="280">
        <f>ROUND(D140,0)</f>
        <v>1972</v>
      </c>
      <c r="AJ727" s="280">
        <f>ROUND(D141,0)</f>
        <v>0</v>
      </c>
      <c r="AK727" s="280">
        <f>ROUND(D142,0)</f>
        <v>22289366</v>
      </c>
      <c r="AL727" s="280">
        <f>ROUND(D143,0)</f>
        <v>48004825</v>
      </c>
      <c r="AM727" s="280">
        <f>ROUND(B145,0)</f>
        <v>0</v>
      </c>
      <c r="AN727" s="280">
        <f>ROUND(B146,0)</f>
        <v>0</v>
      </c>
      <c r="AO727" s="280">
        <f>ROUND(B147,0)</f>
        <v>0</v>
      </c>
      <c r="AP727" s="280">
        <f>ROUND(B148,0)</f>
        <v>0</v>
      </c>
      <c r="AQ727" s="280">
        <f>ROUND(B149,0)</f>
        <v>0</v>
      </c>
      <c r="AR727" s="280">
        <f>ROUND(C145,0)</f>
        <v>0</v>
      </c>
      <c r="AS727" s="280">
        <f>ROUND(C146,0)</f>
        <v>0</v>
      </c>
      <c r="AT727" s="280">
        <f>ROUND(C147,0)</f>
        <v>0</v>
      </c>
      <c r="AU727" s="280">
        <f>ROUND(C148,0)</f>
        <v>0</v>
      </c>
      <c r="AV727" s="280">
        <f>ROUND(C149,0)</f>
        <v>0</v>
      </c>
      <c r="AW727" s="280">
        <f>ROUND(D145,0)</f>
        <v>0</v>
      </c>
      <c r="AX727" s="280">
        <f>ROUND(D146,0)</f>
        <v>0</v>
      </c>
      <c r="AY727" s="280">
        <f>ROUND(D147,0)</f>
        <v>0</v>
      </c>
      <c r="AZ727" s="280">
        <f>ROUND(D148,0)</f>
        <v>0</v>
      </c>
      <c r="BA727" s="280">
        <f>ROUND(D149,0)</f>
        <v>0</v>
      </c>
      <c r="BB727" s="280">
        <f>ROUND(B151,0)</f>
        <v>0</v>
      </c>
      <c r="BC727" s="280">
        <f>ROUND(B152,0)</f>
        <v>0</v>
      </c>
      <c r="BD727" s="280">
        <f>ROUND(B153,0)</f>
        <v>0</v>
      </c>
      <c r="BE727" s="280">
        <f>ROUND(B154,0)</f>
        <v>0</v>
      </c>
      <c r="BF727" s="280">
        <f>ROUND(B155,0)</f>
        <v>0</v>
      </c>
      <c r="BG727" s="280">
        <f>ROUND(C151,0)</f>
        <v>0</v>
      </c>
      <c r="BH727" s="280">
        <f>ROUND(C152,0)</f>
        <v>0</v>
      </c>
      <c r="BI727" s="280">
        <f>ROUND(C153,0)</f>
        <v>0</v>
      </c>
      <c r="BJ727" s="280">
        <f>ROUND(C154,0)</f>
        <v>0</v>
      </c>
      <c r="BK727" s="280">
        <f>ROUND(C155,0)</f>
        <v>0</v>
      </c>
      <c r="BL727" s="280">
        <f>ROUND(D151,0)</f>
        <v>0</v>
      </c>
      <c r="BM727" s="280">
        <f>ROUND(D152,0)</f>
        <v>0</v>
      </c>
      <c r="BN727" s="280">
        <f>ROUND(D153,0)</f>
        <v>0</v>
      </c>
      <c r="BO727" s="280">
        <f>ROUND(D154,0)</f>
        <v>0</v>
      </c>
      <c r="BP727" s="280">
        <f>ROUND(D155,0)</f>
        <v>0</v>
      </c>
      <c r="BQ727" s="280">
        <f>ROUND(B158,0)</f>
        <v>0</v>
      </c>
      <c r="BR727" s="280">
        <f>ROUND(C158,0)</f>
        <v>0</v>
      </c>
    </row>
    <row r="729" spans="1:84" ht="12.6" customHeight="1" x14ac:dyDescent="0.25">
      <c r="A729" s="201" t="s">
        <v>895</v>
      </c>
      <c r="B729" s="201"/>
      <c r="C729" s="201"/>
      <c r="D729" s="201"/>
      <c r="E729" s="201"/>
      <c r="F729" s="201"/>
      <c r="G729" s="201"/>
      <c r="H729" s="280"/>
      <c r="I729" s="280"/>
      <c r="J729" s="280"/>
      <c r="K729" s="280"/>
      <c r="L729" s="280"/>
      <c r="M729" s="280"/>
      <c r="N729" s="280"/>
      <c r="O729" s="280"/>
      <c r="P729" s="280"/>
      <c r="Q729" s="280"/>
      <c r="R729" s="280"/>
      <c r="S729" s="280"/>
      <c r="T729" s="280"/>
      <c r="U729" s="280"/>
      <c r="V729" s="280"/>
      <c r="W729" s="280"/>
      <c r="X729" s="280"/>
      <c r="Y729" s="280"/>
      <c r="Z729" s="280"/>
      <c r="AA729" s="280"/>
      <c r="AB729" s="280"/>
      <c r="AC729" s="280"/>
      <c r="AD729" s="280"/>
      <c r="AE729" s="280"/>
      <c r="AF729" s="280"/>
      <c r="AG729" s="280"/>
      <c r="AH729" s="280"/>
      <c r="AI729" s="280"/>
      <c r="AJ729" s="280"/>
      <c r="AK729" s="280"/>
      <c r="AL729" s="280"/>
      <c r="AM729" s="280"/>
      <c r="AN729" s="280"/>
      <c r="AO729" s="280"/>
      <c r="AP729" s="280"/>
      <c r="AQ729" s="280"/>
      <c r="AR729" s="280"/>
      <c r="AS729" s="280"/>
      <c r="AT729" s="280"/>
      <c r="AU729" s="280"/>
      <c r="AV729" s="280"/>
      <c r="AW729" s="280"/>
      <c r="AX729" s="280"/>
      <c r="AY729" s="280"/>
      <c r="AZ729" s="280"/>
      <c r="BA729" s="280"/>
      <c r="BB729" s="280"/>
      <c r="BC729" s="280"/>
      <c r="BD729" s="280"/>
      <c r="BE729" s="280"/>
      <c r="BF729" s="280"/>
      <c r="BG729" s="280"/>
      <c r="BH729" s="280"/>
      <c r="BI729" s="280"/>
      <c r="BJ729" s="280"/>
      <c r="BK729" s="280"/>
      <c r="BL729" s="280"/>
      <c r="BM729" s="280"/>
      <c r="BN729" s="280"/>
      <c r="BO729" s="280"/>
      <c r="BP729" s="280"/>
      <c r="BQ729" s="280"/>
      <c r="BR729" s="280"/>
      <c r="BS729" s="280"/>
      <c r="BT729" s="280"/>
      <c r="BU729" s="280"/>
      <c r="BV729" s="280"/>
      <c r="BW729" s="280"/>
      <c r="BX729" s="280"/>
      <c r="BY729" s="280"/>
      <c r="BZ729" s="280"/>
      <c r="CA729" s="280"/>
      <c r="CB729" s="280"/>
      <c r="CC729" s="280"/>
      <c r="CD729" s="280"/>
      <c r="CE729" s="280"/>
      <c r="CF729" s="280"/>
    </row>
    <row r="730" spans="1:84" ht="12.6" customHeight="1" x14ac:dyDescent="0.25">
      <c r="A730" s="203" t="s">
        <v>745</v>
      </c>
      <c r="B730" s="203" t="s">
        <v>896</v>
      </c>
      <c r="C730" s="203" t="s">
        <v>897</v>
      </c>
      <c r="D730" s="203" t="s">
        <v>898</v>
      </c>
      <c r="E730" s="203" t="s">
        <v>899</v>
      </c>
      <c r="F730" s="203" t="s">
        <v>900</v>
      </c>
      <c r="G730" s="203" t="s">
        <v>901</v>
      </c>
      <c r="H730" s="203" t="s">
        <v>902</v>
      </c>
      <c r="I730" s="203" t="s">
        <v>903</v>
      </c>
      <c r="J730" s="203" t="s">
        <v>904</v>
      </c>
      <c r="K730" s="203" t="s">
        <v>905</v>
      </c>
      <c r="L730" s="203" t="s">
        <v>906</v>
      </c>
      <c r="M730" s="203" t="s">
        <v>907</v>
      </c>
      <c r="N730" s="203" t="s">
        <v>908</v>
      </c>
      <c r="O730" s="203" t="s">
        <v>909</v>
      </c>
      <c r="P730" s="203" t="s">
        <v>910</v>
      </c>
      <c r="Q730" s="203" t="s">
        <v>911</v>
      </c>
      <c r="R730" s="203" t="s">
        <v>912</v>
      </c>
      <c r="S730" s="203" t="s">
        <v>913</v>
      </c>
      <c r="T730" s="203" t="s">
        <v>914</v>
      </c>
      <c r="U730" s="203" t="s">
        <v>915</v>
      </c>
      <c r="V730" s="203" t="s">
        <v>916</v>
      </c>
      <c r="W730" s="203" t="s">
        <v>917</v>
      </c>
      <c r="X730" s="203" t="s">
        <v>918</v>
      </c>
      <c r="Y730" s="203" t="s">
        <v>919</v>
      </c>
      <c r="Z730" s="203" t="s">
        <v>920</v>
      </c>
      <c r="AA730" s="203" t="s">
        <v>921</v>
      </c>
      <c r="AB730" s="203" t="s">
        <v>922</v>
      </c>
      <c r="AC730" s="203" t="s">
        <v>923</v>
      </c>
      <c r="AD730" s="203" t="s">
        <v>924</v>
      </c>
      <c r="AE730" s="203" t="s">
        <v>925</v>
      </c>
      <c r="AF730" s="203" t="s">
        <v>926</v>
      </c>
      <c r="AG730" s="203" t="s">
        <v>927</v>
      </c>
      <c r="AH730" s="203" t="s">
        <v>928</v>
      </c>
      <c r="AI730" s="203" t="s">
        <v>929</v>
      </c>
      <c r="AJ730" s="203" t="s">
        <v>930</v>
      </c>
      <c r="AK730" s="203" t="s">
        <v>931</v>
      </c>
      <c r="AL730" s="203" t="s">
        <v>932</v>
      </c>
      <c r="AM730" s="203" t="s">
        <v>933</v>
      </c>
      <c r="AN730" s="203" t="s">
        <v>934</v>
      </c>
      <c r="AO730" s="203" t="s">
        <v>935</v>
      </c>
      <c r="AP730" s="203" t="s">
        <v>936</v>
      </c>
      <c r="AQ730" s="203" t="s">
        <v>937</v>
      </c>
      <c r="AR730" s="203" t="s">
        <v>938</v>
      </c>
      <c r="AS730" s="203" t="s">
        <v>939</v>
      </c>
      <c r="AT730" s="203" t="s">
        <v>940</v>
      </c>
      <c r="AU730" s="203" t="s">
        <v>941</v>
      </c>
      <c r="AV730" s="203" t="s">
        <v>942</v>
      </c>
      <c r="AW730" s="203" t="s">
        <v>943</v>
      </c>
      <c r="AX730" s="203" t="s">
        <v>944</v>
      </c>
      <c r="AY730" s="203" t="s">
        <v>945</v>
      </c>
      <c r="AZ730" s="203" t="s">
        <v>946</v>
      </c>
      <c r="BA730" s="203" t="s">
        <v>947</v>
      </c>
      <c r="BB730" s="203" t="s">
        <v>948</v>
      </c>
      <c r="BC730" s="203" t="s">
        <v>949</v>
      </c>
      <c r="BD730" s="203" t="s">
        <v>950</v>
      </c>
      <c r="BE730" s="203" t="s">
        <v>951</v>
      </c>
      <c r="BF730" s="203" t="s">
        <v>952</v>
      </c>
      <c r="BG730" s="203" t="s">
        <v>953</v>
      </c>
      <c r="BH730" s="203" t="s">
        <v>954</v>
      </c>
      <c r="BI730" s="203" t="s">
        <v>955</v>
      </c>
      <c r="BJ730" s="203" t="s">
        <v>956</v>
      </c>
      <c r="BK730" s="203" t="s">
        <v>957</v>
      </c>
      <c r="BL730" s="203" t="s">
        <v>958</v>
      </c>
      <c r="BM730" s="203" t="s">
        <v>959</v>
      </c>
      <c r="BN730" s="203" t="s">
        <v>960</v>
      </c>
      <c r="BO730" s="203" t="s">
        <v>961</v>
      </c>
      <c r="BP730" s="203" t="s">
        <v>962</v>
      </c>
      <c r="BQ730" s="203" t="s">
        <v>963</v>
      </c>
      <c r="BR730" s="203" t="s">
        <v>964</v>
      </c>
      <c r="BS730" s="203" t="s">
        <v>965</v>
      </c>
      <c r="BT730" s="203" t="s">
        <v>966</v>
      </c>
      <c r="BU730" s="203" t="s">
        <v>967</v>
      </c>
      <c r="BV730" s="203" t="s">
        <v>968</v>
      </c>
      <c r="BW730" s="203" t="s">
        <v>969</v>
      </c>
      <c r="BX730" s="203" t="s">
        <v>970</v>
      </c>
      <c r="BY730" s="203" t="s">
        <v>971</v>
      </c>
      <c r="BZ730" s="203" t="s">
        <v>972</v>
      </c>
      <c r="CA730" s="203" t="s">
        <v>973</v>
      </c>
      <c r="CB730" s="203" t="s">
        <v>974</v>
      </c>
      <c r="CC730" s="203" t="s">
        <v>975</v>
      </c>
      <c r="CD730" s="203" t="s">
        <v>976</v>
      </c>
      <c r="CE730" s="203" t="s">
        <v>977</v>
      </c>
      <c r="CF730" s="203" t="s">
        <v>978</v>
      </c>
    </row>
    <row r="731" spans="1:84" ht="12.6" customHeight="1" x14ac:dyDescent="0.25">
      <c r="A731" s="282" t="str">
        <f>RIGHT(C84,3)&amp;"*"&amp;RIGHT(C83,4)&amp;"*"&amp;"A"</f>
        <v>078*2017*A</v>
      </c>
      <c r="B731" s="280">
        <f>ROUND(C251,0)</f>
        <v>12212390</v>
      </c>
      <c r="C731" s="280">
        <f>ROUND(C252,0)</f>
        <v>0</v>
      </c>
      <c r="D731" s="280">
        <f>ROUND(C253,0)</f>
        <v>36562231</v>
      </c>
      <c r="E731" s="280">
        <f>ROUND(C254,0)</f>
        <v>22868933</v>
      </c>
      <c r="F731" s="280">
        <f>ROUND(C255,0)</f>
        <v>0</v>
      </c>
      <c r="G731" s="280">
        <f>ROUND(C256,0)</f>
        <v>0</v>
      </c>
      <c r="H731" s="280">
        <f>ROUND(C257,0)</f>
        <v>0</v>
      </c>
      <c r="I731" s="280">
        <f>ROUND(C258,0)</f>
        <v>1786524</v>
      </c>
      <c r="J731" s="280">
        <f>ROUND(C259,0)</f>
        <v>699645</v>
      </c>
      <c r="K731" s="280">
        <f>ROUND(C260,0)</f>
        <v>0</v>
      </c>
      <c r="L731" s="280">
        <f>ROUND(C263,0)</f>
        <v>34236139</v>
      </c>
      <c r="M731" s="280">
        <f>ROUND(C264,0)</f>
        <v>0</v>
      </c>
      <c r="N731" s="280">
        <f>ROUND(C265,0)</f>
        <v>257829</v>
      </c>
      <c r="O731" s="280">
        <f>ROUND(C268,0)</f>
        <v>932777</v>
      </c>
      <c r="P731" s="280">
        <f>ROUND(C269,0)</f>
        <v>555844</v>
      </c>
      <c r="Q731" s="280">
        <f>ROUND(C270,0)</f>
        <v>49806913</v>
      </c>
      <c r="R731" s="280">
        <f>ROUND(C271,0)</f>
        <v>3911856</v>
      </c>
      <c r="S731" s="280">
        <f>ROUND(C272,0)</f>
        <v>0</v>
      </c>
      <c r="T731" s="280">
        <f>ROUND(C273,0)</f>
        <v>30228148</v>
      </c>
      <c r="U731" s="280">
        <f>ROUND(C274,0)</f>
        <v>0</v>
      </c>
      <c r="V731" s="280">
        <f>ROUND(C275,0)</f>
        <v>954572</v>
      </c>
      <c r="W731" s="280">
        <f>ROUND(C276,0)</f>
        <v>0</v>
      </c>
      <c r="X731" s="280">
        <f>ROUND(C277,0)</f>
        <v>56724829</v>
      </c>
      <c r="Y731" s="280">
        <f>ROUND(C280,0)</f>
        <v>0</v>
      </c>
      <c r="Z731" s="280">
        <f>ROUND(C281,0)</f>
        <v>0</v>
      </c>
      <c r="AA731" s="280">
        <f>ROUND(C282,0)</f>
        <v>182676</v>
      </c>
      <c r="AB731" s="280">
        <f>ROUND(C283,0)</f>
        <v>0</v>
      </c>
      <c r="AC731" s="280">
        <f>ROUND(C287,0)</f>
        <v>0</v>
      </c>
      <c r="AD731" s="280">
        <f>ROUND(C288,0)</f>
        <v>0</v>
      </c>
      <c r="AE731" s="280">
        <f>ROUND(C289,0)</f>
        <v>0</v>
      </c>
      <c r="AF731" s="280">
        <f>ROUND(C290,0)</f>
        <v>0</v>
      </c>
      <c r="AG731" s="280">
        <f>ROUND(C305,0)</f>
        <v>0</v>
      </c>
      <c r="AH731" s="280">
        <f>ROUND(C306,0)</f>
        <v>3113048</v>
      </c>
      <c r="AI731" s="280">
        <f>ROUND(C307,0)</f>
        <v>3919647</v>
      </c>
      <c r="AJ731" s="280">
        <f>ROUND(C308,0)</f>
        <v>0</v>
      </c>
      <c r="AK731" s="280">
        <f>ROUND(C309,0)</f>
        <v>0</v>
      </c>
      <c r="AL731" s="280">
        <f>ROUND(C310,0)</f>
        <v>6756437</v>
      </c>
      <c r="AM731" s="280">
        <f>ROUND(C311,0)</f>
        <v>0</v>
      </c>
      <c r="AN731" s="280">
        <f>ROUND(C312,0)</f>
        <v>0</v>
      </c>
      <c r="AO731" s="280">
        <f>ROUND(C313,0)</f>
        <v>90341</v>
      </c>
      <c r="AP731" s="280">
        <f>ROUND(C314,0)</f>
        <v>0</v>
      </c>
      <c r="AQ731" s="280">
        <f>ROUND(C317,0)</f>
        <v>0</v>
      </c>
      <c r="AR731" s="280">
        <f>ROUND(C318,0)</f>
        <v>0</v>
      </c>
      <c r="AS731" s="280">
        <f>ROUND(C319,0)</f>
        <v>-200</v>
      </c>
      <c r="AT731" s="280">
        <f>ROUND(C322,0)</f>
        <v>0</v>
      </c>
      <c r="AU731" s="280">
        <f>ROUND(C323,0)</f>
        <v>0</v>
      </c>
      <c r="AV731" s="280">
        <f>ROUND(C324,0)</f>
        <v>0</v>
      </c>
      <c r="AW731" s="280">
        <f>ROUND(C325,0)</f>
        <v>0</v>
      </c>
      <c r="AX731" s="280">
        <f>ROUND(C326,0)</f>
        <v>8372612</v>
      </c>
      <c r="AY731" s="280">
        <f>ROUND(C327,0)</f>
        <v>0</v>
      </c>
      <c r="AZ731" s="280">
        <f>ROUND(C328,0)</f>
        <v>576000</v>
      </c>
      <c r="BA731" s="280">
        <f>ROUND(C329,0)</f>
        <v>0</v>
      </c>
      <c r="BB731" s="280">
        <f>ROUND(C333,0)</f>
        <v>69905897</v>
      </c>
      <c r="BC731" s="280"/>
      <c r="BD731" s="280"/>
      <c r="BE731" s="280">
        <f>ROUND(C338,0)</f>
        <v>0</v>
      </c>
      <c r="BF731" s="280">
        <f>ROUND(C337,0)</f>
        <v>0</v>
      </c>
      <c r="BG731" s="280"/>
      <c r="BH731" s="280"/>
      <c r="BI731" s="283">
        <f>ROUND(CE60,2)</f>
        <v>389.18</v>
      </c>
      <c r="BJ731" s="280">
        <f>ROUND(C360,0)</f>
        <v>83671231</v>
      </c>
      <c r="BK731" s="280">
        <f>ROUND(C361,0)</f>
        <v>132707725</v>
      </c>
      <c r="BL731" s="280">
        <f>ROUND(C365,0)</f>
        <v>57634519</v>
      </c>
      <c r="BM731" s="280">
        <f>ROUND(C366,0)</f>
        <v>2636350</v>
      </c>
      <c r="BN731" s="280">
        <f>ROUND(C367,0)</f>
        <v>76546473</v>
      </c>
      <c r="BO731" s="280">
        <f>ROUND(C371,0)</f>
        <v>2555384</v>
      </c>
      <c r="BP731" s="280">
        <f>ROUND(C372,0)</f>
        <v>0</v>
      </c>
      <c r="BQ731" s="280">
        <f>ROUND(C379,0)</f>
        <v>35700408</v>
      </c>
      <c r="BR731" s="280">
        <f>ROUND(C380,0)</f>
        <v>9494158</v>
      </c>
      <c r="BS731" s="280">
        <f>ROUND(C381,0)</f>
        <v>4629879</v>
      </c>
      <c r="BT731" s="280">
        <f>ROUND(C382,0)</f>
        <v>11076208</v>
      </c>
      <c r="BU731" s="280">
        <f>ROUND(C383,0)</f>
        <v>699843</v>
      </c>
      <c r="BV731" s="280">
        <f>ROUND(C384,0)</f>
        <v>7810414</v>
      </c>
      <c r="BW731" s="280">
        <f>ROUND(C385,0)</f>
        <v>4388374</v>
      </c>
      <c r="BX731" s="280">
        <f>ROUND(C386,0)</f>
        <v>985760</v>
      </c>
      <c r="BY731" s="280">
        <f>ROUND(C387,0)</f>
        <v>394367</v>
      </c>
      <c r="BZ731" s="280">
        <f>ROUND(C388,0)</f>
        <v>0</v>
      </c>
      <c r="CA731" s="280">
        <f>ROUND(C389,0)</f>
        <v>423314</v>
      </c>
      <c r="CB731" s="280" t="e">
        <f>ROUND(#REF!,0)</f>
        <v>#REF!</v>
      </c>
      <c r="CC731" s="280">
        <f>ROUND(C390,0)</f>
        <v>2179528</v>
      </c>
      <c r="CD731" s="280">
        <f>ROUND(C393,0)</f>
        <v>3007911</v>
      </c>
      <c r="CE731" s="280">
        <f>ROUND(C395,0)</f>
        <v>0</v>
      </c>
      <c r="CF731" s="280">
        <f>ROUND(C396,0)</f>
        <v>0</v>
      </c>
    </row>
    <row r="733" spans="1:84" ht="12.6" customHeight="1" x14ac:dyDescent="0.25">
      <c r="A733" s="201" t="s">
        <v>979</v>
      </c>
      <c r="B733" s="201"/>
      <c r="C733" s="201"/>
      <c r="D733" s="201"/>
      <c r="E733" s="201"/>
      <c r="F733" s="201"/>
      <c r="G733" s="201"/>
      <c r="H733" s="280"/>
      <c r="I733" s="280"/>
      <c r="J733" s="280"/>
      <c r="K733" s="280"/>
      <c r="L733" s="280"/>
      <c r="M733" s="280"/>
      <c r="N733" s="280"/>
      <c r="O733" s="280"/>
      <c r="P733" s="280"/>
      <c r="Q733" s="280"/>
      <c r="R733" s="280"/>
      <c r="S733" s="280"/>
      <c r="T733" s="280"/>
      <c r="U733" s="280"/>
      <c r="V733" s="280"/>
      <c r="W733" s="280"/>
      <c r="X733" s="280"/>
      <c r="BL733" s="197"/>
    </row>
    <row r="734" spans="1:84" ht="12.6" customHeight="1" x14ac:dyDescent="0.25">
      <c r="A734" s="203" t="s">
        <v>745</v>
      </c>
      <c r="B734" s="203" t="s">
        <v>980</v>
      </c>
      <c r="C734" s="203" t="s">
        <v>981</v>
      </c>
      <c r="D734" s="203" t="s">
        <v>982</v>
      </c>
      <c r="E734" s="203" t="s">
        <v>983</v>
      </c>
      <c r="F734" s="203" t="s">
        <v>984</v>
      </c>
      <c r="G734" s="203" t="s">
        <v>985</v>
      </c>
      <c r="H734" s="203" t="s">
        <v>986</v>
      </c>
      <c r="I734" s="203" t="s">
        <v>987</v>
      </c>
      <c r="J734" s="203" t="s">
        <v>988</v>
      </c>
      <c r="K734" s="203" t="s">
        <v>989</v>
      </c>
      <c r="L734" s="203" t="s">
        <v>990</v>
      </c>
      <c r="M734" s="203" t="s">
        <v>991</v>
      </c>
      <c r="N734" s="203" t="s">
        <v>992</v>
      </c>
      <c r="O734" s="203" t="s">
        <v>993</v>
      </c>
      <c r="P734" s="203" t="s">
        <v>994</v>
      </c>
      <c r="Q734" s="203" t="s">
        <v>995</v>
      </c>
      <c r="R734" s="203" t="s">
        <v>996</v>
      </c>
      <c r="S734" s="203" t="s">
        <v>997</v>
      </c>
      <c r="T734" s="203" t="s">
        <v>998</v>
      </c>
      <c r="U734" s="203" t="s">
        <v>999</v>
      </c>
      <c r="V734" s="203" t="s">
        <v>1263</v>
      </c>
      <c r="W734" s="203" t="s">
        <v>1000</v>
      </c>
      <c r="X734" s="203" t="s">
        <v>1001</v>
      </c>
      <c r="Y734" s="203" t="s">
        <v>1002</v>
      </c>
      <c r="Z734" s="203" t="s">
        <v>1003</v>
      </c>
    </row>
    <row r="735" spans="1:84" ht="12.6" customHeight="1" x14ac:dyDescent="0.25">
      <c r="A735" s="209" t="str">
        <f>RIGHT($C$84,3)&amp;"*"&amp;RIGHT($C$83,4)&amp;"*"&amp;C$55&amp;"*"&amp;"A"</f>
        <v>078*2017*6010*A</v>
      </c>
      <c r="B735" s="280">
        <f>ROUND(C59,0)</f>
        <v>0</v>
      </c>
      <c r="C735" s="283">
        <f>ROUND(C60,2)</f>
        <v>0</v>
      </c>
      <c r="D735" s="280">
        <f>ROUND(C61,0)</f>
        <v>0</v>
      </c>
      <c r="E735" s="280">
        <f>ROUND(C62,0)</f>
        <v>0</v>
      </c>
      <c r="F735" s="280">
        <f>ROUND(C63,0)</f>
        <v>0</v>
      </c>
      <c r="G735" s="280">
        <f>ROUND(C64,0)</f>
        <v>0</v>
      </c>
      <c r="H735" s="280">
        <f>ROUND(C65,0)</f>
        <v>0</v>
      </c>
      <c r="I735" s="280">
        <f>ROUND(C66,0)</f>
        <v>0</v>
      </c>
      <c r="J735" s="280">
        <f>ROUND(C67,0)</f>
        <v>0</v>
      </c>
      <c r="K735" s="280">
        <f>ROUND(C68,0)</f>
        <v>0</v>
      </c>
      <c r="L735" s="280">
        <f>ROUND(C70,0)</f>
        <v>0</v>
      </c>
      <c r="M735" s="280">
        <f>ROUND(C71,0)</f>
        <v>0</v>
      </c>
      <c r="N735" s="280">
        <f>ROUND(C76,0)</f>
        <v>0</v>
      </c>
      <c r="O735" s="280">
        <f>ROUND(C74,0)</f>
        <v>0</v>
      </c>
      <c r="P735" s="280">
        <f>IF(C77&gt;0,ROUND(C77,0),0)</f>
        <v>0</v>
      </c>
      <c r="Q735" s="280">
        <f>IF(C78&gt;0,ROUND(C78,0),0)</f>
        <v>0</v>
      </c>
      <c r="R735" s="280">
        <f>IF(C79&gt;0,ROUND(C79,0),0)</f>
        <v>0</v>
      </c>
      <c r="S735" s="280">
        <f>IF(C80&gt;0,ROUND(C80,0),0)</f>
        <v>0</v>
      </c>
      <c r="T735" s="283">
        <f>IF(C81&gt;0,ROUND(C81,2),0)</f>
        <v>0</v>
      </c>
      <c r="U735" s="280"/>
      <c r="X735" s="280"/>
      <c r="Y735" s="280"/>
      <c r="Z735" s="280">
        <f>IF(M669&lt;&gt;0,ROUND(M669,0),0)</f>
        <v>0</v>
      </c>
    </row>
    <row r="736" spans="1:84" ht="12.6" customHeight="1" x14ac:dyDescent="0.25">
      <c r="A736" s="209" t="str">
        <f>RIGHT($C$84,3)&amp;"*"&amp;RIGHT($C$83,4)&amp;"*"&amp;D$55&amp;"*"&amp;"A"</f>
        <v>078*2017*6030*A</v>
      </c>
      <c r="B736" s="280">
        <f>ROUND(D59,0)</f>
        <v>0</v>
      </c>
      <c r="C736" s="283">
        <f>ROUND(D60,2)</f>
        <v>0</v>
      </c>
      <c r="D736" s="280">
        <f>ROUND(D61,0)</f>
        <v>0</v>
      </c>
      <c r="E736" s="280">
        <f>ROUND(D62,0)</f>
        <v>0</v>
      </c>
      <c r="F736" s="280">
        <f>ROUND(D63,0)</f>
        <v>0</v>
      </c>
      <c r="G736" s="280">
        <f>ROUND(D64,0)</f>
        <v>0</v>
      </c>
      <c r="H736" s="280">
        <f>ROUND(D65,0)</f>
        <v>0</v>
      </c>
      <c r="I736" s="280">
        <f>ROUND(D66,0)</f>
        <v>0</v>
      </c>
      <c r="J736" s="280">
        <f>ROUND(D67,0)</f>
        <v>0</v>
      </c>
      <c r="K736" s="280">
        <f>ROUND(D68,0)</f>
        <v>0</v>
      </c>
      <c r="L736" s="280">
        <f>ROUND(D70,0)</f>
        <v>0</v>
      </c>
      <c r="M736" s="280">
        <f>ROUND(D71,0)</f>
        <v>0</v>
      </c>
      <c r="N736" s="280">
        <f>ROUND(D76,0)</f>
        <v>0</v>
      </c>
      <c r="O736" s="280">
        <f>ROUND(D74,0)</f>
        <v>0</v>
      </c>
      <c r="P736" s="280">
        <f>IF(D77&gt;0,ROUND(D77,0),0)</f>
        <v>0</v>
      </c>
      <c r="Q736" s="280">
        <f>IF(D78&gt;0,ROUND(D78,0),0)</f>
        <v>0</v>
      </c>
      <c r="R736" s="280">
        <f>IF(D79&gt;0,ROUND(D79,0),0)</f>
        <v>0</v>
      </c>
      <c r="S736" s="280">
        <f>IF(D80&gt;0,ROUND(D80,0),0)</f>
        <v>0</v>
      </c>
      <c r="T736" s="283">
        <f>IF(D81&gt;0,ROUND(D81,2),0)</f>
        <v>0</v>
      </c>
      <c r="U736" s="280"/>
      <c r="X736" s="280"/>
      <c r="Y736" s="280"/>
      <c r="Z736" s="280">
        <f t="shared" ref="Z736:Z780" si="20">IF(M670&lt;&gt;0,ROUND(M670,0),0)</f>
        <v>0</v>
      </c>
    </row>
    <row r="737" spans="1:26" ht="12.6" customHeight="1" x14ac:dyDescent="0.25">
      <c r="A737" s="209" t="str">
        <f>RIGHT($C$84,3)&amp;"*"&amp;RIGHT($C$83,4)&amp;"*"&amp;E$55&amp;"*"&amp;"A"</f>
        <v>078*2017*6070*A</v>
      </c>
      <c r="B737" s="280">
        <f>ROUND(E59,0)</f>
        <v>6887</v>
      </c>
      <c r="C737" s="283">
        <f>ROUND(E60,2)</f>
        <v>41.37</v>
      </c>
      <c r="D737" s="280">
        <f>ROUND(E61,0)</f>
        <v>3541323</v>
      </c>
      <c r="E737" s="280">
        <f>ROUND(E62,0)</f>
        <v>1036658</v>
      </c>
      <c r="F737" s="280">
        <f>ROUND(E63,0)</f>
        <v>0</v>
      </c>
      <c r="G737" s="280">
        <f>ROUND(E64,0)</f>
        <v>368956</v>
      </c>
      <c r="H737" s="280">
        <f>ROUND(E65,0)</f>
        <v>0</v>
      </c>
      <c r="I737" s="280">
        <f>ROUND(E66,0)</f>
        <v>23858</v>
      </c>
      <c r="J737" s="280">
        <f>ROUND(E67,0)</f>
        <v>381865</v>
      </c>
      <c r="K737" s="280">
        <f>ROUND(E68,0)</f>
        <v>65138</v>
      </c>
      <c r="L737" s="280">
        <f>ROUND(E70,0)</f>
        <v>3456</v>
      </c>
      <c r="M737" s="280">
        <f>ROUND(E71,0)</f>
        <v>0</v>
      </c>
      <c r="N737" s="280">
        <f>ROUND(E76,0)</f>
        <v>17187260</v>
      </c>
      <c r="O737" s="280">
        <f>ROUND(E74,0)</f>
        <v>14975415</v>
      </c>
      <c r="P737" s="280">
        <f>IF(E77&gt;0,ROUND(E77,0),0)</f>
        <v>20018</v>
      </c>
      <c r="Q737" s="280">
        <f>IF(E78&gt;0,ROUND(E78,0),0)</f>
        <v>20241</v>
      </c>
      <c r="R737" s="280">
        <f>IF(E79&gt;0,ROUND(E79,0),0)</f>
        <v>20018</v>
      </c>
      <c r="S737" s="280">
        <f>IF(E80&gt;0,ROUND(E80,0),0)</f>
        <v>84647</v>
      </c>
      <c r="T737" s="283">
        <f>IF(E81&gt;0,ROUND(E81,2),0)</f>
        <v>38.950000000000003</v>
      </c>
      <c r="U737" s="280"/>
      <c r="X737" s="280"/>
      <c r="Y737" s="280"/>
      <c r="Z737" s="280">
        <f t="shared" si="20"/>
        <v>3421756</v>
      </c>
    </row>
    <row r="738" spans="1:26" ht="12.6" customHeight="1" x14ac:dyDescent="0.25">
      <c r="A738" s="209" t="str">
        <f>RIGHT($C$84,3)&amp;"*"&amp;RIGHT($C$83,4)&amp;"*"&amp;F$55&amp;"*"&amp;"A"</f>
        <v>078*2017*6100*A</v>
      </c>
      <c r="B738" s="280">
        <f>ROUND(F59,0)</f>
        <v>1814</v>
      </c>
      <c r="C738" s="283">
        <f>ROUND(F60,2)</f>
        <v>30.68</v>
      </c>
      <c r="D738" s="280">
        <f>ROUND(F61,0)</f>
        <v>2909859</v>
      </c>
      <c r="E738" s="280">
        <f>ROUND(F62,0)</f>
        <v>851809</v>
      </c>
      <c r="F738" s="280">
        <f>ROUND(F63,0)</f>
        <v>0</v>
      </c>
      <c r="G738" s="280">
        <f>ROUND(F64,0)</f>
        <v>139539</v>
      </c>
      <c r="H738" s="280">
        <f>ROUND(F65,0)</f>
        <v>0</v>
      </c>
      <c r="I738" s="280">
        <f>ROUND(F66,0)</f>
        <v>76139</v>
      </c>
      <c r="J738" s="280">
        <f>ROUND(F67,0)</f>
        <v>241942</v>
      </c>
      <c r="K738" s="280">
        <f>ROUND(F68,0)</f>
        <v>33331</v>
      </c>
      <c r="L738" s="280">
        <f>ROUND(F70,0)</f>
        <v>23531</v>
      </c>
      <c r="M738" s="280">
        <f>ROUND(F71,0)</f>
        <v>0</v>
      </c>
      <c r="N738" s="280">
        <f>ROUND(F76,0)</f>
        <v>4289612</v>
      </c>
      <c r="O738" s="280">
        <f>ROUND(F74,0)</f>
        <v>4159971</v>
      </c>
      <c r="P738" s="280">
        <f>IF(F77&gt;0,ROUND(F77,0),0)</f>
        <v>12683</v>
      </c>
      <c r="Q738" s="280">
        <f>IF(F78&gt;0,ROUND(F78,0),0)</f>
        <v>6267</v>
      </c>
      <c r="R738" s="280">
        <f>IF(F79&gt;0,ROUND(F79,0),0)</f>
        <v>12683</v>
      </c>
      <c r="S738" s="280">
        <f>IF(F80&gt;0,ROUND(F80,0),0)</f>
        <v>62438</v>
      </c>
      <c r="T738" s="283">
        <f>IF(F81&gt;0,ROUND(F81,2),0)</f>
        <v>23.25</v>
      </c>
      <c r="U738" s="280"/>
      <c r="X738" s="280"/>
      <c r="Y738" s="280"/>
      <c r="Z738" s="280">
        <f t="shared" si="20"/>
        <v>1470264</v>
      </c>
    </row>
    <row r="739" spans="1:26" ht="12.6" customHeight="1" x14ac:dyDescent="0.25">
      <c r="A739" s="209" t="str">
        <f>RIGHT($C$84,3)&amp;"*"&amp;RIGHT($C$83,4)&amp;"*"&amp;G$55&amp;"*"&amp;"A"</f>
        <v>078*2017*6120*A</v>
      </c>
      <c r="B739" s="280">
        <f>ROUND(G59,0)</f>
        <v>0</v>
      </c>
      <c r="C739" s="283">
        <f>ROUND(G60,2)</f>
        <v>0</v>
      </c>
      <c r="D739" s="280">
        <f>ROUND(G61,0)</f>
        <v>0</v>
      </c>
      <c r="E739" s="280">
        <f>ROUND(G62,0)</f>
        <v>0</v>
      </c>
      <c r="F739" s="280">
        <f>ROUND(G63,0)</f>
        <v>0</v>
      </c>
      <c r="G739" s="280">
        <f>ROUND(G64,0)</f>
        <v>0</v>
      </c>
      <c r="H739" s="280">
        <f>ROUND(G65,0)</f>
        <v>0</v>
      </c>
      <c r="I739" s="280">
        <f>ROUND(G66,0)</f>
        <v>0</v>
      </c>
      <c r="J739" s="280">
        <f>ROUND(G67,0)</f>
        <v>0</v>
      </c>
      <c r="K739" s="280">
        <f>ROUND(G68,0)</f>
        <v>0</v>
      </c>
      <c r="L739" s="280">
        <f>ROUND(G70,0)</f>
        <v>0</v>
      </c>
      <c r="M739" s="280">
        <f>ROUND(G71,0)</f>
        <v>0</v>
      </c>
      <c r="N739" s="280">
        <f>ROUND(G76,0)</f>
        <v>0</v>
      </c>
      <c r="O739" s="280">
        <f>ROUND(G74,0)</f>
        <v>0</v>
      </c>
      <c r="P739" s="280">
        <f>IF(G77&gt;0,ROUND(G77,0),0)</f>
        <v>0</v>
      </c>
      <c r="Q739" s="280">
        <f>IF(G78&gt;0,ROUND(G78,0),0)</f>
        <v>0</v>
      </c>
      <c r="R739" s="280">
        <f>IF(G79&gt;0,ROUND(G79,0),0)</f>
        <v>0</v>
      </c>
      <c r="S739" s="280">
        <f>IF(G80&gt;0,ROUND(G80,0),0)</f>
        <v>0</v>
      </c>
      <c r="T739" s="283">
        <f>IF(G81&gt;0,ROUND(G81,2),0)</f>
        <v>0</v>
      </c>
      <c r="U739" s="280"/>
      <c r="X739" s="280"/>
      <c r="Y739" s="280"/>
      <c r="Z739" s="280">
        <f t="shared" si="20"/>
        <v>0</v>
      </c>
    </row>
    <row r="740" spans="1:26" ht="12.6" customHeight="1" x14ac:dyDescent="0.25">
      <c r="A740" s="209" t="str">
        <f>RIGHT($C$84,3)&amp;"*"&amp;RIGHT($C$83,4)&amp;"*"&amp;H$55&amp;"*"&amp;"A"</f>
        <v>078*2017*6140*A</v>
      </c>
      <c r="B740" s="280">
        <f>ROUND(H59,0)</f>
        <v>0</v>
      </c>
      <c r="C740" s="283">
        <f>ROUND(H60,2)</f>
        <v>0</v>
      </c>
      <c r="D740" s="280">
        <f>ROUND(H61,0)</f>
        <v>0</v>
      </c>
      <c r="E740" s="280">
        <f>ROUND(H62,0)</f>
        <v>0</v>
      </c>
      <c r="F740" s="280">
        <f>ROUND(H63,0)</f>
        <v>0</v>
      </c>
      <c r="G740" s="280">
        <f>ROUND(H64,0)</f>
        <v>0</v>
      </c>
      <c r="H740" s="280">
        <f>ROUND(H65,0)</f>
        <v>0</v>
      </c>
      <c r="I740" s="280">
        <f>ROUND(H66,0)</f>
        <v>0</v>
      </c>
      <c r="J740" s="280">
        <f>ROUND(H67,0)</f>
        <v>0</v>
      </c>
      <c r="K740" s="280">
        <f>ROUND(H68,0)</f>
        <v>0</v>
      </c>
      <c r="L740" s="280">
        <f>ROUND(H70,0)</f>
        <v>0</v>
      </c>
      <c r="M740" s="280">
        <f>ROUND(H71,0)</f>
        <v>0</v>
      </c>
      <c r="N740" s="280">
        <f>ROUND(H76,0)</f>
        <v>0</v>
      </c>
      <c r="O740" s="280">
        <f>ROUND(H74,0)</f>
        <v>0</v>
      </c>
      <c r="P740" s="280">
        <f>IF(H77&gt;0,ROUND(H77,0),0)</f>
        <v>0</v>
      </c>
      <c r="Q740" s="280">
        <f>IF(H78&gt;0,ROUND(H78,0),0)</f>
        <v>0</v>
      </c>
      <c r="R740" s="280">
        <f>IF(H79&gt;0,ROUND(H79,0),0)</f>
        <v>0</v>
      </c>
      <c r="S740" s="280">
        <f>IF(H80&gt;0,ROUND(H80,0),0)</f>
        <v>0</v>
      </c>
      <c r="T740" s="283">
        <f>IF(H81&gt;0,ROUND(H81,2),0)</f>
        <v>0</v>
      </c>
      <c r="U740" s="280"/>
      <c r="X740" s="280"/>
      <c r="Y740" s="280"/>
      <c r="Z740" s="280">
        <f t="shared" si="20"/>
        <v>0</v>
      </c>
    </row>
    <row r="741" spans="1:26" ht="12.6" customHeight="1" x14ac:dyDescent="0.25">
      <c r="A741" s="209" t="str">
        <f>RIGHT($C$84,3)&amp;"*"&amp;RIGHT($C$83,4)&amp;"*"&amp;I$55&amp;"*"&amp;"A"</f>
        <v>078*2017*6150*A</v>
      </c>
      <c r="B741" s="280">
        <f>ROUND(I59,0)</f>
        <v>0</v>
      </c>
      <c r="C741" s="283">
        <f>ROUND(I60,2)</f>
        <v>0</v>
      </c>
      <c r="D741" s="280">
        <f>ROUND(I61,0)</f>
        <v>0</v>
      </c>
      <c r="E741" s="280">
        <f>ROUND(I62,0)</f>
        <v>0</v>
      </c>
      <c r="F741" s="280">
        <f>ROUND(I63,0)</f>
        <v>0</v>
      </c>
      <c r="G741" s="280">
        <f>ROUND(I64,0)</f>
        <v>0</v>
      </c>
      <c r="H741" s="280">
        <f>ROUND(I65,0)</f>
        <v>0</v>
      </c>
      <c r="I741" s="280">
        <f>ROUND(I66,0)</f>
        <v>0</v>
      </c>
      <c r="J741" s="280">
        <f>ROUND(I67,0)</f>
        <v>0</v>
      </c>
      <c r="K741" s="280">
        <f>ROUND(I68,0)</f>
        <v>0</v>
      </c>
      <c r="L741" s="280">
        <f>ROUND(I70,0)</f>
        <v>0</v>
      </c>
      <c r="M741" s="280">
        <f>ROUND(I71,0)</f>
        <v>0</v>
      </c>
      <c r="N741" s="280">
        <f>ROUND(I76,0)</f>
        <v>0</v>
      </c>
      <c r="O741" s="280">
        <f>ROUND(I74,0)</f>
        <v>0</v>
      </c>
      <c r="P741" s="280">
        <f>IF(I77&gt;0,ROUND(I77,0),0)</f>
        <v>0</v>
      </c>
      <c r="Q741" s="280">
        <f>IF(I78&gt;0,ROUND(I78,0),0)</f>
        <v>0</v>
      </c>
      <c r="R741" s="280">
        <f>IF(I79&gt;0,ROUND(I79,0),0)</f>
        <v>0</v>
      </c>
      <c r="S741" s="280">
        <f>IF(I80&gt;0,ROUND(I80,0),0)</f>
        <v>0</v>
      </c>
      <c r="T741" s="283">
        <f>IF(I81&gt;0,ROUND(I81,2),0)</f>
        <v>0</v>
      </c>
      <c r="U741" s="280"/>
      <c r="X741" s="280"/>
      <c r="Y741" s="280"/>
      <c r="Z741" s="280">
        <f t="shared" si="20"/>
        <v>0</v>
      </c>
    </row>
    <row r="742" spans="1:26" ht="12.6" customHeight="1" x14ac:dyDescent="0.25">
      <c r="A742" s="209" t="str">
        <f>RIGHT($C$84,3)&amp;"*"&amp;RIGHT($C$83,4)&amp;"*"&amp;J$55&amp;"*"&amp;"A"</f>
        <v>078*2017*6170*A</v>
      </c>
      <c r="B742" s="280">
        <f>ROUND(J59,0)</f>
        <v>127</v>
      </c>
      <c r="C742" s="283">
        <f>ROUND(J60,2)</f>
        <v>0</v>
      </c>
      <c r="D742" s="280">
        <f>ROUND(J61,0)</f>
        <v>0</v>
      </c>
      <c r="E742" s="280">
        <f>ROUND(J62,0)</f>
        <v>0</v>
      </c>
      <c r="F742" s="280">
        <f>ROUND(J63,0)</f>
        <v>0</v>
      </c>
      <c r="G742" s="280">
        <f>ROUND(J64,0)</f>
        <v>52318</v>
      </c>
      <c r="H742" s="280">
        <f>ROUND(J65,0)</f>
        <v>0</v>
      </c>
      <c r="I742" s="280">
        <f>ROUND(J66,0)</f>
        <v>0</v>
      </c>
      <c r="J742" s="280">
        <f>ROUND(J67,0)</f>
        <v>0</v>
      </c>
      <c r="K742" s="280">
        <f>ROUND(J68,0)</f>
        <v>0</v>
      </c>
      <c r="L742" s="280">
        <f>ROUND(J70,0)</f>
        <v>0</v>
      </c>
      <c r="M742" s="280">
        <f>ROUND(J71,0)</f>
        <v>0</v>
      </c>
      <c r="N742" s="280">
        <f>ROUND(J76,0)</f>
        <v>0</v>
      </c>
      <c r="O742" s="280">
        <f>ROUND(J74,0)</f>
        <v>0</v>
      </c>
      <c r="P742" s="280">
        <f>IF(J77&gt;0,ROUND(J77,0),0)</f>
        <v>0</v>
      </c>
      <c r="Q742" s="280">
        <f>IF(J78&gt;0,ROUND(J78,0),0)</f>
        <v>0</v>
      </c>
      <c r="R742" s="280">
        <f>IF(J79&gt;0,ROUND(J79,0),0)</f>
        <v>0</v>
      </c>
      <c r="S742" s="280">
        <f>IF(J80&gt;0,ROUND(J80,0),0)</f>
        <v>0</v>
      </c>
      <c r="T742" s="283">
        <f>IF(J81&gt;0,ROUND(J81,2),0)</f>
        <v>0</v>
      </c>
      <c r="U742" s="280"/>
      <c r="X742" s="280"/>
      <c r="Y742" s="280"/>
      <c r="Z742" s="280">
        <f t="shared" si="20"/>
        <v>8641</v>
      </c>
    </row>
    <row r="743" spans="1:26" ht="12.6" customHeight="1" x14ac:dyDescent="0.25">
      <c r="A743" s="209" t="str">
        <f>RIGHT($C$84,3)&amp;"*"&amp;RIGHT($C$83,4)&amp;"*"&amp;K$55&amp;"*"&amp;"A"</f>
        <v>078*2017*6200*A</v>
      </c>
      <c r="B743" s="280">
        <f>ROUND(K59,0)</f>
        <v>0</v>
      </c>
      <c r="C743" s="283">
        <f>ROUND(K60,2)</f>
        <v>0</v>
      </c>
      <c r="D743" s="280">
        <f>ROUND(K61,0)</f>
        <v>0</v>
      </c>
      <c r="E743" s="280">
        <f>ROUND(K62,0)</f>
        <v>0</v>
      </c>
      <c r="F743" s="280">
        <f>ROUND(K63,0)</f>
        <v>0</v>
      </c>
      <c r="G743" s="280">
        <f>ROUND(K64,0)</f>
        <v>0</v>
      </c>
      <c r="H743" s="280">
        <f>ROUND(K65,0)</f>
        <v>0</v>
      </c>
      <c r="I743" s="280">
        <f>ROUND(K66,0)</f>
        <v>0</v>
      </c>
      <c r="J743" s="280">
        <f>ROUND(K67,0)</f>
        <v>0</v>
      </c>
      <c r="K743" s="280">
        <f>ROUND(K68,0)</f>
        <v>0</v>
      </c>
      <c r="L743" s="280">
        <f>ROUND(K70,0)</f>
        <v>0</v>
      </c>
      <c r="M743" s="280">
        <f>ROUND(K71,0)</f>
        <v>0</v>
      </c>
      <c r="N743" s="280">
        <f>ROUND(K76,0)</f>
        <v>0</v>
      </c>
      <c r="O743" s="280">
        <f>ROUND(K74,0)</f>
        <v>0</v>
      </c>
      <c r="P743" s="280">
        <f>IF(K77&gt;0,ROUND(K77,0),0)</f>
        <v>0</v>
      </c>
      <c r="Q743" s="280">
        <f>IF(K78&gt;0,ROUND(K78,0),0)</f>
        <v>0</v>
      </c>
      <c r="R743" s="280">
        <f>IF(K79&gt;0,ROUND(K79,0),0)</f>
        <v>0</v>
      </c>
      <c r="S743" s="280">
        <f>IF(K80&gt;0,ROUND(K80,0),0)</f>
        <v>0</v>
      </c>
      <c r="T743" s="283">
        <f>IF(K81&gt;0,ROUND(K81,2),0)</f>
        <v>0</v>
      </c>
      <c r="U743" s="280"/>
      <c r="X743" s="280"/>
      <c r="Y743" s="280"/>
      <c r="Z743" s="280">
        <f t="shared" si="20"/>
        <v>0</v>
      </c>
    </row>
    <row r="744" spans="1:26" ht="12.6" customHeight="1" x14ac:dyDescent="0.25">
      <c r="A744" s="209" t="str">
        <f>RIGHT($C$84,3)&amp;"*"&amp;RIGHT($C$83,4)&amp;"*"&amp;L$55&amp;"*"&amp;"A"</f>
        <v>078*2017*6210*A</v>
      </c>
      <c r="B744" s="280">
        <f>ROUND(L59,0)</f>
        <v>0</v>
      </c>
      <c r="C744" s="283">
        <f>ROUND(L60,2)</f>
        <v>0</v>
      </c>
      <c r="D744" s="280">
        <f>ROUND(L61,0)</f>
        <v>0</v>
      </c>
      <c r="E744" s="280">
        <f>ROUND(L62,0)</f>
        <v>0</v>
      </c>
      <c r="F744" s="280">
        <f>ROUND(L63,0)</f>
        <v>0</v>
      </c>
      <c r="G744" s="280">
        <f>ROUND(L64,0)</f>
        <v>0</v>
      </c>
      <c r="H744" s="280">
        <f>ROUND(L65,0)</f>
        <v>0</v>
      </c>
      <c r="I744" s="280">
        <f>ROUND(L66,0)</f>
        <v>0</v>
      </c>
      <c r="J744" s="280">
        <f>ROUND(L67,0)</f>
        <v>0</v>
      </c>
      <c r="K744" s="280">
        <f>ROUND(L68,0)</f>
        <v>0</v>
      </c>
      <c r="L744" s="280">
        <f>ROUND(L70,0)</f>
        <v>0</v>
      </c>
      <c r="M744" s="280">
        <f>ROUND(L71,0)</f>
        <v>0</v>
      </c>
      <c r="N744" s="280">
        <f>ROUND(L76,0)</f>
        <v>0</v>
      </c>
      <c r="O744" s="280">
        <f>ROUND(L74,0)</f>
        <v>0</v>
      </c>
      <c r="P744" s="280">
        <f>IF(L77&gt;0,ROUND(L77,0),0)</f>
        <v>0</v>
      </c>
      <c r="Q744" s="280">
        <f>IF(L78&gt;0,ROUND(L78,0),0)</f>
        <v>0</v>
      </c>
      <c r="R744" s="280">
        <f>IF(L79&gt;0,ROUND(L79,0),0)</f>
        <v>0</v>
      </c>
      <c r="S744" s="280">
        <f>IF(L80&gt;0,ROUND(L80,0),0)</f>
        <v>0</v>
      </c>
      <c r="T744" s="283">
        <f>IF(L81&gt;0,ROUND(L81,2),0)</f>
        <v>0</v>
      </c>
      <c r="U744" s="280"/>
      <c r="X744" s="280"/>
      <c r="Y744" s="280"/>
      <c r="Z744" s="280">
        <f t="shared" si="20"/>
        <v>0</v>
      </c>
    </row>
    <row r="745" spans="1:26" ht="12.6" customHeight="1" x14ac:dyDescent="0.25">
      <c r="A745" s="209" t="str">
        <f>RIGHT($C$84,3)&amp;"*"&amp;RIGHT($C$83,4)&amp;"*"&amp;M$55&amp;"*"&amp;"A"</f>
        <v>078*2017*6330*A</v>
      </c>
      <c r="B745" s="280">
        <f>ROUND(M59,0)</f>
        <v>0</v>
      </c>
      <c r="C745" s="283">
        <f>ROUND(M60,2)</f>
        <v>0</v>
      </c>
      <c r="D745" s="280">
        <f>ROUND(M61,0)</f>
        <v>0</v>
      </c>
      <c r="E745" s="280">
        <f>ROUND(M62,0)</f>
        <v>0</v>
      </c>
      <c r="F745" s="280">
        <f>ROUND(M63,0)</f>
        <v>0</v>
      </c>
      <c r="G745" s="280">
        <f>ROUND(M64,0)</f>
        <v>0</v>
      </c>
      <c r="H745" s="280">
        <f>ROUND(M65,0)</f>
        <v>0</v>
      </c>
      <c r="I745" s="280">
        <f>ROUND(M66,0)</f>
        <v>0</v>
      </c>
      <c r="J745" s="280">
        <f>ROUND(M67,0)</f>
        <v>0</v>
      </c>
      <c r="K745" s="280">
        <f>ROUND(M68,0)</f>
        <v>0</v>
      </c>
      <c r="L745" s="280">
        <f>ROUND(M70,0)</f>
        <v>0</v>
      </c>
      <c r="M745" s="280">
        <f>ROUND(M71,0)</f>
        <v>0</v>
      </c>
      <c r="N745" s="280">
        <f>ROUND(M76,0)</f>
        <v>0</v>
      </c>
      <c r="O745" s="280">
        <f>ROUND(M74,0)</f>
        <v>0</v>
      </c>
      <c r="P745" s="280">
        <f>IF(M77&gt;0,ROUND(M77,0),0)</f>
        <v>0</v>
      </c>
      <c r="Q745" s="280">
        <f>IF(M78&gt;0,ROUND(M78,0),0)</f>
        <v>0</v>
      </c>
      <c r="R745" s="280">
        <f>IF(M79&gt;0,ROUND(M79,0),0)</f>
        <v>0</v>
      </c>
      <c r="S745" s="280">
        <f>IF(M80&gt;0,ROUND(M80,0),0)</f>
        <v>0</v>
      </c>
      <c r="T745" s="283">
        <f>IF(M81&gt;0,ROUND(M81,2),0)</f>
        <v>0</v>
      </c>
      <c r="U745" s="280"/>
      <c r="X745" s="280"/>
      <c r="Y745" s="280"/>
      <c r="Z745" s="280">
        <f t="shared" si="20"/>
        <v>0</v>
      </c>
    </row>
    <row r="746" spans="1:26" ht="12.6" customHeight="1" x14ac:dyDescent="0.25">
      <c r="A746" s="209" t="str">
        <f>RIGHT($C$84,3)&amp;"*"&amp;RIGHT($C$83,4)&amp;"*"&amp;N$55&amp;"*"&amp;"A"</f>
        <v>078*2017*6400*A</v>
      </c>
      <c r="B746" s="280">
        <f>ROUND(N59,0)</f>
        <v>0</v>
      </c>
      <c r="C746" s="283">
        <f>ROUND(N60,2)</f>
        <v>0</v>
      </c>
      <c r="D746" s="280">
        <f>ROUND(N61,0)</f>
        <v>0</v>
      </c>
      <c r="E746" s="280">
        <f>ROUND(N62,0)</f>
        <v>0</v>
      </c>
      <c r="F746" s="280">
        <f>ROUND(N63,0)</f>
        <v>0</v>
      </c>
      <c r="G746" s="280">
        <f>ROUND(N64,0)</f>
        <v>0</v>
      </c>
      <c r="H746" s="280">
        <f>ROUND(N65,0)</f>
        <v>0</v>
      </c>
      <c r="I746" s="280">
        <f>ROUND(N66,0)</f>
        <v>0</v>
      </c>
      <c r="J746" s="280">
        <f>ROUND(N67,0)</f>
        <v>0</v>
      </c>
      <c r="K746" s="280">
        <f>ROUND(N68,0)</f>
        <v>0</v>
      </c>
      <c r="L746" s="280">
        <f>ROUND(N70,0)</f>
        <v>0</v>
      </c>
      <c r="M746" s="280">
        <f>ROUND(N71,0)</f>
        <v>0</v>
      </c>
      <c r="N746" s="280">
        <f>ROUND(N76,0)</f>
        <v>0</v>
      </c>
      <c r="O746" s="280">
        <f>ROUND(N74,0)</f>
        <v>0</v>
      </c>
      <c r="P746" s="280">
        <f>IF(N77&gt;0,ROUND(N77,0),0)</f>
        <v>0</v>
      </c>
      <c r="Q746" s="280">
        <f>IF(N78&gt;0,ROUND(N78,0),0)</f>
        <v>0</v>
      </c>
      <c r="R746" s="280">
        <f>IF(N79&gt;0,ROUND(N79,0),0)</f>
        <v>0</v>
      </c>
      <c r="S746" s="280">
        <f>IF(N80&gt;0,ROUND(N80,0),0)</f>
        <v>2848</v>
      </c>
      <c r="T746" s="283">
        <f>IF(N81&gt;0,ROUND(N81,2),0)</f>
        <v>0</v>
      </c>
      <c r="U746" s="280"/>
      <c r="X746" s="280"/>
      <c r="Y746" s="280"/>
      <c r="Z746" s="280">
        <f t="shared" si="20"/>
        <v>3561</v>
      </c>
    </row>
    <row r="747" spans="1:26" ht="12.6" customHeight="1" x14ac:dyDescent="0.25">
      <c r="A747" s="209" t="str">
        <f>RIGHT($C$84,3)&amp;"*"&amp;RIGHT($C$83,4)&amp;"*"&amp;O$55&amp;"*"&amp;"A"</f>
        <v>078*2017*7010*A</v>
      </c>
      <c r="B747" s="280">
        <f>ROUND(O59,0)</f>
        <v>1027</v>
      </c>
      <c r="C747" s="283">
        <f>ROUND(O60,2)</f>
        <v>0</v>
      </c>
      <c r="D747" s="280">
        <f>ROUND(O61,0)</f>
        <v>0</v>
      </c>
      <c r="E747" s="280">
        <f>ROUND(O62,0)</f>
        <v>0</v>
      </c>
      <c r="F747" s="280">
        <f>ROUND(O63,0)</f>
        <v>0</v>
      </c>
      <c r="G747" s="280">
        <f>ROUND(O64,0)</f>
        <v>149734</v>
      </c>
      <c r="H747" s="280">
        <f>ROUND(O65,0)</f>
        <v>0</v>
      </c>
      <c r="I747" s="280">
        <f>ROUND(O66,0)</f>
        <v>0</v>
      </c>
      <c r="J747" s="280">
        <f>ROUND(O67,0)</f>
        <v>0</v>
      </c>
      <c r="K747" s="280">
        <f>ROUND(O68,0)</f>
        <v>0</v>
      </c>
      <c r="L747" s="280">
        <f>ROUND(O70,0)</f>
        <v>200</v>
      </c>
      <c r="M747" s="280">
        <f>ROUND(O71,0)</f>
        <v>0</v>
      </c>
      <c r="N747" s="280">
        <f>ROUND(O76,0)</f>
        <v>13020484</v>
      </c>
      <c r="O747" s="280">
        <f>ROUND(O74,0)</f>
        <v>12737293</v>
      </c>
      <c r="P747" s="280">
        <f>IF(O77&gt;0,ROUND(O77,0),0)</f>
        <v>0</v>
      </c>
      <c r="Q747" s="280">
        <f>IF(O78&gt;0,ROUND(O78,0),0)</f>
        <v>0</v>
      </c>
      <c r="R747" s="280">
        <f>IF(O79&gt;0,ROUND(O79,0),0)</f>
        <v>0</v>
      </c>
      <c r="S747" s="280">
        <f>IF(O80&gt;0,ROUND(O80,0),0)</f>
        <v>0</v>
      </c>
      <c r="T747" s="283">
        <f>IF(O81&gt;0,ROUND(O81,2),0)</f>
        <v>0</v>
      </c>
      <c r="U747" s="280"/>
      <c r="X747" s="280"/>
      <c r="Y747" s="280"/>
      <c r="Z747" s="280">
        <f t="shared" si="20"/>
        <v>750899</v>
      </c>
    </row>
    <row r="748" spans="1:26" ht="12.6" customHeight="1" x14ac:dyDescent="0.25">
      <c r="A748" s="209" t="str">
        <f>RIGHT($C$84,3)&amp;"*"&amp;RIGHT($C$83,4)&amp;"*"&amp;P$55&amp;"*"&amp;"A"</f>
        <v>078*2017*7020*A</v>
      </c>
      <c r="B748" s="280">
        <f>ROUND(P59,0)</f>
        <v>245887</v>
      </c>
      <c r="C748" s="283">
        <f>ROUND(P60,2)</f>
        <v>13.08</v>
      </c>
      <c r="D748" s="280">
        <f>ROUND(P61,0)</f>
        <v>1177139</v>
      </c>
      <c r="E748" s="280">
        <f>ROUND(P62,0)</f>
        <v>344586</v>
      </c>
      <c r="F748" s="280">
        <f>ROUND(P63,0)</f>
        <v>0</v>
      </c>
      <c r="G748" s="280">
        <f>ROUND(P64,0)</f>
        <v>1370627</v>
      </c>
      <c r="H748" s="280">
        <f>ROUND(P65,0)</f>
        <v>0</v>
      </c>
      <c r="I748" s="280">
        <f>ROUND(P66,0)</f>
        <v>138178</v>
      </c>
      <c r="J748" s="280">
        <f>ROUND(P67,0)</f>
        <v>187422</v>
      </c>
      <c r="K748" s="280">
        <f>ROUND(P68,0)</f>
        <v>196590</v>
      </c>
      <c r="L748" s="280">
        <f>ROUND(P70,0)</f>
        <v>2415</v>
      </c>
      <c r="M748" s="280">
        <f>ROUND(P71,0)</f>
        <v>0</v>
      </c>
      <c r="N748" s="280">
        <f>ROUND(P76,0)</f>
        <v>35943534</v>
      </c>
      <c r="O748" s="280">
        <f>ROUND(P74,0)</f>
        <v>10029111</v>
      </c>
      <c r="P748" s="280">
        <f>IF(P77&gt;0,ROUND(P77,0),0)</f>
        <v>9825</v>
      </c>
      <c r="Q748" s="280">
        <f>IF(P78&gt;0,ROUND(P78,0),0)</f>
        <v>0</v>
      </c>
      <c r="R748" s="280">
        <f>IF(P79&gt;0,ROUND(P79,0),0)</f>
        <v>9825</v>
      </c>
      <c r="S748" s="280">
        <f>IF(P80&gt;0,ROUND(P80,0),0)</f>
        <v>24069</v>
      </c>
      <c r="T748" s="283">
        <f>IF(P81&gt;0,ROUND(P81,2),0)</f>
        <v>4.68</v>
      </c>
      <c r="U748" s="280"/>
      <c r="X748" s="280"/>
      <c r="Y748" s="280"/>
      <c r="Z748" s="280">
        <f t="shared" si="20"/>
        <v>2591854</v>
      </c>
    </row>
    <row r="749" spans="1:26" ht="12.6" customHeight="1" x14ac:dyDescent="0.25">
      <c r="A749" s="209" t="str">
        <f>RIGHT($C$84,3)&amp;"*"&amp;RIGHT($C$83,4)&amp;"*"&amp;Q$55&amp;"*"&amp;"A"</f>
        <v>078*2017*7030*A</v>
      </c>
      <c r="B749" s="280">
        <f>ROUND(Q59,0)</f>
        <v>111885</v>
      </c>
      <c r="C749" s="283">
        <f>ROUND(Q60,2)</f>
        <v>2.57</v>
      </c>
      <c r="D749" s="280">
        <f>ROUND(Q61,0)</f>
        <v>336593</v>
      </c>
      <c r="E749" s="280">
        <f>ROUND(Q62,0)</f>
        <v>98532</v>
      </c>
      <c r="F749" s="280">
        <f>ROUND(Q63,0)</f>
        <v>0</v>
      </c>
      <c r="G749" s="280">
        <f>ROUND(Q64,0)</f>
        <v>39324</v>
      </c>
      <c r="H749" s="280">
        <f>ROUND(Q65,0)</f>
        <v>0</v>
      </c>
      <c r="I749" s="280">
        <f>ROUND(Q66,0)</f>
        <v>0</v>
      </c>
      <c r="J749" s="280">
        <f>ROUND(Q67,0)</f>
        <v>26630</v>
      </c>
      <c r="K749" s="280">
        <f>ROUND(Q68,0)</f>
        <v>7812</v>
      </c>
      <c r="L749" s="280">
        <f>ROUND(Q70,0)</f>
        <v>1401</v>
      </c>
      <c r="M749" s="280">
        <f>ROUND(Q71,0)</f>
        <v>0</v>
      </c>
      <c r="N749" s="280">
        <f>ROUND(Q76,0)</f>
        <v>5672314</v>
      </c>
      <c r="O749" s="280">
        <f>ROUND(Q74,0)</f>
        <v>1422483</v>
      </c>
      <c r="P749" s="280">
        <f>IF(Q77&gt;0,ROUND(Q77,0),0)</f>
        <v>1396</v>
      </c>
      <c r="Q749" s="280">
        <f>IF(Q78&gt;0,ROUND(Q78,0),0)</f>
        <v>0</v>
      </c>
      <c r="R749" s="280">
        <f>IF(Q79&gt;0,ROUND(Q79,0),0)</f>
        <v>1396</v>
      </c>
      <c r="S749" s="280">
        <f>IF(Q80&gt;0,ROUND(Q80,0),0)</f>
        <v>5529</v>
      </c>
      <c r="T749" s="283">
        <f>IF(Q81&gt;0,ROUND(Q81,2),0)</f>
        <v>2.4300000000000002</v>
      </c>
      <c r="U749" s="280"/>
      <c r="X749" s="280"/>
      <c r="Y749" s="280"/>
      <c r="Z749" s="280">
        <f t="shared" si="20"/>
        <v>407923</v>
      </c>
    </row>
    <row r="750" spans="1:26" ht="12.6" customHeight="1" x14ac:dyDescent="0.25">
      <c r="A750" s="209" t="str">
        <f>RIGHT($C$84,3)&amp;"*"&amp;RIGHT($C$83,4)&amp;"*"&amp;R$55&amp;"*"&amp;"A"</f>
        <v>078*2017*7040*A</v>
      </c>
      <c r="B750" s="280">
        <f>ROUND(R59,0)</f>
        <v>188967</v>
      </c>
      <c r="C750" s="283">
        <f>ROUND(R60,2)</f>
        <v>7.41</v>
      </c>
      <c r="D750" s="280">
        <f>ROUND(R61,0)</f>
        <v>1824596</v>
      </c>
      <c r="E750" s="280">
        <f>ROUND(R62,0)</f>
        <v>534117</v>
      </c>
      <c r="F750" s="280">
        <f>ROUND(R63,0)</f>
        <v>92289</v>
      </c>
      <c r="G750" s="280">
        <f>ROUND(R64,0)</f>
        <v>120704</v>
      </c>
      <c r="H750" s="280">
        <f>ROUND(R65,0)</f>
        <v>0</v>
      </c>
      <c r="I750" s="280">
        <f>ROUND(R66,0)</f>
        <v>17621</v>
      </c>
      <c r="J750" s="280">
        <f>ROUND(R67,0)</f>
        <v>3548</v>
      </c>
      <c r="K750" s="280">
        <f>ROUND(R68,0)</f>
        <v>0</v>
      </c>
      <c r="L750" s="280">
        <f>ROUND(R70,0)</f>
        <v>57646</v>
      </c>
      <c r="M750" s="280">
        <f>ROUND(R71,0)</f>
        <v>0</v>
      </c>
      <c r="N750" s="280">
        <f>ROUND(R76,0)</f>
        <v>15268713</v>
      </c>
      <c r="O750" s="280">
        <f>ROUND(R74,0)</f>
        <v>7135112</v>
      </c>
      <c r="P750" s="280">
        <f>IF(R77&gt;0,ROUND(R77,0),0)</f>
        <v>186</v>
      </c>
      <c r="Q750" s="280">
        <f>IF(R78&gt;0,ROUND(R78,0),0)</f>
        <v>0</v>
      </c>
      <c r="R750" s="280">
        <f>IF(R79&gt;0,ROUND(R79,0),0)</f>
        <v>186</v>
      </c>
      <c r="S750" s="280">
        <f>IF(R80&gt;0,ROUND(R80,0),0)</f>
        <v>0</v>
      </c>
      <c r="T750" s="283">
        <f>IF(R81&gt;0,ROUND(R81,2),0)</f>
        <v>7.28</v>
      </c>
      <c r="U750" s="280"/>
      <c r="X750" s="280"/>
      <c r="Y750" s="280"/>
      <c r="Z750" s="280">
        <f t="shared" si="20"/>
        <v>1172219</v>
      </c>
    </row>
    <row r="751" spans="1:26" ht="12.6" customHeight="1" x14ac:dyDescent="0.25">
      <c r="A751" s="209" t="str">
        <f>RIGHT($C$84,3)&amp;"*"&amp;RIGHT($C$83,4)&amp;"*"&amp;S$55&amp;"*"&amp;"A"</f>
        <v>078*2017*7050*A</v>
      </c>
      <c r="B751" s="280"/>
      <c r="C751" s="283">
        <f>ROUND(S60,2)</f>
        <v>4.51</v>
      </c>
      <c r="D751" s="280">
        <f>ROUND(S61,0)</f>
        <v>242412</v>
      </c>
      <c r="E751" s="280">
        <f>ROUND(S62,0)</f>
        <v>70962</v>
      </c>
      <c r="F751" s="280">
        <f>ROUND(S63,0)</f>
        <v>0</v>
      </c>
      <c r="G751" s="280">
        <f>ROUND(S64,0)</f>
        <v>3412100</v>
      </c>
      <c r="H751" s="280">
        <f>ROUND(S65,0)</f>
        <v>0</v>
      </c>
      <c r="I751" s="280">
        <f>ROUND(S66,0)</f>
        <v>77897</v>
      </c>
      <c r="J751" s="280">
        <f>ROUND(S67,0)</f>
        <v>25924</v>
      </c>
      <c r="K751" s="280">
        <f>ROUND(S68,0)</f>
        <v>68221</v>
      </c>
      <c r="L751" s="280">
        <f>ROUND(S70,0)</f>
        <v>7618</v>
      </c>
      <c r="M751" s="280">
        <f>ROUND(S71,0)</f>
        <v>0</v>
      </c>
      <c r="N751" s="280">
        <f>ROUND(S76,0)</f>
        <v>9607855</v>
      </c>
      <c r="O751" s="280">
        <f>ROUND(S74,0)</f>
        <v>5420324</v>
      </c>
      <c r="P751" s="280">
        <f>IF(S77&gt;0,ROUND(S77,0),0)</f>
        <v>1359</v>
      </c>
      <c r="Q751" s="280">
        <f>IF(S78&gt;0,ROUND(S78,0),0)</f>
        <v>0</v>
      </c>
      <c r="R751" s="280">
        <f>IF(S79&gt;0,ROUND(S79,0),0)</f>
        <v>1359</v>
      </c>
      <c r="S751" s="280">
        <f>IF(S80&gt;0,ROUND(S80,0),0)</f>
        <v>1048</v>
      </c>
      <c r="T751" s="283">
        <f>IF(S81&gt;0,ROUND(S81,2),0)</f>
        <v>0</v>
      </c>
      <c r="U751" s="280"/>
      <c r="X751" s="280"/>
      <c r="Y751" s="280"/>
      <c r="Z751" s="280">
        <f t="shared" si="20"/>
        <v>1170402</v>
      </c>
    </row>
    <row r="752" spans="1:26" ht="12.6" customHeight="1" x14ac:dyDescent="0.25">
      <c r="A752" s="209" t="str">
        <f>RIGHT($C$84,3)&amp;"*"&amp;RIGHT($C$83,4)&amp;"*"&amp;T$55&amp;"*"&amp;"A"</f>
        <v>078*2017*7060*A</v>
      </c>
      <c r="B752" s="280"/>
      <c r="C752" s="283">
        <f>ROUND(T60,2)</f>
        <v>0</v>
      </c>
      <c r="D752" s="280">
        <f>ROUND(T61,0)</f>
        <v>0</v>
      </c>
      <c r="E752" s="280">
        <f>ROUND(T62,0)</f>
        <v>0</v>
      </c>
      <c r="F752" s="280">
        <f>ROUND(T63,0)</f>
        <v>0</v>
      </c>
      <c r="G752" s="280">
        <f>ROUND(T64,0)</f>
        <v>0</v>
      </c>
      <c r="H752" s="280">
        <f>ROUND(T65,0)</f>
        <v>0</v>
      </c>
      <c r="I752" s="280">
        <f>ROUND(T66,0)</f>
        <v>0</v>
      </c>
      <c r="J752" s="280">
        <f>ROUND(T67,0)</f>
        <v>0</v>
      </c>
      <c r="K752" s="280">
        <f>ROUND(T68,0)</f>
        <v>0</v>
      </c>
      <c r="L752" s="280">
        <f>ROUND(T70,0)</f>
        <v>0</v>
      </c>
      <c r="M752" s="280">
        <f>ROUND(T71,0)</f>
        <v>0</v>
      </c>
      <c r="N752" s="280">
        <f>ROUND(T76,0)</f>
        <v>0</v>
      </c>
      <c r="O752" s="280">
        <f>ROUND(T74,0)</f>
        <v>0</v>
      </c>
      <c r="P752" s="280">
        <f>IF(T77&gt;0,ROUND(T77,0),0)</f>
        <v>0</v>
      </c>
      <c r="Q752" s="280">
        <f>IF(T78&gt;0,ROUND(T78,0),0)</f>
        <v>0</v>
      </c>
      <c r="R752" s="280">
        <f>IF(T79&gt;0,ROUND(T79,0),0)</f>
        <v>0</v>
      </c>
      <c r="S752" s="280">
        <f>IF(T80&gt;0,ROUND(T80,0),0)</f>
        <v>0</v>
      </c>
      <c r="T752" s="283">
        <f>IF(T81&gt;0,ROUND(T81,2),0)</f>
        <v>0</v>
      </c>
      <c r="U752" s="280"/>
      <c r="X752" s="280"/>
      <c r="Y752" s="280"/>
      <c r="Z752" s="280">
        <f t="shared" si="20"/>
        <v>0</v>
      </c>
    </row>
    <row r="753" spans="1:26" ht="12.6" customHeight="1" x14ac:dyDescent="0.25">
      <c r="A753" s="209" t="str">
        <f>RIGHT($C$84,3)&amp;"*"&amp;RIGHT($C$83,4)&amp;"*"&amp;U$55&amp;"*"&amp;"A"</f>
        <v>078*2017*7070*A</v>
      </c>
      <c r="B753" s="280">
        <f>ROUND(U59,0)</f>
        <v>401004</v>
      </c>
      <c r="C753" s="283">
        <f>ROUND(U60,2)</f>
        <v>19.82</v>
      </c>
      <c r="D753" s="280">
        <f>ROUND(U61,0)</f>
        <v>1429234</v>
      </c>
      <c r="E753" s="280">
        <f>ROUND(U62,0)</f>
        <v>418382</v>
      </c>
      <c r="F753" s="280">
        <f>ROUND(U63,0)</f>
        <v>9642</v>
      </c>
      <c r="G753" s="280">
        <f>ROUND(U64,0)</f>
        <v>529897</v>
      </c>
      <c r="H753" s="280">
        <f>ROUND(U65,0)</f>
        <v>0</v>
      </c>
      <c r="I753" s="280">
        <f>ROUND(U66,0)</f>
        <v>417101</v>
      </c>
      <c r="J753" s="280">
        <f>ROUND(U67,0)</f>
        <v>62016</v>
      </c>
      <c r="K753" s="280">
        <f>ROUND(U68,0)</f>
        <v>58293</v>
      </c>
      <c r="L753" s="280">
        <f>ROUND(U70,0)</f>
        <v>9837</v>
      </c>
      <c r="M753" s="280">
        <f>ROUND(U71,0)</f>
        <v>0</v>
      </c>
      <c r="N753" s="280">
        <f>ROUND(U76,0)</f>
        <v>11972753</v>
      </c>
      <c r="O753" s="280">
        <f>ROUND(U74,0)</f>
        <v>5189575</v>
      </c>
      <c r="P753" s="280">
        <f>IF(U77&gt;0,ROUND(U77,0),0)</f>
        <v>3251</v>
      </c>
      <c r="Q753" s="280">
        <f>IF(U78&gt;0,ROUND(U78,0),0)</f>
        <v>0</v>
      </c>
      <c r="R753" s="280">
        <f>IF(U79&gt;0,ROUND(U79,0),0)</f>
        <v>3251</v>
      </c>
      <c r="S753" s="280">
        <f>IF(U80&gt;0,ROUND(U80,0),0)</f>
        <v>398</v>
      </c>
      <c r="T753" s="283">
        <f>IF(U81&gt;0,ROUND(U81,2),0)</f>
        <v>0</v>
      </c>
      <c r="U753" s="280"/>
      <c r="X753" s="280"/>
      <c r="Y753" s="280"/>
      <c r="Z753" s="280">
        <f t="shared" si="20"/>
        <v>1063374</v>
      </c>
    </row>
    <row r="754" spans="1:26" ht="12.6" customHeight="1" x14ac:dyDescent="0.25">
      <c r="A754" s="209" t="str">
        <f>RIGHT($C$84,3)&amp;"*"&amp;RIGHT($C$83,4)&amp;"*"&amp;V$55&amp;"*"&amp;"A"</f>
        <v>078*2017*7110*A</v>
      </c>
      <c r="B754" s="280">
        <f>ROUND(V59,0)</f>
        <v>836</v>
      </c>
      <c r="C754" s="283">
        <f>ROUND(V60,2)</f>
        <v>0</v>
      </c>
      <c r="D754" s="280">
        <f>ROUND(V61,0)</f>
        <v>0</v>
      </c>
      <c r="E754" s="280">
        <f>ROUND(V62,0)</f>
        <v>0</v>
      </c>
      <c r="F754" s="280">
        <f>ROUND(V63,0)</f>
        <v>0</v>
      </c>
      <c r="G754" s="280">
        <f>ROUND(V64,0)</f>
        <v>2777</v>
      </c>
      <c r="H754" s="280">
        <f>ROUND(V65,0)</f>
        <v>0</v>
      </c>
      <c r="I754" s="280">
        <f>ROUND(V66,0)</f>
        <v>18898</v>
      </c>
      <c r="J754" s="280">
        <f>ROUND(V67,0)</f>
        <v>0</v>
      </c>
      <c r="K754" s="280">
        <f>ROUND(V68,0)</f>
        <v>0</v>
      </c>
      <c r="L754" s="280">
        <f>ROUND(V70,0)</f>
        <v>0</v>
      </c>
      <c r="M754" s="280">
        <f>ROUND(V71,0)</f>
        <v>0</v>
      </c>
      <c r="N754" s="280">
        <f>ROUND(V76,0)</f>
        <v>165728</v>
      </c>
      <c r="O754" s="280">
        <f>ROUND(V74,0)</f>
        <v>66304</v>
      </c>
      <c r="P754" s="280">
        <f>IF(V77&gt;0,ROUND(V77,0),0)</f>
        <v>0</v>
      </c>
      <c r="Q754" s="280">
        <f>IF(V78&gt;0,ROUND(V78,0),0)</f>
        <v>0</v>
      </c>
      <c r="R754" s="280">
        <f>IF(V79&gt;0,ROUND(V79,0),0)</f>
        <v>0</v>
      </c>
      <c r="S754" s="280">
        <f>IF(V80&gt;0,ROUND(V80,0),0)</f>
        <v>0</v>
      </c>
      <c r="T754" s="283">
        <f>IF(V81&gt;0,ROUND(V81,2),0)</f>
        <v>0</v>
      </c>
      <c r="U754" s="280"/>
      <c r="X754" s="280"/>
      <c r="Y754" s="280"/>
      <c r="Z754" s="280">
        <f t="shared" si="20"/>
        <v>11321</v>
      </c>
    </row>
    <row r="755" spans="1:26" ht="12.6" customHeight="1" x14ac:dyDescent="0.25">
      <c r="A755" s="209" t="str">
        <f>RIGHT($C$84,3)&amp;"*"&amp;RIGHT($C$83,4)&amp;"*"&amp;W$55&amp;"*"&amp;"A"</f>
        <v>078*2017*7120*A</v>
      </c>
      <c r="B755" s="280">
        <f>ROUND(W59,0)</f>
        <v>9935</v>
      </c>
      <c r="C755" s="283">
        <f>ROUND(W60,2)</f>
        <v>1.05</v>
      </c>
      <c r="D755" s="280">
        <f>ROUND(W61,0)</f>
        <v>102102</v>
      </c>
      <c r="E755" s="280">
        <f>ROUND(W62,0)</f>
        <v>29889</v>
      </c>
      <c r="F755" s="280">
        <f>ROUND(W63,0)</f>
        <v>0</v>
      </c>
      <c r="G755" s="280">
        <f>ROUND(W64,0)</f>
        <v>8845</v>
      </c>
      <c r="H755" s="280">
        <f>ROUND(W65,0)</f>
        <v>0</v>
      </c>
      <c r="I755" s="280">
        <f>ROUND(W66,0)</f>
        <v>107910</v>
      </c>
      <c r="J755" s="280">
        <f>ROUND(W67,0)</f>
        <v>0</v>
      </c>
      <c r="K755" s="280">
        <f>ROUND(W68,0)</f>
        <v>329747</v>
      </c>
      <c r="L755" s="280">
        <f>ROUND(W70,0)</f>
        <v>2040</v>
      </c>
      <c r="M755" s="280">
        <f>ROUND(W71,0)</f>
        <v>0</v>
      </c>
      <c r="N755" s="280">
        <f>ROUND(W76,0)</f>
        <v>2165379</v>
      </c>
      <c r="O755" s="280">
        <f>ROUND(W74,0)</f>
        <v>301816</v>
      </c>
      <c r="P755" s="280">
        <f>IF(W77&gt;0,ROUND(W77,0),0)</f>
        <v>0</v>
      </c>
      <c r="Q755" s="280">
        <f>IF(W78&gt;0,ROUND(W78,0),0)</f>
        <v>0</v>
      </c>
      <c r="R755" s="280">
        <f>IF(W79&gt;0,ROUND(W79,0),0)</f>
        <v>0</v>
      </c>
      <c r="S755" s="280">
        <f>IF(W80&gt;0,ROUND(W80,0),0)</f>
        <v>0</v>
      </c>
      <c r="T755" s="283">
        <f>IF(W81&gt;0,ROUND(W81,2),0)</f>
        <v>0</v>
      </c>
      <c r="U755" s="280"/>
      <c r="X755" s="280"/>
      <c r="Y755" s="280"/>
      <c r="Z755" s="280">
        <f t="shared" si="20"/>
        <v>175396</v>
      </c>
    </row>
    <row r="756" spans="1:26" ht="12.6" customHeight="1" x14ac:dyDescent="0.25">
      <c r="A756" s="209" t="str">
        <f>RIGHT($C$84,3)&amp;"*"&amp;RIGHT($C$83,4)&amp;"*"&amp;X$55&amp;"*"&amp;"A"</f>
        <v>078*2017*7130*A</v>
      </c>
      <c r="B756" s="280">
        <f>ROUND(X59,0)</f>
        <v>6143</v>
      </c>
      <c r="C756" s="283">
        <f>ROUND(X60,2)</f>
        <v>1.82</v>
      </c>
      <c r="D756" s="280">
        <f>ROUND(X61,0)</f>
        <v>152694</v>
      </c>
      <c r="E756" s="280">
        <f>ROUND(X62,0)</f>
        <v>44698</v>
      </c>
      <c r="F756" s="280">
        <f>ROUND(X63,0)</f>
        <v>3407</v>
      </c>
      <c r="G756" s="280">
        <f>ROUND(X64,0)</f>
        <v>61008</v>
      </c>
      <c r="H756" s="280">
        <f>ROUND(X65,0)</f>
        <v>0</v>
      </c>
      <c r="I756" s="280">
        <f>ROUND(X66,0)</f>
        <v>122779</v>
      </c>
      <c r="J756" s="280">
        <f>ROUND(X67,0)</f>
        <v>0</v>
      </c>
      <c r="K756" s="280">
        <f>ROUND(X68,0)</f>
        <v>0</v>
      </c>
      <c r="L756" s="280">
        <f>ROUND(X70,0)</f>
        <v>0</v>
      </c>
      <c r="M756" s="280">
        <f>ROUND(X71,0)</f>
        <v>0</v>
      </c>
      <c r="N756" s="280">
        <f>ROUND(X76,0)</f>
        <v>14809448</v>
      </c>
      <c r="O756" s="280">
        <f>ROUND(X74,0)</f>
        <v>2778164</v>
      </c>
      <c r="P756" s="280">
        <f>IF(X77&gt;0,ROUND(X77,0),0)</f>
        <v>0</v>
      </c>
      <c r="Q756" s="280">
        <f>IF(X78&gt;0,ROUND(X78,0),0)</f>
        <v>0</v>
      </c>
      <c r="R756" s="280">
        <f>IF(X79&gt;0,ROUND(X79,0),0)</f>
        <v>0</v>
      </c>
      <c r="S756" s="280">
        <f>IF(X80&gt;0,ROUND(X80,0),0)</f>
        <v>9021</v>
      </c>
      <c r="T756" s="283">
        <f>IF(X81&gt;0,ROUND(X81,2),0)</f>
        <v>0</v>
      </c>
      <c r="U756" s="280"/>
      <c r="X756" s="280"/>
      <c r="Y756" s="280"/>
      <c r="Z756" s="280">
        <f t="shared" si="20"/>
        <v>882232</v>
      </c>
    </row>
    <row r="757" spans="1:26" ht="12.6" customHeight="1" x14ac:dyDescent="0.25">
      <c r="A757" s="209" t="str">
        <f>RIGHT($C$84,3)&amp;"*"&amp;RIGHT($C$83,4)&amp;"*"&amp;Y$55&amp;"*"&amp;"A"</f>
        <v>078*2017*7140*A</v>
      </c>
      <c r="B757" s="280">
        <f>ROUND(Y59,0)</f>
        <v>34062</v>
      </c>
      <c r="C757" s="283">
        <f>ROUND(Y60,2)</f>
        <v>16.329999999999998</v>
      </c>
      <c r="D757" s="280">
        <f>ROUND(Y61,0)</f>
        <v>817923</v>
      </c>
      <c r="E757" s="280">
        <f>ROUND(Y62,0)</f>
        <v>239432</v>
      </c>
      <c r="F757" s="280">
        <f>ROUND(Y63,0)</f>
        <v>36590</v>
      </c>
      <c r="G757" s="280">
        <f>ROUND(Y64,0)</f>
        <v>28782</v>
      </c>
      <c r="H757" s="280">
        <f>ROUND(Y65,0)</f>
        <v>0</v>
      </c>
      <c r="I757" s="280">
        <f>ROUND(Y66,0)</f>
        <v>387568</v>
      </c>
      <c r="J757" s="280">
        <f>ROUND(Y67,0)</f>
        <v>126875</v>
      </c>
      <c r="K757" s="280">
        <f>ROUND(Y68,0)</f>
        <v>0</v>
      </c>
      <c r="L757" s="280">
        <f>ROUND(Y70,0)</f>
        <v>1721</v>
      </c>
      <c r="M757" s="280">
        <f>ROUND(Y71,0)</f>
        <v>0</v>
      </c>
      <c r="N757" s="280">
        <f>ROUND(Y76,0)</f>
        <v>4517855</v>
      </c>
      <c r="O757" s="280">
        <f>ROUND(Y74,0)</f>
        <v>1015565</v>
      </c>
      <c r="P757" s="280">
        <f>IF(Y77&gt;0,ROUND(Y77,0),0)</f>
        <v>6651</v>
      </c>
      <c r="Q757" s="280">
        <f>IF(Y78&gt;0,ROUND(Y78,0),0)</f>
        <v>0</v>
      </c>
      <c r="R757" s="280">
        <f>IF(Y79&gt;0,ROUND(Y79,0),0)</f>
        <v>6651</v>
      </c>
      <c r="S757" s="280">
        <f>IF(Y80&gt;0,ROUND(Y80,0),0)</f>
        <v>17450</v>
      </c>
      <c r="T757" s="283">
        <f>IF(Y81&gt;0,ROUND(Y81,2),0)</f>
        <v>0</v>
      </c>
      <c r="U757" s="280"/>
      <c r="X757" s="280"/>
      <c r="Y757" s="280"/>
      <c r="Z757" s="280">
        <f t="shared" si="20"/>
        <v>528242</v>
      </c>
    </row>
    <row r="758" spans="1:26" ht="12.6" customHeight="1" x14ac:dyDescent="0.25">
      <c r="A758" s="209" t="str">
        <f>RIGHT($C$84,3)&amp;"*"&amp;RIGHT($C$83,4)&amp;"*"&amp;Z$55&amp;"*"&amp;"A"</f>
        <v>078*2017*7150*A</v>
      </c>
      <c r="B758" s="280">
        <f>ROUND(Z59,0)</f>
        <v>0</v>
      </c>
      <c r="C758" s="283">
        <f>ROUND(Z60,2)</f>
        <v>0</v>
      </c>
      <c r="D758" s="280">
        <f>ROUND(Z61,0)</f>
        <v>0</v>
      </c>
      <c r="E758" s="280">
        <f>ROUND(Z62,0)</f>
        <v>0</v>
      </c>
      <c r="F758" s="280">
        <f>ROUND(Z63,0)</f>
        <v>0</v>
      </c>
      <c r="G758" s="280">
        <f>ROUND(Z64,0)</f>
        <v>0</v>
      </c>
      <c r="H758" s="280">
        <f>ROUND(Z65,0)</f>
        <v>0</v>
      </c>
      <c r="I758" s="280">
        <f>ROUND(Z66,0)</f>
        <v>0</v>
      </c>
      <c r="J758" s="280">
        <f>ROUND(Z67,0)</f>
        <v>0</v>
      </c>
      <c r="K758" s="280">
        <f>ROUND(Z68,0)</f>
        <v>0</v>
      </c>
      <c r="L758" s="280">
        <f>ROUND(Z70,0)</f>
        <v>0</v>
      </c>
      <c r="M758" s="280">
        <f>ROUND(Z71,0)</f>
        <v>0</v>
      </c>
      <c r="N758" s="280">
        <f>ROUND(Z76,0)</f>
        <v>0</v>
      </c>
      <c r="O758" s="280">
        <f>ROUND(Z74,0)</f>
        <v>0</v>
      </c>
      <c r="P758" s="280">
        <f>IF(Z77&gt;0,ROUND(Z77,0),0)</f>
        <v>0</v>
      </c>
      <c r="Q758" s="280">
        <f>IF(Z78&gt;0,ROUND(Z78,0),0)</f>
        <v>0</v>
      </c>
      <c r="R758" s="280">
        <f>IF(Z79&gt;0,ROUND(Z79,0),0)</f>
        <v>0</v>
      </c>
      <c r="S758" s="280">
        <f>IF(Z80&gt;0,ROUND(Z80,0),0)</f>
        <v>0</v>
      </c>
      <c r="T758" s="283">
        <f>IF(Z81&gt;0,ROUND(Z81,2),0)</f>
        <v>0</v>
      </c>
      <c r="U758" s="280"/>
      <c r="X758" s="280"/>
      <c r="Y758" s="280"/>
      <c r="Z758" s="280">
        <f t="shared" si="20"/>
        <v>0</v>
      </c>
    </row>
    <row r="759" spans="1:26" ht="12.6" customHeight="1" x14ac:dyDescent="0.25">
      <c r="A759" s="209" t="str">
        <f>RIGHT($C$84,3)&amp;"*"&amp;RIGHT($C$83,4)&amp;"*"&amp;AA$55&amp;"*"&amp;"A"</f>
        <v>078*2017*7160*A</v>
      </c>
      <c r="B759" s="280">
        <f>ROUND(AA59,0)</f>
        <v>1613</v>
      </c>
      <c r="C759" s="283">
        <f>ROUND(AA60,2)</f>
        <v>0.34</v>
      </c>
      <c r="D759" s="280">
        <f>ROUND(AA61,0)</f>
        <v>66048</v>
      </c>
      <c r="E759" s="280">
        <f>ROUND(AA62,0)</f>
        <v>19334</v>
      </c>
      <c r="F759" s="280">
        <f>ROUND(AA63,0)</f>
        <v>1424</v>
      </c>
      <c r="G759" s="280">
        <f>ROUND(AA64,0)</f>
        <v>118551</v>
      </c>
      <c r="H759" s="280">
        <f>ROUND(AA65,0)</f>
        <v>0</v>
      </c>
      <c r="I759" s="280">
        <f>ROUND(AA66,0)</f>
        <v>32826</v>
      </c>
      <c r="J759" s="280">
        <f>ROUND(AA67,0)</f>
        <v>0</v>
      </c>
      <c r="K759" s="280">
        <f>ROUND(AA68,0)</f>
        <v>0</v>
      </c>
      <c r="L759" s="280">
        <f>ROUND(AA70,0)</f>
        <v>56</v>
      </c>
      <c r="M759" s="280">
        <f>ROUND(AA71,0)</f>
        <v>0</v>
      </c>
      <c r="N759" s="280">
        <f>ROUND(AA76,0)</f>
        <v>389206</v>
      </c>
      <c r="O759" s="280">
        <f>ROUND(AA74,0)</f>
        <v>66625</v>
      </c>
      <c r="P759" s="280">
        <f>IF(AA77&gt;0,ROUND(AA77,0),0)</f>
        <v>0</v>
      </c>
      <c r="Q759" s="280">
        <f>IF(AA78&gt;0,ROUND(AA78,0),0)</f>
        <v>0</v>
      </c>
      <c r="R759" s="280">
        <f>IF(AA79&gt;0,ROUND(AA79,0),0)</f>
        <v>0</v>
      </c>
      <c r="S759" s="280">
        <f>IF(AA80&gt;0,ROUND(AA80,0),0)</f>
        <v>579</v>
      </c>
      <c r="T759" s="283">
        <f>IF(AA81&gt;0,ROUND(AA81,2),0)</f>
        <v>0</v>
      </c>
      <c r="U759" s="280"/>
      <c r="X759" s="280"/>
      <c r="Y759" s="280"/>
      <c r="Z759" s="280">
        <f t="shared" si="20"/>
        <v>53618</v>
      </c>
    </row>
    <row r="760" spans="1:26" ht="12.6" customHeight="1" x14ac:dyDescent="0.25">
      <c r="A760" s="209" t="str">
        <f>RIGHT($C$84,3)&amp;"*"&amp;RIGHT($C$83,4)&amp;"*"&amp;AB$55&amp;"*"&amp;"A"</f>
        <v>078*2017*7170*A</v>
      </c>
      <c r="B760" s="280"/>
      <c r="C760" s="283">
        <f>ROUND(AB60,2)</f>
        <v>7.43</v>
      </c>
      <c r="D760" s="280">
        <f>ROUND(AB61,0)</f>
        <v>951831</v>
      </c>
      <c r="E760" s="280">
        <f>ROUND(AB62,0)</f>
        <v>278631</v>
      </c>
      <c r="F760" s="280">
        <f>ROUND(AB63,0)</f>
        <v>132177</v>
      </c>
      <c r="G760" s="280">
        <f>ROUND(AB64,0)</f>
        <v>1885795</v>
      </c>
      <c r="H760" s="280">
        <f>ROUND(AB65,0)</f>
        <v>0</v>
      </c>
      <c r="I760" s="280">
        <f>ROUND(AB66,0)</f>
        <v>123414</v>
      </c>
      <c r="J760" s="280">
        <f>ROUND(AB67,0)</f>
        <v>31495</v>
      </c>
      <c r="K760" s="280">
        <f>ROUND(AB68,0)</f>
        <v>17017</v>
      </c>
      <c r="L760" s="280">
        <f>ROUND(AB70,0)</f>
        <v>13101</v>
      </c>
      <c r="M760" s="280">
        <f>ROUND(AB71,0)</f>
        <v>0</v>
      </c>
      <c r="N760" s="280">
        <f>ROUND(AB76,0)</f>
        <v>13830459</v>
      </c>
      <c r="O760" s="280">
        <f>ROUND(AB74,0)</f>
        <v>6640962</v>
      </c>
      <c r="P760" s="280">
        <f>IF(AB77&gt;0,ROUND(AB77,0),0)</f>
        <v>1651</v>
      </c>
      <c r="Q760" s="280">
        <f>IF(AB78&gt;0,ROUND(AB78,0),0)</f>
        <v>0</v>
      </c>
      <c r="R760" s="280">
        <f>IF(AB79&gt;0,ROUND(AB79,0),0)</f>
        <v>1651</v>
      </c>
      <c r="S760" s="280">
        <f>IF(AB80&gt;0,ROUND(AB80,0),0)</f>
        <v>0</v>
      </c>
      <c r="T760" s="283">
        <f>IF(AB81&gt;0,ROUND(AB81,2),0)</f>
        <v>0</v>
      </c>
      <c r="U760" s="280"/>
      <c r="X760" s="280"/>
      <c r="Y760" s="280"/>
      <c r="Z760" s="280">
        <f t="shared" si="20"/>
        <v>1256556</v>
      </c>
    </row>
    <row r="761" spans="1:26" ht="12.6" customHeight="1" x14ac:dyDescent="0.25">
      <c r="A761" s="209" t="str">
        <f>RIGHT($C$84,3)&amp;"*"&amp;RIGHT($C$83,4)&amp;"*"&amp;AC$55&amp;"*"&amp;"A"</f>
        <v>078*2017*7180*A</v>
      </c>
      <c r="B761" s="280">
        <f>ROUND(AC59,0)</f>
        <v>14004</v>
      </c>
      <c r="C761" s="283">
        <f>ROUND(AC60,2)</f>
        <v>5.56</v>
      </c>
      <c r="D761" s="280">
        <f>ROUND(AC61,0)</f>
        <v>437403</v>
      </c>
      <c r="E761" s="280">
        <f>ROUND(AC62,0)</f>
        <v>128042</v>
      </c>
      <c r="F761" s="280">
        <f>ROUND(AC63,0)</f>
        <v>0</v>
      </c>
      <c r="G761" s="280">
        <f>ROUND(AC64,0)</f>
        <v>45387</v>
      </c>
      <c r="H761" s="280">
        <f>ROUND(AC65,0)</f>
        <v>0</v>
      </c>
      <c r="I761" s="280">
        <f>ROUND(AC66,0)</f>
        <v>154</v>
      </c>
      <c r="J761" s="280">
        <f>ROUND(AC67,0)</f>
        <v>15814</v>
      </c>
      <c r="K761" s="280">
        <f>ROUND(AC68,0)</f>
        <v>0</v>
      </c>
      <c r="L761" s="280">
        <f>ROUND(AC70,0)</f>
        <v>2378</v>
      </c>
      <c r="M761" s="280">
        <f>ROUND(AC71,0)</f>
        <v>0</v>
      </c>
      <c r="N761" s="280">
        <f>ROUND(AC76,0)</f>
        <v>2101832</v>
      </c>
      <c r="O761" s="280">
        <f>ROUND(AC74,0)</f>
        <v>1697595</v>
      </c>
      <c r="P761" s="280">
        <f>IF(AC77&gt;0,ROUND(AC77,0),0)</f>
        <v>829</v>
      </c>
      <c r="Q761" s="280">
        <f>IF(AC78&gt;0,ROUND(AC78,0),0)</f>
        <v>0</v>
      </c>
      <c r="R761" s="280">
        <f>IF(AC79&gt;0,ROUND(AC79,0),0)</f>
        <v>829</v>
      </c>
      <c r="S761" s="280">
        <f>IF(AC80&gt;0,ROUND(AC80,0),0)</f>
        <v>0</v>
      </c>
      <c r="T761" s="283">
        <f>IF(AC81&gt;0,ROUND(AC81,2),0)</f>
        <v>0</v>
      </c>
      <c r="U761" s="280"/>
      <c r="X761" s="280"/>
      <c r="Y761" s="280"/>
      <c r="Z761" s="280">
        <f t="shared" si="20"/>
        <v>202652</v>
      </c>
    </row>
    <row r="762" spans="1:26" ht="12.6" customHeight="1" x14ac:dyDescent="0.25">
      <c r="A762" s="209" t="str">
        <f>RIGHT($C$84,3)&amp;"*"&amp;RIGHT($C$83,4)&amp;"*"&amp;AD$55&amp;"*"&amp;"A"</f>
        <v>078*2017*7190*A</v>
      </c>
      <c r="B762" s="280">
        <f>ROUND(AD59,0)</f>
        <v>0</v>
      </c>
      <c r="C762" s="283">
        <f>ROUND(AD60,2)</f>
        <v>0</v>
      </c>
      <c r="D762" s="280">
        <f>ROUND(AD61,0)</f>
        <v>0</v>
      </c>
      <c r="E762" s="280">
        <f>ROUND(AD62,0)</f>
        <v>0</v>
      </c>
      <c r="F762" s="280">
        <f>ROUND(AD63,0)</f>
        <v>0</v>
      </c>
      <c r="G762" s="280">
        <f>ROUND(AD64,0)</f>
        <v>0</v>
      </c>
      <c r="H762" s="280">
        <f>ROUND(AD65,0)</f>
        <v>0</v>
      </c>
      <c r="I762" s="280">
        <f>ROUND(AD66,0)</f>
        <v>0</v>
      </c>
      <c r="J762" s="280">
        <f>ROUND(AD67,0)</f>
        <v>0</v>
      </c>
      <c r="K762" s="280">
        <f>ROUND(AD68,0)</f>
        <v>0</v>
      </c>
      <c r="L762" s="280">
        <f>ROUND(AD70,0)</f>
        <v>0</v>
      </c>
      <c r="M762" s="280">
        <f>ROUND(AD71,0)</f>
        <v>0</v>
      </c>
      <c r="N762" s="280">
        <f>ROUND(AD76,0)</f>
        <v>0</v>
      </c>
      <c r="O762" s="280">
        <f>ROUND(AD74,0)</f>
        <v>0</v>
      </c>
      <c r="P762" s="280">
        <f>IF(AD77&gt;0,ROUND(AD77,0),0)</f>
        <v>0</v>
      </c>
      <c r="Q762" s="280">
        <f>IF(AD78&gt;0,ROUND(AD78,0),0)</f>
        <v>0</v>
      </c>
      <c r="R762" s="280">
        <f>IF(AD79&gt;0,ROUND(AD79,0),0)</f>
        <v>0</v>
      </c>
      <c r="S762" s="280">
        <f>IF(AD80&gt;0,ROUND(AD80,0),0)</f>
        <v>0</v>
      </c>
      <c r="T762" s="283">
        <f>IF(AD81&gt;0,ROUND(AD81,2),0)</f>
        <v>0</v>
      </c>
      <c r="U762" s="280"/>
      <c r="X762" s="280"/>
      <c r="Y762" s="280"/>
      <c r="Z762" s="280">
        <f t="shared" si="20"/>
        <v>0</v>
      </c>
    </row>
    <row r="763" spans="1:26" ht="12.6" customHeight="1" x14ac:dyDescent="0.25">
      <c r="A763" s="209" t="str">
        <f>RIGHT($C$84,3)&amp;"*"&amp;RIGHT($C$83,4)&amp;"*"&amp;AE$55&amp;"*"&amp;"A"</f>
        <v>078*2017*7200*A</v>
      </c>
      <c r="B763" s="280">
        <f>ROUND(AE59,0)</f>
        <v>13679</v>
      </c>
      <c r="C763" s="283">
        <f>ROUND(AE60,2)</f>
        <v>4.3099999999999996</v>
      </c>
      <c r="D763" s="280">
        <f>ROUND(AE61,0)</f>
        <v>480082</v>
      </c>
      <c r="E763" s="280">
        <f>ROUND(AE62,0)</f>
        <v>140535</v>
      </c>
      <c r="F763" s="280">
        <f>ROUND(AE63,0)</f>
        <v>0</v>
      </c>
      <c r="G763" s="280">
        <f>ROUND(AE64,0)</f>
        <v>9857</v>
      </c>
      <c r="H763" s="280">
        <f>ROUND(AE65,0)</f>
        <v>0</v>
      </c>
      <c r="I763" s="280">
        <f>ROUND(AE66,0)</f>
        <v>4862</v>
      </c>
      <c r="J763" s="280">
        <f>ROUND(AE67,0)</f>
        <v>38896</v>
      </c>
      <c r="K763" s="280">
        <f>ROUND(AE68,0)</f>
        <v>0</v>
      </c>
      <c r="L763" s="280">
        <f>ROUND(AE70,0)</f>
        <v>11705</v>
      </c>
      <c r="M763" s="280">
        <f>ROUND(AE71,0)</f>
        <v>0</v>
      </c>
      <c r="N763" s="280">
        <f>ROUND(AE76,0)</f>
        <v>1765969</v>
      </c>
      <c r="O763" s="280">
        <f>ROUND(AE74,0)</f>
        <v>827693</v>
      </c>
      <c r="P763" s="280">
        <f>IF(AE77&gt;0,ROUND(AE77,0),0)</f>
        <v>2039</v>
      </c>
      <c r="Q763" s="280">
        <f>IF(AE78&gt;0,ROUND(AE78,0),0)</f>
        <v>0</v>
      </c>
      <c r="R763" s="280">
        <f>IF(AE79&gt;0,ROUND(AE79,0),0)</f>
        <v>2039</v>
      </c>
      <c r="S763" s="280">
        <f>IF(AE80&gt;0,ROUND(AE80,0),0)</f>
        <v>427</v>
      </c>
      <c r="T763" s="283">
        <f>IF(AE81&gt;0,ROUND(AE81,2),0)</f>
        <v>0</v>
      </c>
      <c r="U763" s="280"/>
      <c r="X763" s="280"/>
      <c r="Y763" s="280"/>
      <c r="Z763" s="280">
        <f t="shared" si="20"/>
        <v>190086</v>
      </c>
    </row>
    <row r="764" spans="1:26" ht="12.6" customHeight="1" x14ac:dyDescent="0.25">
      <c r="A764" s="209" t="str">
        <f>RIGHT($C$84,3)&amp;"*"&amp;RIGHT($C$83,4)&amp;"*"&amp;AF$55&amp;"*"&amp;"A"</f>
        <v>078*2017*7220*A</v>
      </c>
      <c r="B764" s="280">
        <f>ROUND(AF59,0)</f>
        <v>0</v>
      </c>
      <c r="C764" s="283">
        <f>ROUND(AF60,2)</f>
        <v>0</v>
      </c>
      <c r="D764" s="280">
        <f>ROUND(AF61,0)</f>
        <v>0</v>
      </c>
      <c r="E764" s="280">
        <f>ROUND(AF62,0)</f>
        <v>0</v>
      </c>
      <c r="F764" s="280">
        <f>ROUND(AF63,0)</f>
        <v>0</v>
      </c>
      <c r="G764" s="280">
        <f>ROUND(AF64,0)</f>
        <v>0</v>
      </c>
      <c r="H764" s="280">
        <f>ROUND(AF65,0)</f>
        <v>0</v>
      </c>
      <c r="I764" s="280">
        <f>ROUND(AF66,0)</f>
        <v>0</v>
      </c>
      <c r="J764" s="280">
        <f>ROUND(AF67,0)</f>
        <v>0</v>
      </c>
      <c r="K764" s="280">
        <f>ROUND(AF68,0)</f>
        <v>0</v>
      </c>
      <c r="L764" s="280">
        <f>ROUND(AF70,0)</f>
        <v>0</v>
      </c>
      <c r="M764" s="280">
        <f>ROUND(AF71,0)</f>
        <v>0</v>
      </c>
      <c r="N764" s="280">
        <f>ROUND(AF76,0)</f>
        <v>0</v>
      </c>
      <c r="O764" s="280">
        <f>ROUND(AF74,0)</f>
        <v>0</v>
      </c>
      <c r="P764" s="280">
        <f>IF(AF77&gt;0,ROUND(AF77,0),0)</f>
        <v>0</v>
      </c>
      <c r="Q764" s="280">
        <f>IF(AF78&gt;0,ROUND(AF78,0),0)</f>
        <v>0</v>
      </c>
      <c r="R764" s="280">
        <f>IF(AF79&gt;0,ROUND(AF79,0),0)</f>
        <v>0</v>
      </c>
      <c r="S764" s="280">
        <f>IF(AF80&gt;0,ROUND(AF80,0),0)</f>
        <v>0</v>
      </c>
      <c r="T764" s="283">
        <f>IF(AF81&gt;0,ROUND(AF81,2),0)</f>
        <v>0</v>
      </c>
      <c r="U764" s="280"/>
      <c r="X764" s="280"/>
      <c r="Y764" s="280"/>
      <c r="Z764" s="280">
        <f t="shared" si="20"/>
        <v>0</v>
      </c>
    </row>
    <row r="765" spans="1:26" ht="12.6" customHeight="1" x14ac:dyDescent="0.25">
      <c r="A765" s="209" t="str">
        <f>RIGHT($C$84,3)&amp;"*"&amp;RIGHT($C$83,4)&amp;"*"&amp;AG$55&amp;"*"&amp;"A"</f>
        <v>078*2017*7230*A</v>
      </c>
      <c r="B765" s="280">
        <f>ROUND(AG59,0)</f>
        <v>20292</v>
      </c>
      <c r="C765" s="283">
        <f>ROUND(AG60,2)</f>
        <v>21.11</v>
      </c>
      <c r="D765" s="280">
        <f>ROUND(AG61,0)</f>
        <v>2409599</v>
      </c>
      <c r="E765" s="280">
        <f>ROUND(AG62,0)</f>
        <v>705366</v>
      </c>
      <c r="F765" s="280">
        <f>ROUND(AG63,0)</f>
        <v>2401385</v>
      </c>
      <c r="G765" s="280">
        <f>ROUND(AG64,0)</f>
        <v>253666</v>
      </c>
      <c r="H765" s="280">
        <f>ROUND(AG65,0)</f>
        <v>0</v>
      </c>
      <c r="I765" s="280">
        <f>ROUND(AG66,0)</f>
        <v>5704</v>
      </c>
      <c r="J765" s="280">
        <f>ROUND(AG67,0)</f>
        <v>104384</v>
      </c>
      <c r="K765" s="280">
        <f>ROUND(AG68,0)</f>
        <v>15548</v>
      </c>
      <c r="L765" s="280">
        <f>ROUND(AG70,0)</f>
        <v>6758</v>
      </c>
      <c r="M765" s="280">
        <f>ROUND(AG71,0)</f>
        <v>0</v>
      </c>
      <c r="N765" s="280">
        <f>ROUND(AG76,0)</f>
        <v>32993253</v>
      </c>
      <c r="O765" s="280">
        <f>ROUND(AG74,0)</f>
        <v>5100585</v>
      </c>
      <c r="P765" s="280">
        <f>IF(AG77&gt;0,ROUND(AG77,0),0)</f>
        <v>5472</v>
      </c>
      <c r="Q765" s="280">
        <f>IF(AG78&gt;0,ROUND(AG78,0),0)</f>
        <v>440</v>
      </c>
      <c r="R765" s="280">
        <f>IF(AG79&gt;0,ROUND(AG79,0),0)</f>
        <v>5472</v>
      </c>
      <c r="S765" s="280">
        <f>IF(AG80&gt;0,ROUND(AG80,0),0)</f>
        <v>85502</v>
      </c>
      <c r="T765" s="283">
        <f>IF(AG81&gt;0,ROUND(AG81,2),0)</f>
        <v>21.25</v>
      </c>
      <c r="U765" s="280"/>
      <c r="X765" s="280"/>
      <c r="Y765" s="280"/>
      <c r="Z765" s="280">
        <f t="shared" si="20"/>
        <v>2778333</v>
      </c>
    </row>
    <row r="766" spans="1:26" ht="12.6" customHeight="1" x14ac:dyDescent="0.25">
      <c r="A766" s="209" t="str">
        <f>RIGHT($C$84,3)&amp;"*"&amp;RIGHT($C$83,4)&amp;"*"&amp;AH$55&amp;"*"&amp;"A"</f>
        <v>078*2017*7240*A</v>
      </c>
      <c r="B766" s="280">
        <f>ROUND(AH59,0)</f>
        <v>0</v>
      </c>
      <c r="C766" s="283">
        <f>ROUND(AH60,2)</f>
        <v>0</v>
      </c>
      <c r="D766" s="280">
        <f>ROUND(AH61,0)</f>
        <v>0</v>
      </c>
      <c r="E766" s="280">
        <f>ROUND(AH62,0)</f>
        <v>0</v>
      </c>
      <c r="F766" s="280">
        <f>ROUND(AH63,0)</f>
        <v>0</v>
      </c>
      <c r="G766" s="280">
        <f>ROUND(AH64,0)</f>
        <v>0</v>
      </c>
      <c r="H766" s="280">
        <f>ROUND(AH65,0)</f>
        <v>0</v>
      </c>
      <c r="I766" s="280">
        <f>ROUND(AH66,0)</f>
        <v>0</v>
      </c>
      <c r="J766" s="280">
        <f>ROUND(AH67,0)</f>
        <v>0</v>
      </c>
      <c r="K766" s="280">
        <f>ROUND(AH68,0)</f>
        <v>0</v>
      </c>
      <c r="L766" s="280">
        <f>ROUND(AH70,0)</f>
        <v>0</v>
      </c>
      <c r="M766" s="280">
        <f>ROUND(AH71,0)</f>
        <v>0</v>
      </c>
      <c r="N766" s="280">
        <f>ROUND(AH76,0)</f>
        <v>0</v>
      </c>
      <c r="O766" s="280">
        <f>ROUND(AH74,0)</f>
        <v>0</v>
      </c>
      <c r="P766" s="280">
        <f>IF(AH77&gt;0,ROUND(AH77,0),0)</f>
        <v>0</v>
      </c>
      <c r="Q766" s="280">
        <f>IF(AH78&gt;0,ROUND(AH78,0),0)</f>
        <v>0</v>
      </c>
      <c r="R766" s="280">
        <f>IF(AH79&gt;0,ROUND(AH79,0),0)</f>
        <v>0</v>
      </c>
      <c r="S766" s="280">
        <f>IF(AH80&gt;0,ROUND(AH80,0),0)</f>
        <v>0</v>
      </c>
      <c r="T766" s="283">
        <f>IF(AH81&gt;0,ROUND(AH81,2),0)</f>
        <v>0</v>
      </c>
      <c r="U766" s="280"/>
      <c r="X766" s="280"/>
      <c r="Y766" s="280"/>
      <c r="Z766" s="280">
        <f t="shared" si="20"/>
        <v>0</v>
      </c>
    </row>
    <row r="767" spans="1:26" ht="12.6" customHeight="1" x14ac:dyDescent="0.25">
      <c r="A767" s="209" t="str">
        <f>RIGHT($C$84,3)&amp;"*"&amp;RIGHT($C$83,4)&amp;"*"&amp;AI$55&amp;"*"&amp;"A"</f>
        <v>078*2017*7250*A</v>
      </c>
      <c r="B767" s="280">
        <f>ROUND(AI59,0)</f>
        <v>4439</v>
      </c>
      <c r="C767" s="283">
        <f>ROUND(AI60,2)</f>
        <v>6.71</v>
      </c>
      <c r="D767" s="280">
        <f>ROUND(AI61,0)</f>
        <v>698673</v>
      </c>
      <c r="E767" s="280">
        <f>ROUND(AI62,0)</f>
        <v>204524</v>
      </c>
      <c r="F767" s="280">
        <f>ROUND(AI63,0)</f>
        <v>0</v>
      </c>
      <c r="G767" s="280">
        <f>ROUND(AI64,0)</f>
        <v>104735</v>
      </c>
      <c r="H767" s="280">
        <f>ROUND(AI65,0)</f>
        <v>0</v>
      </c>
      <c r="I767" s="280">
        <f>ROUND(AI66,0)</f>
        <v>0</v>
      </c>
      <c r="J767" s="280">
        <f>ROUND(AI67,0)</f>
        <v>74015</v>
      </c>
      <c r="K767" s="280">
        <f>ROUND(AI68,0)</f>
        <v>7938</v>
      </c>
      <c r="L767" s="280">
        <f>ROUND(AI70,0)</f>
        <v>1516</v>
      </c>
      <c r="M767" s="280">
        <f>ROUND(AI71,0)</f>
        <v>0</v>
      </c>
      <c r="N767" s="280">
        <f>ROUND(AI76,0)</f>
        <v>7177604</v>
      </c>
      <c r="O767" s="280">
        <f>ROUND(AI74,0)</f>
        <v>17871</v>
      </c>
      <c r="P767" s="280">
        <f>IF(AI77&gt;0,ROUND(AI77,0),0)</f>
        <v>3880</v>
      </c>
      <c r="Q767" s="280">
        <f>IF(AI78&gt;0,ROUND(AI78,0),0)</f>
        <v>550</v>
      </c>
      <c r="R767" s="280">
        <f>IF(AI79&gt;0,ROUND(AI79,0),0)</f>
        <v>3880</v>
      </c>
      <c r="S767" s="280">
        <f>IF(AI80&gt;0,ROUND(AI80,0),0)</f>
        <v>15000</v>
      </c>
      <c r="T767" s="283">
        <f>IF(AI81&gt;0,ROUND(AI81,2),0)</f>
        <v>6.42</v>
      </c>
      <c r="U767" s="280"/>
      <c r="X767" s="280"/>
      <c r="Y767" s="280"/>
      <c r="Z767" s="280">
        <f t="shared" si="20"/>
        <v>656428</v>
      </c>
    </row>
    <row r="768" spans="1:26" ht="12.6" customHeight="1" x14ac:dyDescent="0.25">
      <c r="A768" s="209" t="str">
        <f>RIGHT($C$84,3)&amp;"*"&amp;RIGHT($C$83,4)&amp;"*"&amp;AJ$55&amp;"*"&amp;"A"</f>
        <v>078*2017*7260*A</v>
      </c>
      <c r="B768" s="280">
        <f>ROUND(AJ59,0)</f>
        <v>37175</v>
      </c>
      <c r="C768" s="283">
        <f>ROUND(AJ60,2)</f>
        <v>53.64</v>
      </c>
      <c r="D768" s="280">
        <f>ROUND(AJ61,0)</f>
        <v>4853369</v>
      </c>
      <c r="E768" s="280">
        <f>ROUND(AJ62,0)</f>
        <v>1420736</v>
      </c>
      <c r="F768" s="280">
        <f>ROUND(AJ63,0)</f>
        <v>196006</v>
      </c>
      <c r="G768" s="280">
        <f>ROUND(AJ64,0)</f>
        <v>431580</v>
      </c>
      <c r="H768" s="280">
        <f>ROUND(AJ65,0)</f>
        <v>0</v>
      </c>
      <c r="I768" s="280">
        <f>ROUND(AJ66,0)</f>
        <v>54913</v>
      </c>
      <c r="J768" s="280">
        <f>ROUND(AJ67,0)</f>
        <v>1289752</v>
      </c>
      <c r="K768" s="280">
        <f>ROUND(AJ68,0)</f>
        <v>5078</v>
      </c>
      <c r="L768" s="280">
        <f>ROUND(AJ70,0)</f>
        <v>173178</v>
      </c>
      <c r="M768" s="280">
        <f>ROUND(AJ71,0)</f>
        <v>0</v>
      </c>
      <c r="N768" s="280">
        <f>ROUND(AJ76,0)</f>
        <v>9432498</v>
      </c>
      <c r="O768" s="280">
        <f>ROUND(AJ74,0)</f>
        <v>0</v>
      </c>
      <c r="P768" s="280">
        <f>IF(AJ77&gt;0,ROUND(AJ77,0),0)</f>
        <v>67611</v>
      </c>
      <c r="Q768" s="280">
        <f>IF(AJ78&gt;0,ROUND(AJ78,0),0)</f>
        <v>0</v>
      </c>
      <c r="R768" s="280">
        <f>IF(AJ79&gt;0,ROUND(AJ79,0),0)</f>
        <v>67611</v>
      </c>
      <c r="S768" s="280">
        <f>IF(AJ80&gt;0,ROUND(AJ80,0),0)</f>
        <v>0</v>
      </c>
      <c r="T768" s="283">
        <f>IF(AJ81&gt;0,ROUND(AJ81,2),0)</f>
        <v>9.93</v>
      </c>
      <c r="U768" s="280"/>
      <c r="X768" s="280"/>
      <c r="Y768" s="280"/>
      <c r="Z768" s="280">
        <f t="shared" si="20"/>
        <v>2045000</v>
      </c>
    </row>
    <row r="769" spans="1:26" ht="12.6" customHeight="1" x14ac:dyDescent="0.25">
      <c r="A769" s="209" t="str">
        <f>RIGHT($C$84,3)&amp;"*"&amp;RIGHT($C$83,4)&amp;"*"&amp;AK$55&amp;"*"&amp;"A"</f>
        <v>078*2017*7310*A</v>
      </c>
      <c r="B769" s="280">
        <f>ROUND(AK59,0)</f>
        <v>0</v>
      </c>
      <c r="C769" s="283">
        <f>ROUND(AK60,2)</f>
        <v>0</v>
      </c>
      <c r="D769" s="280">
        <f>ROUND(AK61,0)</f>
        <v>0</v>
      </c>
      <c r="E769" s="280">
        <f>ROUND(AK62,0)</f>
        <v>0</v>
      </c>
      <c r="F769" s="280">
        <f>ROUND(AK63,0)</f>
        <v>0</v>
      </c>
      <c r="G769" s="280">
        <f>ROUND(AK64,0)</f>
        <v>0</v>
      </c>
      <c r="H769" s="280">
        <f>ROUND(AK65,0)</f>
        <v>0</v>
      </c>
      <c r="I769" s="280">
        <f>ROUND(AK66,0)</f>
        <v>0</v>
      </c>
      <c r="J769" s="280">
        <f>ROUND(AK67,0)</f>
        <v>0</v>
      </c>
      <c r="K769" s="280">
        <f>ROUND(AK68,0)</f>
        <v>0</v>
      </c>
      <c r="L769" s="280">
        <f>ROUND(AK70,0)</f>
        <v>0</v>
      </c>
      <c r="M769" s="280">
        <f>ROUND(AK71,0)</f>
        <v>0</v>
      </c>
      <c r="N769" s="280">
        <f>ROUND(AK76,0)</f>
        <v>0</v>
      </c>
      <c r="O769" s="280">
        <f>ROUND(AK74,0)</f>
        <v>0</v>
      </c>
      <c r="P769" s="280">
        <f>IF(AK77&gt;0,ROUND(AK77,0),0)</f>
        <v>0</v>
      </c>
      <c r="Q769" s="280">
        <f>IF(AK78&gt;0,ROUND(AK78,0),0)</f>
        <v>0</v>
      </c>
      <c r="R769" s="280">
        <f>IF(AK79&gt;0,ROUND(AK79,0),0)</f>
        <v>0</v>
      </c>
      <c r="S769" s="280">
        <f>IF(AK80&gt;0,ROUND(AK80,0),0)</f>
        <v>0</v>
      </c>
      <c r="T769" s="283">
        <f>IF(AK81&gt;0,ROUND(AK81,2),0)</f>
        <v>0</v>
      </c>
      <c r="U769" s="280"/>
      <c r="X769" s="280"/>
      <c r="Y769" s="280"/>
      <c r="Z769" s="280">
        <f t="shared" si="20"/>
        <v>0</v>
      </c>
    </row>
    <row r="770" spans="1:26" ht="12.6" customHeight="1" x14ac:dyDescent="0.25">
      <c r="A770" s="209" t="str">
        <f>RIGHT($C$84,3)&amp;"*"&amp;RIGHT($C$83,4)&amp;"*"&amp;AL$55&amp;"*"&amp;"A"</f>
        <v>078*2017*7320*A</v>
      </c>
      <c r="B770" s="280">
        <f>ROUND(AL59,0)</f>
        <v>273</v>
      </c>
      <c r="C770" s="283">
        <f>ROUND(AL60,2)</f>
        <v>0.11</v>
      </c>
      <c r="D770" s="280">
        <f>ROUND(AL61,0)</f>
        <v>10533</v>
      </c>
      <c r="E770" s="280">
        <f>ROUND(AL62,0)</f>
        <v>3083</v>
      </c>
      <c r="F770" s="280">
        <f>ROUND(AL63,0)</f>
        <v>0</v>
      </c>
      <c r="G770" s="280">
        <f>ROUND(AL64,0)</f>
        <v>0</v>
      </c>
      <c r="H770" s="280">
        <f>ROUND(AL65,0)</f>
        <v>0</v>
      </c>
      <c r="I770" s="280">
        <f>ROUND(AL66,0)</f>
        <v>0</v>
      </c>
      <c r="J770" s="280">
        <f>ROUND(AL67,0)</f>
        <v>0</v>
      </c>
      <c r="K770" s="280">
        <f>ROUND(AL68,0)</f>
        <v>0</v>
      </c>
      <c r="L770" s="280">
        <f>ROUND(AL70,0)</f>
        <v>0</v>
      </c>
      <c r="M770" s="280">
        <f>ROUND(AL71,0)</f>
        <v>0</v>
      </c>
      <c r="N770" s="280">
        <f>ROUND(AL76,0)</f>
        <v>21809</v>
      </c>
      <c r="O770" s="280">
        <f>ROUND(AL74,0)</f>
        <v>12976</v>
      </c>
      <c r="P770" s="280">
        <f>IF(AL77&gt;0,ROUND(AL77,0),0)</f>
        <v>0</v>
      </c>
      <c r="Q770" s="280">
        <f>IF(AL78&gt;0,ROUND(AL78,0),0)</f>
        <v>0</v>
      </c>
      <c r="R770" s="280">
        <f>IF(AL79&gt;0,ROUND(AL79,0),0)</f>
        <v>0</v>
      </c>
      <c r="S770" s="280">
        <f>IF(AL80&gt;0,ROUND(AL80,0),0)</f>
        <v>0</v>
      </c>
      <c r="T770" s="283">
        <f>IF(AL81&gt;0,ROUND(AL81,2),0)</f>
        <v>0</v>
      </c>
      <c r="U770" s="280"/>
      <c r="X770" s="280"/>
      <c r="Y770" s="280"/>
      <c r="Z770" s="280">
        <f t="shared" si="20"/>
        <v>2820</v>
      </c>
    </row>
    <row r="771" spans="1:26" ht="12.6" customHeight="1" x14ac:dyDescent="0.25">
      <c r="A771" s="209" t="str">
        <f>RIGHT($C$84,3)&amp;"*"&amp;RIGHT($C$83,4)&amp;"*"&amp;AM$55&amp;"*"&amp;"A"</f>
        <v>078*2017*7330*A</v>
      </c>
      <c r="B771" s="280">
        <f>ROUND(AM59,0)</f>
        <v>0</v>
      </c>
      <c r="C771" s="283">
        <f>ROUND(AM60,2)</f>
        <v>0</v>
      </c>
      <c r="D771" s="280">
        <f>ROUND(AM61,0)</f>
        <v>0</v>
      </c>
      <c r="E771" s="280">
        <f>ROUND(AM62,0)</f>
        <v>0</v>
      </c>
      <c r="F771" s="280">
        <f>ROUND(AM63,0)</f>
        <v>0</v>
      </c>
      <c r="G771" s="280">
        <f>ROUND(AM64,0)</f>
        <v>0</v>
      </c>
      <c r="H771" s="280">
        <f>ROUND(AM65,0)</f>
        <v>0</v>
      </c>
      <c r="I771" s="280">
        <f>ROUND(AM66,0)</f>
        <v>0</v>
      </c>
      <c r="J771" s="280">
        <f>ROUND(AM67,0)</f>
        <v>0</v>
      </c>
      <c r="K771" s="280">
        <f>ROUND(AM68,0)</f>
        <v>0</v>
      </c>
      <c r="L771" s="280">
        <f>ROUND(AM70,0)</f>
        <v>0</v>
      </c>
      <c r="M771" s="280">
        <f>ROUND(AM71,0)</f>
        <v>0</v>
      </c>
      <c r="N771" s="280">
        <f>ROUND(AM76,0)</f>
        <v>0</v>
      </c>
      <c r="O771" s="280">
        <f>ROUND(AM74,0)</f>
        <v>0</v>
      </c>
      <c r="P771" s="280">
        <f>IF(AM77&gt;0,ROUND(AM77,0),0)</f>
        <v>0</v>
      </c>
      <c r="Q771" s="280">
        <f>IF(AM78&gt;0,ROUND(AM78,0),0)</f>
        <v>0</v>
      </c>
      <c r="R771" s="280">
        <f>IF(AM79&gt;0,ROUND(AM79,0),0)</f>
        <v>0</v>
      </c>
      <c r="S771" s="280">
        <f>IF(AM80&gt;0,ROUND(AM80,0),0)</f>
        <v>0</v>
      </c>
      <c r="T771" s="283">
        <f>IF(AM81&gt;0,ROUND(AM81,2),0)</f>
        <v>0</v>
      </c>
      <c r="U771" s="280"/>
      <c r="X771" s="280"/>
      <c r="Y771" s="280"/>
      <c r="Z771" s="280">
        <f t="shared" si="20"/>
        <v>0</v>
      </c>
    </row>
    <row r="772" spans="1:26" ht="12.6" customHeight="1" x14ac:dyDescent="0.25">
      <c r="A772" s="209" t="str">
        <f>RIGHT($C$84,3)&amp;"*"&amp;RIGHT($C$83,4)&amp;"*"&amp;AN$55&amp;"*"&amp;"A"</f>
        <v>078*2017*7340*A</v>
      </c>
      <c r="B772" s="280">
        <f>ROUND(AN59,0)</f>
        <v>0</v>
      </c>
      <c r="C772" s="283">
        <f>ROUND(AN60,2)</f>
        <v>0</v>
      </c>
      <c r="D772" s="280">
        <f>ROUND(AN61,0)</f>
        <v>0</v>
      </c>
      <c r="E772" s="280">
        <f>ROUND(AN62,0)</f>
        <v>0</v>
      </c>
      <c r="F772" s="280">
        <f>ROUND(AN63,0)</f>
        <v>0</v>
      </c>
      <c r="G772" s="280">
        <f>ROUND(AN64,0)</f>
        <v>0</v>
      </c>
      <c r="H772" s="280">
        <f>ROUND(AN65,0)</f>
        <v>0</v>
      </c>
      <c r="I772" s="280">
        <f>ROUND(AN66,0)</f>
        <v>0</v>
      </c>
      <c r="J772" s="280">
        <f>ROUND(AN67,0)</f>
        <v>0</v>
      </c>
      <c r="K772" s="280">
        <f>ROUND(AN68,0)</f>
        <v>0</v>
      </c>
      <c r="L772" s="280">
        <f>ROUND(AN70,0)</f>
        <v>0</v>
      </c>
      <c r="M772" s="280">
        <f>ROUND(AN71,0)</f>
        <v>0</v>
      </c>
      <c r="N772" s="280">
        <f>ROUND(AN76,0)</f>
        <v>0</v>
      </c>
      <c r="O772" s="280">
        <f>ROUND(AN74,0)</f>
        <v>0</v>
      </c>
      <c r="P772" s="280">
        <f>IF(AN77&gt;0,ROUND(AN77,0),0)</f>
        <v>0</v>
      </c>
      <c r="Q772" s="280">
        <f>IF(AN78&gt;0,ROUND(AN78,0),0)</f>
        <v>0</v>
      </c>
      <c r="R772" s="280">
        <f>IF(AN79&gt;0,ROUND(AN79,0),0)</f>
        <v>0</v>
      </c>
      <c r="S772" s="280">
        <f>IF(AN80&gt;0,ROUND(AN80,0),0)</f>
        <v>0</v>
      </c>
      <c r="T772" s="283">
        <f>IF(AN81&gt;0,ROUND(AN81,2),0)</f>
        <v>0</v>
      </c>
      <c r="U772" s="280"/>
      <c r="X772" s="280"/>
      <c r="Y772" s="280"/>
      <c r="Z772" s="280">
        <f t="shared" si="20"/>
        <v>0</v>
      </c>
    </row>
    <row r="773" spans="1:26" ht="12.6" customHeight="1" x14ac:dyDescent="0.25">
      <c r="A773" s="209" t="str">
        <f>RIGHT($C$84,3)&amp;"*"&amp;RIGHT($C$83,4)&amp;"*"&amp;AO$55&amp;"*"&amp;"A"</f>
        <v>078*2017*7350*A</v>
      </c>
      <c r="B773" s="280">
        <f>ROUND(AO59,0)</f>
        <v>0</v>
      </c>
      <c r="C773" s="283">
        <f>ROUND(AO60,2)</f>
        <v>0</v>
      </c>
      <c r="D773" s="280">
        <f>ROUND(AO61,0)</f>
        <v>0</v>
      </c>
      <c r="E773" s="280">
        <f>ROUND(AO62,0)</f>
        <v>0</v>
      </c>
      <c r="F773" s="280">
        <f>ROUND(AO63,0)</f>
        <v>0</v>
      </c>
      <c r="G773" s="280">
        <f>ROUND(AO64,0)</f>
        <v>0</v>
      </c>
      <c r="H773" s="280">
        <f>ROUND(AO65,0)</f>
        <v>0</v>
      </c>
      <c r="I773" s="280">
        <f>ROUND(AO66,0)</f>
        <v>0</v>
      </c>
      <c r="J773" s="280">
        <f>ROUND(AO67,0)</f>
        <v>0</v>
      </c>
      <c r="K773" s="280">
        <f>ROUND(AO68,0)</f>
        <v>0</v>
      </c>
      <c r="L773" s="280">
        <f>ROUND(AO70,0)</f>
        <v>0</v>
      </c>
      <c r="M773" s="280">
        <f>ROUND(AO71,0)</f>
        <v>0</v>
      </c>
      <c r="N773" s="280">
        <f>ROUND(AO76,0)</f>
        <v>0</v>
      </c>
      <c r="O773" s="280">
        <f>ROUND(AO74,0)</f>
        <v>0</v>
      </c>
      <c r="P773" s="280">
        <f>IF(AO77&gt;0,ROUND(AO77,0),0)</f>
        <v>0</v>
      </c>
      <c r="Q773" s="280">
        <f>IF(AO78&gt;0,ROUND(AO78,0),0)</f>
        <v>0</v>
      </c>
      <c r="R773" s="280">
        <f>IF(AO79&gt;0,ROUND(AO79,0),0)</f>
        <v>0</v>
      </c>
      <c r="S773" s="280">
        <f>IF(AO80&gt;0,ROUND(AO80,0),0)</f>
        <v>0</v>
      </c>
      <c r="T773" s="283">
        <f>IF(AO81&gt;0,ROUND(AO81,2),0)</f>
        <v>0</v>
      </c>
      <c r="U773" s="280"/>
      <c r="X773" s="280"/>
      <c r="Y773" s="280"/>
      <c r="Z773" s="280">
        <f t="shared" si="20"/>
        <v>0</v>
      </c>
    </row>
    <row r="774" spans="1:26" ht="12.6" customHeight="1" x14ac:dyDescent="0.25">
      <c r="A774" s="209" t="str">
        <f>RIGHT($C$84,3)&amp;"*"&amp;RIGHT($C$83,4)&amp;"*"&amp;AP$55&amp;"*"&amp;"A"</f>
        <v>078*2017*7380*A</v>
      </c>
      <c r="B774" s="280">
        <f>ROUND(AP59,0)</f>
        <v>7145</v>
      </c>
      <c r="C774" s="283">
        <f>ROUND(AP60,2)</f>
        <v>7.21</v>
      </c>
      <c r="D774" s="280">
        <f>ROUND(AP61,0)</f>
        <v>191731</v>
      </c>
      <c r="E774" s="280">
        <f>ROUND(AP62,0)</f>
        <v>56126</v>
      </c>
      <c r="F774" s="280">
        <f>ROUND(AP63,0)</f>
        <v>7747</v>
      </c>
      <c r="G774" s="280">
        <f>ROUND(AP64,0)</f>
        <v>63638</v>
      </c>
      <c r="H774" s="280">
        <f>ROUND(AP65,0)</f>
        <v>0</v>
      </c>
      <c r="I774" s="280">
        <f>ROUND(AP66,0)</f>
        <v>124076</v>
      </c>
      <c r="J774" s="280">
        <f>ROUND(AP67,0)</f>
        <v>0</v>
      </c>
      <c r="K774" s="280">
        <f>ROUND(AP68,0)</f>
        <v>66933</v>
      </c>
      <c r="L774" s="280">
        <f>ROUND(AP70,0)</f>
        <v>16636</v>
      </c>
      <c r="M774" s="280">
        <f>ROUND(AP71,0)</f>
        <v>0</v>
      </c>
      <c r="N774" s="280">
        <f>ROUND(AP76,0)</f>
        <v>1570519</v>
      </c>
      <c r="O774" s="280">
        <f>ROUND(AP74,0)</f>
        <v>0</v>
      </c>
      <c r="P774" s="280">
        <f>IF(AP77&gt;0,ROUND(AP77,0),0)</f>
        <v>0</v>
      </c>
      <c r="Q774" s="280">
        <f>IF(AP78&gt;0,ROUND(AP78,0),0)</f>
        <v>0</v>
      </c>
      <c r="R774" s="280">
        <f>IF(AP79&gt;0,ROUND(AP79,0),0)</f>
        <v>0</v>
      </c>
      <c r="S774" s="280">
        <f>IF(AP80&gt;0,ROUND(AP80,0),0)</f>
        <v>0</v>
      </c>
      <c r="T774" s="283">
        <f>IF(AP81&gt;0,ROUND(AP81,2),0)</f>
        <v>1.76</v>
      </c>
      <c r="U774" s="280"/>
      <c r="X774" s="280"/>
      <c r="Y774" s="280"/>
      <c r="Z774" s="280">
        <f t="shared" si="20"/>
        <v>179247</v>
      </c>
    </row>
    <row r="775" spans="1:26" ht="12.6" customHeight="1" x14ac:dyDescent="0.25">
      <c r="A775" s="209" t="str">
        <f>RIGHT($C$84,3)&amp;"*"&amp;RIGHT($C$83,4)&amp;"*"&amp;AQ$55&amp;"*"&amp;"A"</f>
        <v>078*2017*7390*A</v>
      </c>
      <c r="B775" s="280">
        <f>ROUND(AQ59,0)</f>
        <v>0</v>
      </c>
      <c r="C775" s="283">
        <f>ROUND(AQ60,2)</f>
        <v>0</v>
      </c>
      <c r="D775" s="280">
        <f>ROUND(AQ61,0)</f>
        <v>0</v>
      </c>
      <c r="E775" s="280">
        <f>ROUND(AQ62,0)</f>
        <v>0</v>
      </c>
      <c r="F775" s="280">
        <f>ROUND(AQ63,0)</f>
        <v>0</v>
      </c>
      <c r="G775" s="280">
        <f>ROUND(AQ64,0)</f>
        <v>0</v>
      </c>
      <c r="H775" s="280">
        <f>ROUND(AQ65,0)</f>
        <v>0</v>
      </c>
      <c r="I775" s="280">
        <f>ROUND(AQ66,0)</f>
        <v>0</v>
      </c>
      <c r="J775" s="280">
        <f>ROUND(AQ67,0)</f>
        <v>0</v>
      </c>
      <c r="K775" s="280">
        <f>ROUND(AQ68,0)</f>
        <v>0</v>
      </c>
      <c r="L775" s="280">
        <f>ROUND(AQ70,0)</f>
        <v>0</v>
      </c>
      <c r="M775" s="280">
        <f>ROUND(AQ71,0)</f>
        <v>0</v>
      </c>
      <c r="N775" s="280">
        <f>ROUND(AQ76,0)</f>
        <v>0</v>
      </c>
      <c r="O775" s="280">
        <f>ROUND(AQ74,0)</f>
        <v>0</v>
      </c>
      <c r="P775" s="280">
        <f>IF(AQ77&gt;0,ROUND(AQ77,0),0)</f>
        <v>0</v>
      </c>
      <c r="Q775" s="280">
        <f>IF(AQ78&gt;0,ROUND(AQ78,0),0)</f>
        <v>0</v>
      </c>
      <c r="R775" s="280">
        <f>IF(AQ79&gt;0,ROUND(AQ79,0),0)</f>
        <v>0</v>
      </c>
      <c r="S775" s="280">
        <f>IF(AQ80&gt;0,ROUND(AQ80,0),0)</f>
        <v>0</v>
      </c>
      <c r="T775" s="283">
        <f>IF(AQ81&gt;0,ROUND(AQ81,2),0)</f>
        <v>0</v>
      </c>
      <c r="U775" s="280"/>
      <c r="X775" s="280"/>
      <c r="Y775" s="280"/>
      <c r="Z775" s="280">
        <f t="shared" si="20"/>
        <v>0</v>
      </c>
    </row>
    <row r="776" spans="1:26" ht="12.6" customHeight="1" x14ac:dyDescent="0.25">
      <c r="A776" s="209" t="str">
        <f>RIGHT($C$84,3)&amp;"*"&amp;RIGHT($C$83,4)&amp;"*"&amp;AR$55&amp;"*"&amp;"A"</f>
        <v>078*2017*7400*A</v>
      </c>
      <c r="B776" s="280">
        <f>ROUND(AR59,0)</f>
        <v>0</v>
      </c>
      <c r="C776" s="283">
        <f>ROUND(AR60,2)</f>
        <v>0</v>
      </c>
      <c r="D776" s="280">
        <f>ROUND(AR61,0)</f>
        <v>0</v>
      </c>
      <c r="E776" s="280">
        <f>ROUND(AR62,0)</f>
        <v>0</v>
      </c>
      <c r="F776" s="280">
        <f>ROUND(AR63,0)</f>
        <v>0</v>
      </c>
      <c r="G776" s="280">
        <f>ROUND(AR64,0)</f>
        <v>0</v>
      </c>
      <c r="H776" s="280">
        <f>ROUND(AR65,0)</f>
        <v>0</v>
      </c>
      <c r="I776" s="280">
        <f>ROUND(AR66,0)</f>
        <v>0</v>
      </c>
      <c r="J776" s="280">
        <f>ROUND(AR67,0)</f>
        <v>0</v>
      </c>
      <c r="K776" s="280">
        <f>ROUND(AR68,0)</f>
        <v>0</v>
      </c>
      <c r="L776" s="280">
        <f>ROUND(AR70,0)</f>
        <v>0</v>
      </c>
      <c r="M776" s="280">
        <f>ROUND(AR71,0)</f>
        <v>0</v>
      </c>
      <c r="N776" s="280">
        <f>ROUND(AR76,0)</f>
        <v>0</v>
      </c>
      <c r="O776" s="280">
        <f>ROUND(AR74,0)</f>
        <v>0</v>
      </c>
      <c r="P776" s="280">
        <f>IF(AR77&gt;0,ROUND(AR77,0),0)</f>
        <v>0</v>
      </c>
      <c r="Q776" s="280">
        <f>IF(AR78&gt;0,ROUND(AR78,0),0)</f>
        <v>0</v>
      </c>
      <c r="R776" s="280">
        <f>IF(AR79&gt;0,ROUND(AR79,0),0)</f>
        <v>0</v>
      </c>
      <c r="S776" s="280">
        <f>IF(AR80&gt;0,ROUND(AR80,0),0)</f>
        <v>0</v>
      </c>
      <c r="T776" s="283">
        <f>IF(AR81&gt;0,ROUND(AR81,2),0)</f>
        <v>0</v>
      </c>
      <c r="U776" s="280"/>
      <c r="X776" s="280"/>
      <c r="Y776" s="280"/>
      <c r="Z776" s="280">
        <f t="shared" si="20"/>
        <v>0</v>
      </c>
    </row>
    <row r="777" spans="1:26" ht="12.6" customHeight="1" x14ac:dyDescent="0.25">
      <c r="A777" s="209" t="str">
        <f>RIGHT($C$84,3)&amp;"*"&amp;RIGHT($C$83,4)&amp;"*"&amp;AS$55&amp;"*"&amp;"A"</f>
        <v>078*2017*7410*A</v>
      </c>
      <c r="B777" s="280">
        <f>ROUND(AS59,0)</f>
        <v>0</v>
      </c>
      <c r="C777" s="283">
        <f>ROUND(AS60,2)</f>
        <v>0</v>
      </c>
      <c r="D777" s="280">
        <f>ROUND(AS61,0)</f>
        <v>0</v>
      </c>
      <c r="E777" s="280">
        <f>ROUND(AS62,0)</f>
        <v>0</v>
      </c>
      <c r="F777" s="280">
        <f>ROUND(AS63,0)</f>
        <v>0</v>
      </c>
      <c r="G777" s="280">
        <f>ROUND(AS64,0)</f>
        <v>0</v>
      </c>
      <c r="H777" s="280">
        <f>ROUND(AS65,0)</f>
        <v>0</v>
      </c>
      <c r="I777" s="280">
        <f>ROUND(AS66,0)</f>
        <v>0</v>
      </c>
      <c r="J777" s="280">
        <f>ROUND(AS67,0)</f>
        <v>0</v>
      </c>
      <c r="K777" s="280">
        <f>ROUND(AS68,0)</f>
        <v>0</v>
      </c>
      <c r="L777" s="280">
        <f>ROUND(AS70,0)</f>
        <v>0</v>
      </c>
      <c r="M777" s="280">
        <f>ROUND(AS71,0)</f>
        <v>0</v>
      </c>
      <c r="N777" s="280">
        <f>ROUND(AS76,0)</f>
        <v>0</v>
      </c>
      <c r="O777" s="280">
        <f>ROUND(AS74,0)</f>
        <v>0</v>
      </c>
      <c r="P777" s="280">
        <f>IF(AS77&gt;0,ROUND(AS77,0),0)</f>
        <v>0</v>
      </c>
      <c r="Q777" s="280">
        <f>IF(AS78&gt;0,ROUND(AS78,0),0)</f>
        <v>0</v>
      </c>
      <c r="R777" s="280">
        <f>IF(AS79&gt;0,ROUND(AS79,0),0)</f>
        <v>0</v>
      </c>
      <c r="S777" s="280">
        <f>IF(AS80&gt;0,ROUND(AS80,0),0)</f>
        <v>0</v>
      </c>
      <c r="T777" s="283">
        <f>IF(AS81&gt;0,ROUND(AS81,2),0)</f>
        <v>0</v>
      </c>
      <c r="U777" s="280"/>
      <c r="X777" s="280"/>
      <c r="Y777" s="280"/>
      <c r="Z777" s="280">
        <f t="shared" si="20"/>
        <v>0</v>
      </c>
    </row>
    <row r="778" spans="1:26" ht="12.6" customHeight="1" x14ac:dyDescent="0.25">
      <c r="A778" s="209" t="str">
        <f>RIGHT($C$84,3)&amp;"*"&amp;RIGHT($C$83,4)&amp;"*"&amp;AT$55&amp;"*"&amp;"A"</f>
        <v>078*2017*7420*A</v>
      </c>
      <c r="B778" s="280">
        <f>ROUND(AT59,0)</f>
        <v>0</v>
      </c>
      <c r="C778" s="283">
        <f>ROUND(AT60,2)</f>
        <v>0</v>
      </c>
      <c r="D778" s="280">
        <f>ROUND(AT61,0)</f>
        <v>0</v>
      </c>
      <c r="E778" s="280">
        <f>ROUND(AT62,0)</f>
        <v>0</v>
      </c>
      <c r="F778" s="280">
        <f>ROUND(AT63,0)</f>
        <v>0</v>
      </c>
      <c r="G778" s="280">
        <f>ROUND(AT64,0)</f>
        <v>0</v>
      </c>
      <c r="H778" s="280">
        <f>ROUND(AT65,0)</f>
        <v>0</v>
      </c>
      <c r="I778" s="280">
        <f>ROUND(AT66,0)</f>
        <v>0</v>
      </c>
      <c r="J778" s="280">
        <f>ROUND(AT67,0)</f>
        <v>0</v>
      </c>
      <c r="K778" s="280">
        <f>ROUND(AT68,0)</f>
        <v>0</v>
      </c>
      <c r="L778" s="280">
        <f>ROUND(AT70,0)</f>
        <v>0</v>
      </c>
      <c r="M778" s="280">
        <f>ROUND(AT71,0)</f>
        <v>0</v>
      </c>
      <c r="N778" s="280">
        <f>ROUND(AT76,0)</f>
        <v>0</v>
      </c>
      <c r="O778" s="280">
        <f>ROUND(AT74,0)</f>
        <v>0</v>
      </c>
      <c r="P778" s="280">
        <f>IF(AT77&gt;0,ROUND(AT77,0),0)</f>
        <v>0</v>
      </c>
      <c r="Q778" s="280">
        <f>IF(AT78&gt;0,ROUND(AT78,0),0)</f>
        <v>0</v>
      </c>
      <c r="R778" s="280">
        <f>IF(AT79&gt;0,ROUND(AT79,0),0)</f>
        <v>0</v>
      </c>
      <c r="S778" s="280">
        <f>IF(AT80&gt;0,ROUND(AT80,0),0)</f>
        <v>0</v>
      </c>
      <c r="T778" s="283">
        <f>IF(AT81&gt;0,ROUND(AT81,2),0)</f>
        <v>0</v>
      </c>
      <c r="U778" s="280"/>
      <c r="X778" s="280"/>
      <c r="Y778" s="280"/>
      <c r="Z778" s="280">
        <f t="shared" si="20"/>
        <v>0</v>
      </c>
    </row>
    <row r="779" spans="1:26" ht="12.6" customHeight="1" x14ac:dyDescent="0.25">
      <c r="A779" s="209" t="str">
        <f>RIGHT($C$84,3)&amp;"*"&amp;RIGHT($C$83,4)&amp;"*"&amp;AU$55&amp;"*"&amp;"A"</f>
        <v>078*2017*7430*A</v>
      </c>
      <c r="B779" s="280">
        <f>ROUND(AU59,0)</f>
        <v>0</v>
      </c>
      <c r="C779" s="283">
        <f>ROUND(AU60,2)</f>
        <v>0</v>
      </c>
      <c r="D779" s="280">
        <f>ROUND(AU61,0)</f>
        <v>0</v>
      </c>
      <c r="E779" s="280">
        <f>ROUND(AU62,0)</f>
        <v>0</v>
      </c>
      <c r="F779" s="280">
        <f>ROUND(AU63,0)</f>
        <v>0</v>
      </c>
      <c r="G779" s="280">
        <f>ROUND(AU64,0)</f>
        <v>0</v>
      </c>
      <c r="H779" s="280">
        <f>ROUND(AU65,0)</f>
        <v>0</v>
      </c>
      <c r="I779" s="280">
        <f>ROUND(AU66,0)</f>
        <v>0</v>
      </c>
      <c r="J779" s="280">
        <f>ROUND(AU67,0)</f>
        <v>0</v>
      </c>
      <c r="K779" s="280">
        <f>ROUND(AU68,0)</f>
        <v>0</v>
      </c>
      <c r="L779" s="280">
        <f>ROUND(AU70,0)</f>
        <v>0</v>
      </c>
      <c r="M779" s="280">
        <f>ROUND(AU71,0)</f>
        <v>0</v>
      </c>
      <c r="N779" s="280">
        <f>ROUND(AU76,0)</f>
        <v>0</v>
      </c>
      <c r="O779" s="280">
        <f>ROUND(AU74,0)</f>
        <v>0</v>
      </c>
      <c r="P779" s="280">
        <f>IF(AU77&gt;0,ROUND(AU77,0),0)</f>
        <v>0</v>
      </c>
      <c r="Q779" s="280">
        <f>IF(AU78&gt;0,ROUND(AU78,0),0)</f>
        <v>0</v>
      </c>
      <c r="R779" s="280">
        <f>IF(AU79&gt;0,ROUND(AU79,0),0)</f>
        <v>0</v>
      </c>
      <c r="S779" s="280">
        <f>IF(AU80&gt;0,ROUND(AU80,0),0)</f>
        <v>0</v>
      </c>
      <c r="T779" s="283">
        <f>IF(AU81&gt;0,ROUND(AU81,2),0)</f>
        <v>0</v>
      </c>
      <c r="U779" s="280"/>
      <c r="X779" s="280"/>
      <c r="Y779" s="280"/>
      <c r="Z779" s="280">
        <f t="shared" si="20"/>
        <v>0</v>
      </c>
    </row>
    <row r="780" spans="1:26" ht="12.6" customHeight="1" x14ac:dyDescent="0.25">
      <c r="A780" s="209" t="str">
        <f>RIGHT($C$84,3)&amp;"*"&amp;RIGHT($C$83,4)&amp;"*"&amp;AV$55&amp;"*"&amp;"A"</f>
        <v>078*2017*7490*A</v>
      </c>
      <c r="B780" s="280"/>
      <c r="C780" s="283">
        <f>ROUND(AV60,2)</f>
        <v>1.84</v>
      </c>
      <c r="D780" s="280">
        <f>ROUND(AV61,0)</f>
        <v>84608</v>
      </c>
      <c r="E780" s="280">
        <f>ROUND(AV62,0)</f>
        <v>24767</v>
      </c>
      <c r="F780" s="280">
        <f>ROUND(AV63,0)</f>
        <v>12960</v>
      </c>
      <c r="G780" s="280">
        <f>ROUND(AV64,0)</f>
        <v>2677</v>
      </c>
      <c r="H780" s="280">
        <f>ROUND(AV65,0)</f>
        <v>0</v>
      </c>
      <c r="I780" s="280">
        <f>ROUND(AV66,0)</f>
        <v>0</v>
      </c>
      <c r="J780" s="280">
        <f>ROUND(AV67,0)</f>
        <v>0</v>
      </c>
      <c r="K780" s="280">
        <f>ROUND(AV68,0)</f>
        <v>0</v>
      </c>
      <c r="L780" s="280">
        <f>ROUND(AV70,0)</f>
        <v>3429</v>
      </c>
      <c r="M780" s="280">
        <f>ROUND(AV71,0)</f>
        <v>0</v>
      </c>
      <c r="N780" s="280">
        <f>ROUND(AV76,0)</f>
        <v>481314</v>
      </c>
      <c r="O780" s="280">
        <f>ROUND(AV74,0)</f>
        <v>0</v>
      </c>
      <c r="P780" s="280">
        <f>IF(AV77&gt;0,ROUND(AV77,0),0)</f>
        <v>0</v>
      </c>
      <c r="Q780" s="280">
        <f>IF(AV78&gt;0,ROUND(AV78,0),0)</f>
        <v>0</v>
      </c>
      <c r="R780" s="280">
        <f>IF(AV79&gt;0,ROUND(AV79,0),0)</f>
        <v>0</v>
      </c>
      <c r="S780" s="280">
        <f>IF(AV80&gt;0,ROUND(AV80,0),0)</f>
        <v>0</v>
      </c>
      <c r="T780" s="283">
        <f>IF(AV81&gt;0,ROUND(AV81,2),0)</f>
        <v>0.02</v>
      </c>
      <c r="U780" s="280"/>
      <c r="X780" s="280"/>
      <c r="Y780" s="280"/>
      <c r="Z780" s="280">
        <f t="shared" si="20"/>
        <v>45506</v>
      </c>
    </row>
    <row r="781" spans="1:26" ht="12.6" customHeight="1" x14ac:dyDescent="0.25">
      <c r="A781" s="209" t="str">
        <f>RIGHT($C$84,3)&amp;"*"&amp;RIGHT($C$83,4)&amp;"*"&amp;AW$55&amp;"*"&amp;"A"</f>
        <v>078*2017*8200*A</v>
      </c>
      <c r="B781" s="280"/>
      <c r="C781" s="283">
        <f>ROUND(AW60,2)</f>
        <v>0</v>
      </c>
      <c r="D781" s="280">
        <f>ROUND(AW61,0)</f>
        <v>0</v>
      </c>
      <c r="E781" s="280">
        <f>ROUND(AW62,0)</f>
        <v>0</v>
      </c>
      <c r="F781" s="280">
        <f>ROUND(AW63,0)</f>
        <v>0</v>
      </c>
      <c r="G781" s="280">
        <f>ROUND(AW64,0)</f>
        <v>0</v>
      </c>
      <c r="H781" s="280">
        <f>ROUND(AW65,0)</f>
        <v>0</v>
      </c>
      <c r="I781" s="280">
        <f>ROUND(AW66,0)</f>
        <v>0</v>
      </c>
      <c r="J781" s="280">
        <f>ROUND(AW67,0)</f>
        <v>0</v>
      </c>
      <c r="K781" s="280">
        <f>ROUND(AW68,0)</f>
        <v>0</v>
      </c>
      <c r="L781" s="280">
        <f>ROUND(AW70,0)</f>
        <v>0</v>
      </c>
      <c r="M781" s="280">
        <f>ROUND(AW71,0)</f>
        <v>0</v>
      </c>
      <c r="N781" s="280"/>
      <c r="O781" s="280"/>
      <c r="P781" s="280">
        <f>IF(AW77&gt;0,ROUND(AW77,0),0)</f>
        <v>0</v>
      </c>
      <c r="Q781" s="280">
        <f>IF(AW78&gt;0,ROUND(AW78,0),0)</f>
        <v>0</v>
      </c>
      <c r="R781" s="280">
        <f>IF(AW79&gt;0,ROUND(AW79,0),0)</f>
        <v>0</v>
      </c>
      <c r="S781" s="280">
        <f>IF(AW80&gt;0,ROUND(AW80,0),0)</f>
        <v>0</v>
      </c>
      <c r="T781" s="283">
        <f>IF(AW81&gt;0,ROUND(AW81,2),0)</f>
        <v>0</v>
      </c>
      <c r="U781" s="280"/>
      <c r="X781" s="280"/>
      <c r="Y781" s="280"/>
      <c r="Z781" s="280"/>
    </row>
    <row r="782" spans="1:26" ht="12.6" customHeight="1" x14ac:dyDescent="0.25">
      <c r="A782" s="209" t="str">
        <f>RIGHT($C$84,3)&amp;"*"&amp;RIGHT($C$83,4)&amp;"*"&amp;AX$55&amp;"*"&amp;"A"</f>
        <v>078*2017*8310*A</v>
      </c>
      <c r="B782" s="280"/>
      <c r="C782" s="283">
        <f>ROUND(AX60,2)</f>
        <v>0</v>
      </c>
      <c r="D782" s="280">
        <f>ROUND(AX61,0)</f>
        <v>0</v>
      </c>
      <c r="E782" s="280">
        <f>ROUND(AX62,0)</f>
        <v>0</v>
      </c>
      <c r="F782" s="280">
        <f>ROUND(AX63,0)</f>
        <v>0</v>
      </c>
      <c r="G782" s="280">
        <f>ROUND(AX64,0)</f>
        <v>0</v>
      </c>
      <c r="H782" s="280">
        <f>ROUND(AX65,0)</f>
        <v>0</v>
      </c>
      <c r="I782" s="280">
        <f>ROUND(AX66,0)</f>
        <v>0</v>
      </c>
      <c r="J782" s="280">
        <f>ROUND(AX67,0)</f>
        <v>0</v>
      </c>
      <c r="K782" s="280">
        <f>ROUND(AX68,0)</f>
        <v>0</v>
      </c>
      <c r="L782" s="280">
        <f>ROUND(AX70,0)</f>
        <v>0</v>
      </c>
      <c r="M782" s="280">
        <f>ROUND(AX71,0)</f>
        <v>0</v>
      </c>
      <c r="N782" s="280"/>
      <c r="O782" s="280"/>
      <c r="P782" s="280">
        <f>IF(AX77&gt;0,ROUND(AX77,0),0)</f>
        <v>0</v>
      </c>
      <c r="Q782" s="280">
        <f>IF(AX78&gt;0,ROUND(AX78,0),0)</f>
        <v>0</v>
      </c>
      <c r="R782" s="280">
        <f>IF(AX79&gt;0,ROUND(AX79,0),0)</f>
        <v>0</v>
      </c>
      <c r="S782" s="280">
        <f>IF(AX80&gt;0,ROUND(AX80,0),0)</f>
        <v>0</v>
      </c>
      <c r="T782" s="283">
        <f>IF(AX81&gt;0,ROUND(AX81,2),0)</f>
        <v>0</v>
      </c>
      <c r="U782" s="280"/>
      <c r="X782" s="280"/>
      <c r="Y782" s="280"/>
      <c r="Z782" s="280"/>
    </row>
    <row r="783" spans="1:26" ht="12.6" customHeight="1" x14ac:dyDescent="0.25">
      <c r="A783" s="209" t="str">
        <f>RIGHT($C$84,3)&amp;"*"&amp;RIGHT($C$83,4)&amp;"*"&amp;AY$55&amp;"*"&amp;"A"</f>
        <v>078*2017*8320*A</v>
      </c>
      <c r="B783" s="280">
        <f>ROUND(AY59,0)</f>
        <v>27498</v>
      </c>
      <c r="C783" s="283">
        <f>ROUND(AY60,2)</f>
        <v>15.13</v>
      </c>
      <c r="D783" s="280">
        <f>ROUND(AY61,0)</f>
        <v>753315</v>
      </c>
      <c r="E783" s="280">
        <f>ROUND(AY62,0)</f>
        <v>220519</v>
      </c>
      <c r="F783" s="280">
        <f>ROUND(AY63,0)</f>
        <v>0</v>
      </c>
      <c r="G783" s="280">
        <f>ROUND(AY64,0)</f>
        <v>466108</v>
      </c>
      <c r="H783" s="280">
        <f>ROUND(AY65,0)</f>
        <v>0</v>
      </c>
      <c r="I783" s="280">
        <f>ROUND(AY66,0)</f>
        <v>1148</v>
      </c>
      <c r="J783" s="280">
        <f>ROUND(AY67,0)</f>
        <v>140648</v>
      </c>
      <c r="K783" s="280">
        <f>ROUND(AY68,0)</f>
        <v>0</v>
      </c>
      <c r="L783" s="280">
        <f>ROUND(AY70,0)</f>
        <v>2513</v>
      </c>
      <c r="M783" s="280">
        <f>ROUND(AY71,0)</f>
        <v>0</v>
      </c>
      <c r="N783" s="280"/>
      <c r="O783" s="280"/>
      <c r="P783" s="280">
        <f>IF(AY77&gt;0,ROUND(AY77,0),0)</f>
        <v>7373</v>
      </c>
      <c r="Q783" s="280">
        <f>IF(AY78&gt;0,ROUND(AY78,0),0)</f>
        <v>0</v>
      </c>
      <c r="R783" s="280">
        <f>IF(AY79&gt;0,ROUND(AY79,0),0)</f>
        <v>0</v>
      </c>
      <c r="S783" s="280">
        <f>IF(AY80&gt;0,ROUND(AY80,0),0)</f>
        <v>0</v>
      </c>
      <c r="T783" s="283">
        <f>IF(AY81&gt;0,ROUND(AY81,2),0)</f>
        <v>0</v>
      </c>
      <c r="U783" s="280"/>
      <c r="X783" s="280"/>
      <c r="Y783" s="280"/>
      <c r="Z783" s="280"/>
    </row>
    <row r="784" spans="1:26" ht="12.6" customHeight="1" x14ac:dyDescent="0.25">
      <c r="A784" s="209" t="str">
        <f>RIGHT($C$84,3)&amp;"*"&amp;RIGHT($C$83,4)&amp;"*"&amp;AZ$55&amp;"*"&amp;"A"</f>
        <v>078*2017*8330*A</v>
      </c>
      <c r="B784" s="280">
        <f>ROUND(AZ59,0)</f>
        <v>27498</v>
      </c>
      <c r="C784" s="283">
        <f>ROUND(AZ60,2)</f>
        <v>0</v>
      </c>
      <c r="D784" s="280">
        <f>ROUND(AZ61,0)</f>
        <v>0</v>
      </c>
      <c r="E784" s="280">
        <f>ROUND(AZ62,0)</f>
        <v>0</v>
      </c>
      <c r="F784" s="280">
        <f>ROUND(AZ63,0)</f>
        <v>0</v>
      </c>
      <c r="G784" s="280">
        <f>ROUND(AZ64,0)</f>
        <v>0</v>
      </c>
      <c r="H784" s="280">
        <f>ROUND(AZ65,0)</f>
        <v>0</v>
      </c>
      <c r="I784" s="280">
        <f>ROUND(AZ66,0)</f>
        <v>0</v>
      </c>
      <c r="J784" s="280">
        <f>ROUND(AZ67,0)</f>
        <v>0</v>
      </c>
      <c r="K784" s="280">
        <f>ROUND(AZ68,0)</f>
        <v>0</v>
      </c>
      <c r="L784" s="280">
        <f>ROUND(AZ70,0)</f>
        <v>0</v>
      </c>
      <c r="M784" s="280">
        <f>ROUND(AZ71,0)</f>
        <v>0</v>
      </c>
      <c r="N784" s="280"/>
      <c r="O784" s="280"/>
      <c r="P784" s="280">
        <f>IF(AZ77&gt;0,ROUND(AZ77,0),0)</f>
        <v>0</v>
      </c>
      <c r="Q784" s="280">
        <f>IF(AZ78&gt;0,ROUND(AZ78,0),0)</f>
        <v>0</v>
      </c>
      <c r="R784" s="280">
        <f>IF(AZ79&gt;0,ROUND(AZ79,0),0)</f>
        <v>0</v>
      </c>
      <c r="S784" s="280">
        <f>IF(AZ80&gt;0,ROUND(AZ80,0),0)</f>
        <v>0</v>
      </c>
      <c r="T784" s="283">
        <f>IF(AZ81&gt;0,ROUND(AZ81,2),0)</f>
        <v>0</v>
      </c>
      <c r="U784" s="280"/>
      <c r="X784" s="280"/>
      <c r="Y784" s="280"/>
      <c r="Z784" s="280"/>
    </row>
    <row r="785" spans="1:26" ht="12.6" customHeight="1" x14ac:dyDescent="0.25">
      <c r="A785" s="209" t="str">
        <f>RIGHT($C$84,3)&amp;"*"&amp;RIGHT($C$83,4)&amp;"*"&amp;BA$55&amp;"*"&amp;"A"</f>
        <v>078*2017*8350*A</v>
      </c>
      <c r="B785" s="280">
        <f>ROUND(BA59,0)</f>
        <v>0</v>
      </c>
      <c r="C785" s="283">
        <f>ROUND(BA60,2)</f>
        <v>0</v>
      </c>
      <c r="D785" s="280">
        <f>ROUND(BA61,0)</f>
        <v>0</v>
      </c>
      <c r="E785" s="280">
        <f>ROUND(BA62,0)</f>
        <v>0</v>
      </c>
      <c r="F785" s="280">
        <f>ROUND(BA63,0)</f>
        <v>0</v>
      </c>
      <c r="G785" s="280">
        <f>ROUND(BA64,0)</f>
        <v>0</v>
      </c>
      <c r="H785" s="280">
        <f>ROUND(BA65,0)</f>
        <v>339010</v>
      </c>
      <c r="I785" s="280">
        <f>ROUND(BA66,0)</f>
        <v>0</v>
      </c>
      <c r="J785" s="280">
        <f>ROUND(BA67,0)</f>
        <v>12533</v>
      </c>
      <c r="K785" s="280">
        <f>ROUND(BA68,0)</f>
        <v>0</v>
      </c>
      <c r="L785" s="280">
        <f>ROUND(BA70,0)</f>
        <v>0</v>
      </c>
      <c r="M785" s="280">
        <f>ROUND(BA71,0)</f>
        <v>0</v>
      </c>
      <c r="N785" s="280"/>
      <c r="O785" s="280"/>
      <c r="P785" s="280">
        <f>IF(BA77&gt;0,ROUND(BA77,0),0)</f>
        <v>657</v>
      </c>
      <c r="Q785" s="280">
        <f>IF(BA78&gt;0,ROUND(BA78,0),0)</f>
        <v>0</v>
      </c>
      <c r="R785" s="280">
        <f>IF(BA79&gt;0,ROUND(BA79,0),0)</f>
        <v>657</v>
      </c>
      <c r="S785" s="280">
        <f>IF(BA80&gt;0,ROUND(BA80,0),0)</f>
        <v>0</v>
      </c>
      <c r="T785" s="283">
        <f>IF(BA81&gt;0,ROUND(BA81,2),0)</f>
        <v>0</v>
      </c>
      <c r="U785" s="280"/>
      <c r="X785" s="280"/>
      <c r="Y785" s="280"/>
      <c r="Z785" s="280"/>
    </row>
    <row r="786" spans="1:26" ht="12.6" customHeight="1" x14ac:dyDescent="0.25">
      <c r="A786" s="209" t="str">
        <f>RIGHT($C$84,3)&amp;"*"&amp;RIGHT($C$83,4)&amp;"*"&amp;BB$55&amp;"*"&amp;"A"</f>
        <v>078*2017*8360*A</v>
      </c>
      <c r="B786" s="280"/>
      <c r="C786" s="283">
        <f>ROUND(BB60,2)</f>
        <v>9.09</v>
      </c>
      <c r="D786" s="280">
        <f>ROUND(BB61,0)</f>
        <v>889793</v>
      </c>
      <c r="E786" s="280">
        <f>ROUND(BB62,0)</f>
        <v>260471</v>
      </c>
      <c r="F786" s="280">
        <f>ROUND(BB63,0)</f>
        <v>12440</v>
      </c>
      <c r="G786" s="280">
        <f>ROUND(BB64,0)</f>
        <v>2909</v>
      </c>
      <c r="H786" s="280">
        <f>ROUND(BB65,0)</f>
        <v>0</v>
      </c>
      <c r="I786" s="280">
        <f>ROUND(BB66,0)</f>
        <v>129762</v>
      </c>
      <c r="J786" s="280">
        <f>ROUND(BB67,0)</f>
        <v>11160</v>
      </c>
      <c r="K786" s="280">
        <f>ROUND(BB68,0)</f>
        <v>0</v>
      </c>
      <c r="L786" s="280">
        <f>ROUND(BB70,0)</f>
        <v>11065</v>
      </c>
      <c r="M786" s="280">
        <f>ROUND(BB71,0)</f>
        <v>0</v>
      </c>
      <c r="N786" s="280"/>
      <c r="O786" s="280"/>
      <c r="P786" s="280">
        <f>IF(BB77&gt;0,ROUND(BB77,0),0)</f>
        <v>585</v>
      </c>
      <c r="Q786" s="280">
        <f>IF(BB78&gt;0,ROUND(BB78,0),0)</f>
        <v>0</v>
      </c>
      <c r="R786" s="280">
        <f>IF(BB79&gt;0,ROUND(BB79,0),0)</f>
        <v>585</v>
      </c>
      <c r="S786" s="280">
        <f>IF(BB80&gt;0,ROUND(BB80,0),0)</f>
        <v>0</v>
      </c>
      <c r="T786" s="283">
        <f>IF(BB81&gt;0,ROUND(BB81,2),0)</f>
        <v>0</v>
      </c>
      <c r="U786" s="280"/>
      <c r="X786" s="280"/>
      <c r="Y786" s="280"/>
      <c r="Z786" s="280"/>
    </row>
    <row r="787" spans="1:26" ht="12.6" customHeight="1" x14ac:dyDescent="0.25">
      <c r="A787" s="209" t="str">
        <f>RIGHT($C$84,3)&amp;"*"&amp;RIGHT($C$83,4)&amp;"*"&amp;BC$55&amp;"*"&amp;"A"</f>
        <v>078*2017*8370*A</v>
      </c>
      <c r="B787" s="280"/>
      <c r="C787" s="283">
        <f>ROUND(BC60,2)</f>
        <v>0</v>
      </c>
      <c r="D787" s="280">
        <f>ROUND(BC61,0)</f>
        <v>0</v>
      </c>
      <c r="E787" s="280">
        <f>ROUND(BC62,0)</f>
        <v>0</v>
      </c>
      <c r="F787" s="280">
        <f>ROUND(BC63,0)</f>
        <v>0</v>
      </c>
      <c r="G787" s="280">
        <f>ROUND(BC64,0)</f>
        <v>0</v>
      </c>
      <c r="H787" s="280">
        <f>ROUND(BC65,0)</f>
        <v>0</v>
      </c>
      <c r="I787" s="280">
        <f>ROUND(BC66,0)</f>
        <v>0</v>
      </c>
      <c r="J787" s="280">
        <f>ROUND(BC67,0)</f>
        <v>0</v>
      </c>
      <c r="K787" s="280">
        <f>ROUND(BC68,0)</f>
        <v>0</v>
      </c>
      <c r="L787" s="280">
        <f>ROUND(BC70,0)</f>
        <v>0</v>
      </c>
      <c r="M787" s="280">
        <f>ROUND(BC71,0)</f>
        <v>0</v>
      </c>
      <c r="N787" s="280"/>
      <c r="O787" s="280"/>
      <c r="P787" s="280">
        <f>IF(BC77&gt;0,ROUND(BC77,0),0)</f>
        <v>0</v>
      </c>
      <c r="Q787" s="280">
        <f>IF(BC78&gt;0,ROUND(BC78,0),0)</f>
        <v>0</v>
      </c>
      <c r="R787" s="280">
        <f>IF(BC79&gt;0,ROUND(BC79,0),0)</f>
        <v>0</v>
      </c>
      <c r="S787" s="280">
        <f>IF(BC80&gt;0,ROUND(BC80,0),0)</f>
        <v>0</v>
      </c>
      <c r="T787" s="283">
        <f>IF(BC81&gt;0,ROUND(BC81,2),0)</f>
        <v>0</v>
      </c>
      <c r="U787" s="280"/>
      <c r="X787" s="280"/>
      <c r="Y787" s="280"/>
      <c r="Z787" s="280"/>
    </row>
    <row r="788" spans="1:26" ht="12.6" customHeight="1" x14ac:dyDescent="0.25">
      <c r="A788" s="209" t="str">
        <f>RIGHT($C$84,3)&amp;"*"&amp;RIGHT($C$83,4)&amp;"*"&amp;BD$55&amp;"*"&amp;"A"</f>
        <v>078*2017*8420*A</v>
      </c>
      <c r="B788" s="280"/>
      <c r="C788" s="283">
        <f>ROUND(BD60,2)</f>
        <v>5.78</v>
      </c>
      <c r="D788" s="280">
        <f>ROUND(BD61,0)</f>
        <v>310156</v>
      </c>
      <c r="E788" s="280">
        <f>ROUND(BD62,0)</f>
        <v>90793</v>
      </c>
      <c r="F788" s="280">
        <f>ROUND(BD63,0)</f>
        <v>7885</v>
      </c>
      <c r="G788" s="280">
        <f>ROUND(BD64,0)</f>
        <v>6151</v>
      </c>
      <c r="H788" s="280">
        <f>ROUND(BD65,0)</f>
        <v>0</v>
      </c>
      <c r="I788" s="280">
        <f>ROUND(BD66,0)</f>
        <v>154959</v>
      </c>
      <c r="J788" s="280">
        <f>ROUND(BD67,0)</f>
        <v>89677</v>
      </c>
      <c r="K788" s="280">
        <f>ROUND(BD68,0)</f>
        <v>93647</v>
      </c>
      <c r="L788" s="280">
        <f>ROUND(BD70,0)</f>
        <v>2967</v>
      </c>
      <c r="M788" s="280">
        <f>ROUND(BD71,0)</f>
        <v>0</v>
      </c>
      <c r="N788" s="280"/>
      <c r="O788" s="280"/>
      <c r="P788" s="280">
        <f>IF(BD77&gt;0,ROUND(BD77,0),0)</f>
        <v>4701</v>
      </c>
      <c r="Q788" s="280">
        <f>IF(BD78&gt;0,ROUND(BD78,0),0)</f>
        <v>0</v>
      </c>
      <c r="R788" s="280">
        <f>IF(BD79&gt;0,ROUND(BD79,0),0)</f>
        <v>0</v>
      </c>
      <c r="S788" s="280">
        <f>IF(BD80&gt;0,ROUND(BD80,0),0)</f>
        <v>0</v>
      </c>
      <c r="T788" s="283">
        <f>IF(BD81&gt;0,ROUND(BD81,2),0)</f>
        <v>0</v>
      </c>
      <c r="U788" s="280"/>
      <c r="X788" s="280"/>
      <c r="Y788" s="280"/>
      <c r="Z788" s="280"/>
    </row>
    <row r="789" spans="1:26" ht="12.6" customHeight="1" x14ac:dyDescent="0.25">
      <c r="A789" s="209" t="str">
        <f>RIGHT($C$84,3)&amp;"*"&amp;RIGHT($C$83,4)&amp;"*"&amp;BE$55&amp;"*"&amp;"A"</f>
        <v>078*2017*8430*A</v>
      </c>
      <c r="B789" s="280">
        <f>ROUND(BE59,0)</f>
        <v>230046</v>
      </c>
      <c r="C789" s="283">
        <f>ROUND(BE60,2)</f>
        <v>16.34</v>
      </c>
      <c r="D789" s="280">
        <f>ROUND(BE61,0)</f>
        <v>595434</v>
      </c>
      <c r="E789" s="280">
        <f>ROUND(BE62,0)</f>
        <v>174303</v>
      </c>
      <c r="F789" s="280">
        <f>ROUND(BE63,0)</f>
        <v>-8880</v>
      </c>
      <c r="G789" s="280">
        <f>ROUND(BE64,0)</f>
        <v>38268</v>
      </c>
      <c r="H789" s="280">
        <f>ROUND(BE65,0)</f>
        <v>0</v>
      </c>
      <c r="I789" s="280">
        <f>ROUND(BE66,0)</f>
        <v>14519</v>
      </c>
      <c r="J789" s="280">
        <f>ROUND(BE67,0)</f>
        <v>467459</v>
      </c>
      <c r="K789" s="280">
        <f>ROUND(BE68,0)</f>
        <v>12561</v>
      </c>
      <c r="L789" s="280">
        <f>ROUND(BE70,0)</f>
        <v>567148</v>
      </c>
      <c r="M789" s="280">
        <f>ROUND(BE71,0)</f>
        <v>0</v>
      </c>
      <c r="N789" s="280"/>
      <c r="O789" s="280"/>
      <c r="P789" s="280">
        <f>IF(BE77&gt;0,ROUND(BE77,0),0)</f>
        <v>24505</v>
      </c>
      <c r="Q789" s="280">
        <f>IF(BE78&gt;0,ROUND(BE78,0),0)</f>
        <v>0</v>
      </c>
      <c r="R789" s="280">
        <f>IF(BE79&gt;0,ROUND(BE79,0),0)</f>
        <v>0</v>
      </c>
      <c r="S789" s="280">
        <f>IF(BE80&gt;0,ROUND(BE80,0),0)</f>
        <v>0</v>
      </c>
      <c r="T789" s="283">
        <f>IF(BE81&gt;0,ROUND(BE81,2),0)</f>
        <v>0</v>
      </c>
      <c r="U789" s="280"/>
      <c r="X789" s="280"/>
      <c r="Y789" s="280"/>
      <c r="Z789" s="280"/>
    </row>
    <row r="790" spans="1:26" ht="12.6" customHeight="1" x14ac:dyDescent="0.25">
      <c r="A790" s="209" t="str">
        <f>RIGHT($C$84,3)&amp;"*"&amp;RIGHT($C$83,4)&amp;"*"&amp;BF$55&amp;"*"&amp;"A"</f>
        <v>078*2017*8460*A</v>
      </c>
      <c r="B790" s="280"/>
      <c r="C790" s="283">
        <f>ROUND(BF60,2)</f>
        <v>22.74</v>
      </c>
      <c r="D790" s="280">
        <f>ROUND(BF61,0)</f>
        <v>944846</v>
      </c>
      <c r="E790" s="280">
        <f>ROUND(BF62,0)</f>
        <v>276587</v>
      </c>
      <c r="F790" s="280">
        <f>ROUND(BF63,0)</f>
        <v>19529</v>
      </c>
      <c r="G790" s="280">
        <f>ROUND(BF64,0)</f>
        <v>119659</v>
      </c>
      <c r="H790" s="280">
        <f>ROUND(BF65,0)</f>
        <v>0</v>
      </c>
      <c r="I790" s="280">
        <f>ROUND(BF66,0)</f>
        <v>41128</v>
      </c>
      <c r="J790" s="280">
        <f>ROUND(BF67,0)</f>
        <v>65278</v>
      </c>
      <c r="K790" s="280">
        <f>ROUND(BF68,0)</f>
        <v>0</v>
      </c>
      <c r="L790" s="280">
        <f>ROUND(BF70,0)</f>
        <v>142</v>
      </c>
      <c r="M790" s="280">
        <f>ROUND(BF71,0)</f>
        <v>0</v>
      </c>
      <c r="N790" s="280"/>
      <c r="O790" s="280"/>
      <c r="P790" s="280">
        <f>IF(BF77&gt;0,ROUND(BF77,0),0)</f>
        <v>3422</v>
      </c>
      <c r="Q790" s="280">
        <f>IF(BF78&gt;0,ROUND(BF78,0),0)</f>
        <v>0</v>
      </c>
      <c r="R790" s="280">
        <f>IF(BF79&gt;0,ROUND(BF79,0),0)</f>
        <v>0</v>
      </c>
      <c r="S790" s="280">
        <f>IF(BF80&gt;0,ROUND(BF80,0),0)</f>
        <v>0</v>
      </c>
      <c r="T790" s="283">
        <f>IF(BF81&gt;0,ROUND(BF81,2),0)</f>
        <v>0</v>
      </c>
      <c r="U790" s="280"/>
      <c r="X790" s="280"/>
      <c r="Y790" s="280"/>
      <c r="Z790" s="280"/>
    </row>
    <row r="791" spans="1:26" ht="12.6" customHeight="1" x14ac:dyDescent="0.25">
      <c r="A791" s="209" t="str">
        <f>RIGHT($C$84,3)&amp;"*"&amp;RIGHT($C$83,4)&amp;"*"&amp;BG$55&amp;"*"&amp;"A"</f>
        <v>078*2017*8470*A</v>
      </c>
      <c r="B791" s="280"/>
      <c r="C791" s="283">
        <f>ROUND(BG60,2)</f>
        <v>0</v>
      </c>
      <c r="D791" s="280">
        <f>ROUND(BG61,0)</f>
        <v>0</v>
      </c>
      <c r="E791" s="280">
        <f>ROUND(BG62,0)</f>
        <v>0</v>
      </c>
      <c r="F791" s="280">
        <f>ROUND(BG63,0)</f>
        <v>0</v>
      </c>
      <c r="G791" s="280">
        <f>ROUND(BG64,0)</f>
        <v>0</v>
      </c>
      <c r="H791" s="280">
        <f>ROUND(BG65,0)</f>
        <v>0</v>
      </c>
      <c r="I791" s="280">
        <f>ROUND(BG66,0)</f>
        <v>0</v>
      </c>
      <c r="J791" s="280">
        <f>ROUND(BG67,0)</f>
        <v>0</v>
      </c>
      <c r="K791" s="280">
        <f>ROUND(BG68,0)</f>
        <v>0</v>
      </c>
      <c r="L791" s="280">
        <f>ROUND(BG70,0)</f>
        <v>0</v>
      </c>
      <c r="M791" s="280">
        <f>ROUND(BG71,0)</f>
        <v>0</v>
      </c>
      <c r="N791" s="280"/>
      <c r="O791" s="280"/>
      <c r="P791" s="280">
        <f>IF(BG77&gt;0,ROUND(BG77,0),0)</f>
        <v>0</v>
      </c>
      <c r="Q791" s="280">
        <f>IF(BG78&gt;0,ROUND(BG78,0),0)</f>
        <v>0</v>
      </c>
      <c r="R791" s="280">
        <f>IF(BG79&gt;0,ROUND(BG79,0),0)</f>
        <v>0</v>
      </c>
      <c r="S791" s="280">
        <f>IF(BG80&gt;0,ROUND(BG80,0),0)</f>
        <v>0</v>
      </c>
      <c r="T791" s="283">
        <f>IF(BG81&gt;0,ROUND(BG81,2),0)</f>
        <v>0</v>
      </c>
      <c r="U791" s="280"/>
      <c r="X791" s="280"/>
      <c r="Y791" s="280"/>
      <c r="Z791" s="280"/>
    </row>
    <row r="792" spans="1:26" ht="12.6" customHeight="1" x14ac:dyDescent="0.25">
      <c r="A792" s="209" t="str">
        <f>RIGHT($C$84,3)&amp;"*"&amp;RIGHT($C$83,4)&amp;"*"&amp;BH$55&amp;"*"&amp;"A"</f>
        <v>078*2017*8480*A</v>
      </c>
      <c r="B792" s="280"/>
      <c r="C792" s="283">
        <f>ROUND(BH60,2)</f>
        <v>7.22</v>
      </c>
      <c r="D792" s="280">
        <f>ROUND(BH61,0)</f>
        <v>691219</v>
      </c>
      <c r="E792" s="280">
        <f>ROUND(BH62,0)</f>
        <v>202342</v>
      </c>
      <c r="F792" s="280">
        <f>ROUND(BH63,0)</f>
        <v>0</v>
      </c>
      <c r="G792" s="280">
        <f>ROUND(BH64,0)</f>
        <v>210078</v>
      </c>
      <c r="H792" s="280">
        <f>ROUND(BH65,0)</f>
        <v>0</v>
      </c>
      <c r="I792" s="280">
        <f>ROUND(BH66,0)</f>
        <v>1867993</v>
      </c>
      <c r="J792" s="280">
        <f>ROUND(BH67,0)</f>
        <v>67796</v>
      </c>
      <c r="K792" s="280">
        <f>ROUND(BH68,0)</f>
        <v>1381</v>
      </c>
      <c r="L792" s="280">
        <f>ROUND(BH70,0)</f>
        <v>4828</v>
      </c>
      <c r="M792" s="280">
        <f>ROUND(BH71,0)</f>
        <v>0</v>
      </c>
      <c r="N792" s="280"/>
      <c r="O792" s="280"/>
      <c r="P792" s="280">
        <f>IF(BH77&gt;0,ROUND(BH77,0),0)</f>
        <v>3554</v>
      </c>
      <c r="Q792" s="280">
        <f>IF(BH78&gt;0,ROUND(BH78,0),0)</f>
        <v>0</v>
      </c>
      <c r="R792" s="280">
        <f>IF(BH79&gt;0,ROUND(BH79,0),0)</f>
        <v>3554</v>
      </c>
      <c r="S792" s="280">
        <f>IF(BH80&gt;0,ROUND(BH80,0),0)</f>
        <v>0</v>
      </c>
      <c r="T792" s="283">
        <f>IF(BH81&gt;0,ROUND(BH81,2),0)</f>
        <v>0</v>
      </c>
      <c r="U792" s="280"/>
      <c r="X792" s="280"/>
      <c r="Y792" s="280"/>
      <c r="Z792" s="280"/>
    </row>
    <row r="793" spans="1:26" ht="12.6" customHeight="1" x14ac:dyDescent="0.25">
      <c r="A793" s="209" t="str">
        <f>RIGHT($C$84,3)&amp;"*"&amp;RIGHT($C$83,4)&amp;"*"&amp;BI$55&amp;"*"&amp;"A"</f>
        <v>078*2017*8490*A</v>
      </c>
      <c r="B793" s="280"/>
      <c r="C793" s="283">
        <f>ROUND(BI60,2)</f>
        <v>0</v>
      </c>
      <c r="D793" s="280">
        <f>ROUND(BI61,0)</f>
        <v>0</v>
      </c>
      <c r="E793" s="280">
        <f>ROUND(BI62,0)</f>
        <v>0</v>
      </c>
      <c r="F793" s="280">
        <f>ROUND(BI63,0)</f>
        <v>0</v>
      </c>
      <c r="G793" s="280">
        <f>ROUND(BI64,0)</f>
        <v>0</v>
      </c>
      <c r="H793" s="280">
        <f>ROUND(BI65,0)</f>
        <v>0</v>
      </c>
      <c r="I793" s="280">
        <f>ROUND(BI66,0)</f>
        <v>0</v>
      </c>
      <c r="J793" s="280">
        <f>ROUND(BI67,0)</f>
        <v>0</v>
      </c>
      <c r="K793" s="280">
        <f>ROUND(BI68,0)</f>
        <v>0</v>
      </c>
      <c r="L793" s="280">
        <f>ROUND(BI70,0)</f>
        <v>0</v>
      </c>
      <c r="M793" s="280">
        <f>ROUND(BI71,0)</f>
        <v>0</v>
      </c>
      <c r="N793" s="280"/>
      <c r="O793" s="280"/>
      <c r="P793" s="280">
        <f>IF(BI77&gt;0,ROUND(BI77,0),0)</f>
        <v>0</v>
      </c>
      <c r="Q793" s="280">
        <f>IF(BI78&gt;0,ROUND(BI78,0),0)</f>
        <v>0</v>
      </c>
      <c r="R793" s="280">
        <f>IF(BI79&gt;0,ROUND(BI79,0),0)</f>
        <v>0</v>
      </c>
      <c r="S793" s="280">
        <f>IF(BI80&gt;0,ROUND(BI80,0),0)</f>
        <v>0</v>
      </c>
      <c r="T793" s="283">
        <f>IF(BI81&gt;0,ROUND(BI81,2),0)</f>
        <v>0</v>
      </c>
      <c r="U793" s="280"/>
      <c r="X793" s="280"/>
      <c r="Y793" s="280"/>
      <c r="Z793" s="280"/>
    </row>
    <row r="794" spans="1:26" ht="12.6" customHeight="1" x14ac:dyDescent="0.25">
      <c r="A794" s="209" t="str">
        <f>RIGHT($C$84,3)&amp;"*"&amp;RIGHT($C$83,4)&amp;"*"&amp;BJ$55&amp;"*"&amp;"A"</f>
        <v>078*2017*8510*A</v>
      </c>
      <c r="B794" s="280"/>
      <c r="C794" s="283">
        <f>ROUND(BJ60,2)</f>
        <v>5.0199999999999996</v>
      </c>
      <c r="D794" s="280">
        <f>ROUND(BJ61,0)</f>
        <v>378204</v>
      </c>
      <c r="E794" s="280">
        <f>ROUND(BJ62,0)</f>
        <v>110712</v>
      </c>
      <c r="F794" s="280">
        <f>ROUND(BJ63,0)</f>
        <v>89428</v>
      </c>
      <c r="G794" s="280">
        <f>ROUND(BJ64,0)</f>
        <v>6361</v>
      </c>
      <c r="H794" s="280">
        <f>ROUND(BJ65,0)</f>
        <v>0</v>
      </c>
      <c r="I794" s="280">
        <f>ROUND(BJ66,0)</f>
        <v>155117</v>
      </c>
      <c r="J794" s="280">
        <f>ROUND(BJ67,0)</f>
        <v>27737</v>
      </c>
      <c r="K794" s="280">
        <f>ROUND(BJ68,0)</f>
        <v>0</v>
      </c>
      <c r="L794" s="280">
        <f>ROUND(BJ70,0)</f>
        <v>2375</v>
      </c>
      <c r="M794" s="280">
        <f>ROUND(BJ71,0)</f>
        <v>0</v>
      </c>
      <c r="N794" s="280"/>
      <c r="O794" s="280"/>
      <c r="P794" s="280">
        <f>IF(BJ77&gt;0,ROUND(BJ77,0),0)</f>
        <v>1454</v>
      </c>
      <c r="Q794" s="280">
        <f>IF(BJ78&gt;0,ROUND(BJ78,0),0)</f>
        <v>0</v>
      </c>
      <c r="R794" s="280">
        <f>IF(BJ79&gt;0,ROUND(BJ79,0),0)</f>
        <v>0</v>
      </c>
      <c r="S794" s="280">
        <f>IF(BJ80&gt;0,ROUND(BJ80,0),0)</f>
        <v>0</v>
      </c>
      <c r="T794" s="283">
        <f>IF(BJ81&gt;0,ROUND(BJ81,2),0)</f>
        <v>0</v>
      </c>
      <c r="U794" s="280"/>
      <c r="X794" s="280"/>
      <c r="Y794" s="280"/>
      <c r="Z794" s="280"/>
    </row>
    <row r="795" spans="1:26" ht="12.6" customHeight="1" x14ac:dyDescent="0.25">
      <c r="A795" s="209" t="str">
        <f>RIGHT($C$84,3)&amp;"*"&amp;RIGHT($C$83,4)&amp;"*"&amp;BK$55&amp;"*"&amp;"A"</f>
        <v>078*2017*8530*A</v>
      </c>
      <c r="B795" s="280"/>
      <c r="C795" s="283">
        <f>ROUND(BK60,2)</f>
        <v>10.27</v>
      </c>
      <c r="D795" s="280">
        <f>ROUND(BK61,0)</f>
        <v>814169</v>
      </c>
      <c r="E795" s="280">
        <f>ROUND(BK62,0)</f>
        <v>238333</v>
      </c>
      <c r="F795" s="280">
        <f>ROUND(BK63,0)</f>
        <v>372555</v>
      </c>
      <c r="G795" s="280">
        <f>ROUND(BK64,0)</f>
        <v>13814</v>
      </c>
      <c r="H795" s="280">
        <f>ROUND(BK65,0)</f>
        <v>0</v>
      </c>
      <c r="I795" s="280">
        <f>ROUND(BK66,0)</f>
        <v>1291797</v>
      </c>
      <c r="J795" s="280">
        <f>ROUND(BK67,0)</f>
        <v>35634</v>
      </c>
      <c r="K795" s="280">
        <f>ROUND(BK68,0)</f>
        <v>0</v>
      </c>
      <c r="L795" s="280">
        <f>ROUND(BK70,0)</f>
        <v>44550</v>
      </c>
      <c r="M795" s="280">
        <f>ROUND(BK71,0)</f>
        <v>0</v>
      </c>
      <c r="N795" s="280"/>
      <c r="O795" s="280"/>
      <c r="P795" s="280">
        <f>IF(BK77&gt;0,ROUND(BK77,0),0)</f>
        <v>1868</v>
      </c>
      <c r="Q795" s="280">
        <f>IF(BK78&gt;0,ROUND(BK78,0),0)</f>
        <v>0</v>
      </c>
      <c r="R795" s="280">
        <f>IF(BK79&gt;0,ROUND(BK79,0),0)</f>
        <v>1868</v>
      </c>
      <c r="S795" s="280">
        <f>IF(BK80&gt;0,ROUND(BK80,0),0)</f>
        <v>0</v>
      </c>
      <c r="T795" s="283">
        <f>IF(BK81&gt;0,ROUND(BK81,2),0)</f>
        <v>0</v>
      </c>
      <c r="U795" s="280"/>
      <c r="X795" s="280"/>
      <c r="Y795" s="280"/>
      <c r="Z795" s="280"/>
    </row>
    <row r="796" spans="1:26" ht="12.6" customHeight="1" x14ac:dyDescent="0.25">
      <c r="A796" s="209" t="str">
        <f>RIGHT($C$84,3)&amp;"*"&amp;RIGHT($C$83,4)&amp;"*"&amp;BL$55&amp;"*"&amp;"A"</f>
        <v>078*2017*8560*A</v>
      </c>
      <c r="B796" s="280"/>
      <c r="C796" s="283">
        <f>ROUND(BL60,2)</f>
        <v>15.01</v>
      </c>
      <c r="D796" s="280">
        <f>ROUND(BL61,0)</f>
        <v>598985</v>
      </c>
      <c r="E796" s="280">
        <f>ROUND(BL62,0)</f>
        <v>175342</v>
      </c>
      <c r="F796" s="280">
        <f>ROUND(BL63,0)</f>
        <v>0</v>
      </c>
      <c r="G796" s="280">
        <f>ROUND(BL64,0)</f>
        <v>15091</v>
      </c>
      <c r="H796" s="280">
        <f>ROUND(BL65,0)</f>
        <v>0</v>
      </c>
      <c r="I796" s="280">
        <f>ROUND(BL66,0)</f>
        <v>0</v>
      </c>
      <c r="J796" s="280">
        <f>ROUND(BL67,0)</f>
        <v>25314</v>
      </c>
      <c r="K796" s="280">
        <f>ROUND(BL68,0)</f>
        <v>0</v>
      </c>
      <c r="L796" s="280">
        <f>ROUND(BL70,0)</f>
        <v>428</v>
      </c>
      <c r="M796" s="280">
        <f>ROUND(BL71,0)</f>
        <v>0</v>
      </c>
      <c r="N796" s="280"/>
      <c r="O796" s="280"/>
      <c r="P796" s="280">
        <f>IF(BL77&gt;0,ROUND(BL77,0),0)</f>
        <v>1327</v>
      </c>
      <c r="Q796" s="280">
        <f>IF(BL78&gt;0,ROUND(BL78,0),0)</f>
        <v>0</v>
      </c>
      <c r="R796" s="280">
        <f>IF(BL79&gt;0,ROUND(BL79,0),0)</f>
        <v>1327</v>
      </c>
      <c r="S796" s="280">
        <f>IF(BL80&gt;0,ROUND(BL80,0),0)</f>
        <v>0</v>
      </c>
      <c r="T796" s="283">
        <f>IF(BL81&gt;0,ROUND(BL81,2),0)</f>
        <v>0</v>
      </c>
      <c r="U796" s="280"/>
      <c r="X796" s="280"/>
      <c r="Y796" s="280"/>
      <c r="Z796" s="280"/>
    </row>
    <row r="797" spans="1:26" ht="12.6" customHeight="1" x14ac:dyDescent="0.25">
      <c r="A797" s="209" t="str">
        <f>RIGHT($C$84,3)&amp;"*"&amp;RIGHT($C$83,4)&amp;"*"&amp;BM$55&amp;"*"&amp;"A"</f>
        <v>078*2017*8590*A</v>
      </c>
      <c r="B797" s="280"/>
      <c r="C797" s="283">
        <f>ROUND(BM60,2)</f>
        <v>0.91</v>
      </c>
      <c r="D797" s="280">
        <f>ROUND(BM61,0)</f>
        <v>133849</v>
      </c>
      <c r="E797" s="280">
        <f>ROUND(BM62,0)</f>
        <v>39182</v>
      </c>
      <c r="F797" s="280">
        <f>ROUND(BM63,0)</f>
        <v>7500</v>
      </c>
      <c r="G797" s="280">
        <f>ROUND(BM64,0)</f>
        <v>12613</v>
      </c>
      <c r="H797" s="280">
        <f>ROUND(BM65,0)</f>
        <v>0</v>
      </c>
      <c r="I797" s="280">
        <f>ROUND(BM66,0)</f>
        <v>10432</v>
      </c>
      <c r="J797" s="280">
        <f>ROUND(BM67,0)</f>
        <v>0</v>
      </c>
      <c r="K797" s="280">
        <f>ROUND(BM68,0)</f>
        <v>0</v>
      </c>
      <c r="L797" s="280">
        <f>ROUND(BM70,0)</f>
        <v>29461</v>
      </c>
      <c r="M797" s="280">
        <f>ROUND(BM71,0)</f>
        <v>0</v>
      </c>
      <c r="N797" s="280"/>
      <c r="O797" s="280"/>
      <c r="P797" s="280">
        <f>IF(BM77&gt;0,ROUND(BM77,0),0)</f>
        <v>0</v>
      </c>
      <c r="Q797" s="280">
        <f>IF(BM78&gt;0,ROUND(BM78,0),0)</f>
        <v>0</v>
      </c>
      <c r="R797" s="280">
        <f>IF(BM79&gt;0,ROUND(BM79,0),0)</f>
        <v>0</v>
      </c>
      <c r="S797" s="280">
        <f>IF(BM80&gt;0,ROUND(BM80,0),0)</f>
        <v>0</v>
      </c>
      <c r="T797" s="283">
        <f>IF(BM81&gt;0,ROUND(BM81,2),0)</f>
        <v>0</v>
      </c>
      <c r="U797" s="280"/>
      <c r="X797" s="280"/>
      <c r="Y797" s="280"/>
      <c r="Z797" s="280"/>
    </row>
    <row r="798" spans="1:26" ht="12.6" customHeight="1" x14ac:dyDescent="0.25">
      <c r="A798" s="209" t="str">
        <f>RIGHT($C$84,3)&amp;"*"&amp;RIGHT($C$83,4)&amp;"*"&amp;BN$55&amp;"*"&amp;"A"</f>
        <v>078*2017*8610*A</v>
      </c>
      <c r="B798" s="280"/>
      <c r="C798" s="283">
        <f>ROUND(BN60,2)</f>
        <v>7.72</v>
      </c>
      <c r="D798" s="280">
        <f>ROUND(BN61,0)</f>
        <v>1354190</v>
      </c>
      <c r="E798" s="280">
        <f>ROUND(BN62,0)</f>
        <v>396415</v>
      </c>
      <c r="F798" s="280">
        <f>ROUND(BN63,0)</f>
        <v>579298</v>
      </c>
      <c r="G798" s="280">
        <f>ROUND(BN64,0)</f>
        <v>23105</v>
      </c>
      <c r="H798" s="280">
        <f>ROUND(BN65,0)</f>
        <v>0</v>
      </c>
      <c r="I798" s="280">
        <f>ROUND(BN66,0)</f>
        <v>147123</v>
      </c>
      <c r="J798" s="280">
        <f>ROUND(BN67,0)</f>
        <v>545938</v>
      </c>
      <c r="K798" s="280">
        <f>ROUND(BN68,0)</f>
        <v>0</v>
      </c>
      <c r="L798" s="280">
        <f>ROUND(BN70,0)</f>
        <v>278913</v>
      </c>
      <c r="M798" s="280">
        <f>ROUND(BN71,0)</f>
        <v>0</v>
      </c>
      <c r="N798" s="280"/>
      <c r="O798" s="280"/>
      <c r="P798" s="280">
        <f>IF(BN77&gt;0,ROUND(BN77,0),0)</f>
        <v>28619</v>
      </c>
      <c r="Q798" s="280">
        <f>IF(BN78&gt;0,ROUND(BN78,0),0)</f>
        <v>0</v>
      </c>
      <c r="R798" s="280">
        <f>IF(BN79&gt;0,ROUND(BN79,0),0)</f>
        <v>0</v>
      </c>
      <c r="S798" s="280">
        <f>IF(BN80&gt;0,ROUND(BN80,0),0)</f>
        <v>0</v>
      </c>
      <c r="T798" s="283">
        <f>IF(BN81&gt;0,ROUND(BN81,2),0)</f>
        <v>0</v>
      </c>
      <c r="U798" s="280"/>
      <c r="X798" s="280"/>
      <c r="Y798" s="280"/>
      <c r="Z798" s="280"/>
    </row>
    <row r="799" spans="1:26" ht="12.6" customHeight="1" x14ac:dyDescent="0.25">
      <c r="A799" s="209" t="str">
        <f>RIGHT($C$84,3)&amp;"*"&amp;RIGHT($C$83,4)&amp;"*"&amp;BO$55&amp;"*"&amp;"A"</f>
        <v>078*2017*8620*A</v>
      </c>
      <c r="B799" s="280"/>
      <c r="C799" s="283">
        <f>ROUND(BO60,2)</f>
        <v>0.37</v>
      </c>
      <c r="D799" s="280">
        <f>ROUND(BO61,0)</f>
        <v>22170</v>
      </c>
      <c r="E799" s="280">
        <f>ROUND(BO62,0)</f>
        <v>6490</v>
      </c>
      <c r="F799" s="280">
        <f>ROUND(BO63,0)</f>
        <v>0</v>
      </c>
      <c r="G799" s="280">
        <f>ROUND(BO64,0)</f>
        <v>27178</v>
      </c>
      <c r="H799" s="280">
        <f>ROUND(BO65,0)</f>
        <v>0</v>
      </c>
      <c r="I799" s="280">
        <f>ROUND(BO66,0)</f>
        <v>0</v>
      </c>
      <c r="J799" s="280">
        <f>ROUND(BO67,0)</f>
        <v>3911</v>
      </c>
      <c r="K799" s="280">
        <f>ROUND(BO68,0)</f>
        <v>0</v>
      </c>
      <c r="L799" s="280">
        <f>ROUND(BO70,0)</f>
        <v>887</v>
      </c>
      <c r="M799" s="280">
        <f>ROUND(BO71,0)</f>
        <v>0</v>
      </c>
      <c r="N799" s="280"/>
      <c r="O799" s="280"/>
      <c r="P799" s="280">
        <f>IF(BO77&gt;0,ROUND(BO77,0),0)</f>
        <v>205</v>
      </c>
      <c r="Q799" s="280">
        <f>IF(BO78&gt;0,ROUND(BO78,0),0)</f>
        <v>0</v>
      </c>
      <c r="R799" s="280">
        <f>IF(BO79&gt;0,ROUND(BO79,0),0)</f>
        <v>0</v>
      </c>
      <c r="S799" s="280">
        <f>IF(BO80&gt;0,ROUND(BO80,0),0)</f>
        <v>0</v>
      </c>
      <c r="T799" s="283">
        <f>IF(BO81&gt;0,ROUND(BO81,2),0)</f>
        <v>0</v>
      </c>
      <c r="U799" s="280"/>
      <c r="X799" s="280"/>
      <c r="Y799" s="280"/>
      <c r="Z799" s="280"/>
    </row>
    <row r="800" spans="1:26" ht="12.6" customHeight="1" x14ac:dyDescent="0.25">
      <c r="A800" s="209" t="str">
        <f>RIGHT($C$84,3)&amp;"*"&amp;RIGHT($C$83,4)&amp;"*"&amp;BP$55&amp;"*"&amp;"A"</f>
        <v>078*2017*8630*A</v>
      </c>
      <c r="B800" s="280"/>
      <c r="C800" s="283">
        <f>ROUND(BP60,2)</f>
        <v>1.77</v>
      </c>
      <c r="D800" s="280">
        <f>ROUND(BP61,0)</f>
        <v>118795</v>
      </c>
      <c r="E800" s="280">
        <f>ROUND(BP62,0)</f>
        <v>34775</v>
      </c>
      <c r="F800" s="280">
        <f>ROUND(BP63,0)</f>
        <v>72500</v>
      </c>
      <c r="G800" s="280">
        <f>ROUND(BP64,0)</f>
        <v>23843</v>
      </c>
      <c r="H800" s="280">
        <f>ROUND(BP65,0)</f>
        <v>0</v>
      </c>
      <c r="I800" s="280">
        <f>ROUND(BP66,0)</f>
        <v>3580</v>
      </c>
      <c r="J800" s="280">
        <f>ROUND(BP67,0)</f>
        <v>22281</v>
      </c>
      <c r="K800" s="280">
        <f>ROUND(BP68,0)</f>
        <v>6527</v>
      </c>
      <c r="L800" s="280">
        <f>ROUND(BP70,0)</f>
        <v>493562</v>
      </c>
      <c r="M800" s="280">
        <f>ROUND(BP71,0)</f>
        <v>0</v>
      </c>
      <c r="N800" s="280"/>
      <c r="O800" s="280"/>
      <c r="P800" s="280">
        <f>IF(BP77&gt;0,ROUND(BP77,0),0)</f>
        <v>1168</v>
      </c>
      <c r="Q800" s="280">
        <f>IF(BP78&gt;0,ROUND(BP78,0),0)</f>
        <v>0</v>
      </c>
      <c r="R800" s="280">
        <f>IF(BP79&gt;0,ROUND(BP79,0),0)</f>
        <v>0</v>
      </c>
      <c r="S800" s="280">
        <f>IF(BP80&gt;0,ROUND(BP80,0),0)</f>
        <v>0</v>
      </c>
      <c r="T800" s="283">
        <f>IF(BP81&gt;0,ROUND(BP81,2),0)</f>
        <v>0</v>
      </c>
      <c r="U800" s="280"/>
      <c r="X800" s="280"/>
      <c r="Y800" s="280"/>
      <c r="Z800" s="280"/>
    </row>
    <row r="801" spans="1:26" ht="12.6" customHeight="1" x14ac:dyDescent="0.25">
      <c r="A801" s="209" t="str">
        <f>RIGHT($C$84,3)&amp;"*"&amp;RIGHT($C$83,4)&amp;"*"&amp;BQ$55&amp;"*"&amp;"A"</f>
        <v>078*2017*8640*A</v>
      </c>
      <c r="B801" s="280"/>
      <c r="C801" s="283">
        <f>ROUND(BQ60,2)</f>
        <v>0</v>
      </c>
      <c r="D801" s="280">
        <f>ROUND(BQ61,0)</f>
        <v>0</v>
      </c>
      <c r="E801" s="280">
        <f>ROUND(BQ62,0)</f>
        <v>0</v>
      </c>
      <c r="F801" s="280">
        <f>ROUND(BQ63,0)</f>
        <v>0</v>
      </c>
      <c r="G801" s="280">
        <f>ROUND(BQ64,0)</f>
        <v>0</v>
      </c>
      <c r="H801" s="280">
        <f>ROUND(BQ65,0)</f>
        <v>0</v>
      </c>
      <c r="I801" s="280">
        <f>ROUND(BQ66,0)</f>
        <v>0</v>
      </c>
      <c r="J801" s="280">
        <f>ROUND(BQ67,0)</f>
        <v>0</v>
      </c>
      <c r="K801" s="280">
        <f>ROUND(BQ68,0)</f>
        <v>0</v>
      </c>
      <c r="L801" s="280">
        <f>ROUND(BQ70,0)</f>
        <v>0</v>
      </c>
      <c r="M801" s="280">
        <f>ROUND(BQ71,0)</f>
        <v>0</v>
      </c>
      <c r="N801" s="280"/>
      <c r="O801" s="280"/>
      <c r="P801" s="280">
        <f>IF(BQ77&gt;0,ROUND(BQ77,0),0)</f>
        <v>0</v>
      </c>
      <c r="Q801" s="280">
        <f>IF(BQ78&gt;0,ROUND(BQ78,0),0)</f>
        <v>0</v>
      </c>
      <c r="R801" s="280">
        <f>IF(BQ79&gt;0,ROUND(BQ79,0),0)</f>
        <v>0</v>
      </c>
      <c r="S801" s="280">
        <f>IF(BQ80&gt;0,ROUND(BQ80,0),0)</f>
        <v>0</v>
      </c>
      <c r="T801" s="283">
        <f>IF(BQ81&gt;0,ROUND(BQ81,2),0)</f>
        <v>0</v>
      </c>
      <c r="U801" s="280"/>
      <c r="X801" s="280"/>
      <c r="Y801" s="280"/>
      <c r="Z801" s="280"/>
    </row>
    <row r="802" spans="1:26" ht="12.6" customHeight="1" x14ac:dyDescent="0.25">
      <c r="A802" s="209" t="str">
        <f>RIGHT($C$84,3)&amp;"*"&amp;RIGHT($C$83,4)&amp;"*"&amp;BR$55&amp;"*"&amp;"A"</f>
        <v>078*2017*8650*A</v>
      </c>
      <c r="B802" s="280"/>
      <c r="C802" s="283">
        <f>ROUND(BR60,2)</f>
        <v>4.1900000000000004</v>
      </c>
      <c r="D802" s="280">
        <f>ROUND(BR61,0)</f>
        <v>515504</v>
      </c>
      <c r="E802" s="280">
        <f>ROUND(BR62,0)</f>
        <v>150904</v>
      </c>
      <c r="F802" s="280">
        <f>ROUND(BR63,0)</f>
        <v>89409</v>
      </c>
      <c r="G802" s="280">
        <f>ROUND(BR64,0)</f>
        <v>7705</v>
      </c>
      <c r="H802" s="280">
        <f>ROUND(BR65,0)</f>
        <v>0</v>
      </c>
      <c r="I802" s="280">
        <f>ROUND(BR66,0)</f>
        <v>132204</v>
      </c>
      <c r="J802" s="280">
        <f>ROUND(BR67,0)</f>
        <v>31228</v>
      </c>
      <c r="K802" s="280">
        <f>ROUND(BR68,0)</f>
        <v>0</v>
      </c>
      <c r="L802" s="280">
        <f>ROUND(BR70,0)</f>
        <v>217151</v>
      </c>
      <c r="M802" s="280">
        <f>ROUND(BR71,0)</f>
        <v>0</v>
      </c>
      <c r="N802" s="280"/>
      <c r="O802" s="280"/>
      <c r="P802" s="280">
        <f>IF(BR77&gt;0,ROUND(BR77,0),0)</f>
        <v>1637</v>
      </c>
      <c r="Q802" s="280">
        <f>IF(BR78&gt;0,ROUND(BR78,0),0)</f>
        <v>0</v>
      </c>
      <c r="R802" s="280">
        <f>IF(BR79&gt;0,ROUND(BR79,0),0)</f>
        <v>0</v>
      </c>
      <c r="S802" s="280">
        <f>IF(BR80&gt;0,ROUND(BR80,0),0)</f>
        <v>0</v>
      </c>
      <c r="T802" s="283">
        <f>IF(BR81&gt;0,ROUND(BR81,2),0)</f>
        <v>0</v>
      </c>
      <c r="U802" s="280"/>
      <c r="X802" s="280"/>
      <c r="Y802" s="280"/>
      <c r="Z802" s="280"/>
    </row>
    <row r="803" spans="1:26" ht="12.6" customHeight="1" x14ac:dyDescent="0.25">
      <c r="A803" s="209" t="str">
        <f>RIGHT($C$84,3)&amp;"*"&amp;RIGHT($C$83,4)&amp;"*"&amp;BS$55&amp;"*"&amp;"A"</f>
        <v>078*2017*8660*A</v>
      </c>
      <c r="B803" s="280"/>
      <c r="C803" s="283">
        <f>ROUND(BS60,2)</f>
        <v>0.86</v>
      </c>
      <c r="D803" s="280">
        <f>ROUND(BS61,0)</f>
        <v>59805</v>
      </c>
      <c r="E803" s="280">
        <f>ROUND(BS62,0)</f>
        <v>17507</v>
      </c>
      <c r="F803" s="280">
        <f>ROUND(BS63,0)</f>
        <v>0</v>
      </c>
      <c r="G803" s="280">
        <f>ROUND(BS64,0)</f>
        <v>477</v>
      </c>
      <c r="H803" s="280">
        <f>ROUND(BS65,0)</f>
        <v>0</v>
      </c>
      <c r="I803" s="280">
        <f>ROUND(BS66,0)</f>
        <v>0</v>
      </c>
      <c r="J803" s="280">
        <f>ROUND(BS67,0)</f>
        <v>17035</v>
      </c>
      <c r="K803" s="280">
        <f>ROUND(BS68,0)</f>
        <v>0</v>
      </c>
      <c r="L803" s="280">
        <f>ROUND(BS70,0)</f>
        <v>50</v>
      </c>
      <c r="M803" s="280">
        <f>ROUND(BS71,0)</f>
        <v>0</v>
      </c>
      <c r="N803" s="280"/>
      <c r="O803" s="280"/>
      <c r="P803" s="280">
        <f>IF(BS77&gt;0,ROUND(BS77,0),0)</f>
        <v>893</v>
      </c>
      <c r="Q803" s="280">
        <f>IF(BS78&gt;0,ROUND(BS78,0),0)</f>
        <v>0</v>
      </c>
      <c r="R803" s="280">
        <f>IF(BS79&gt;0,ROUND(BS79,0),0)</f>
        <v>893</v>
      </c>
      <c r="S803" s="280">
        <f>IF(BS80&gt;0,ROUND(BS80,0),0)</f>
        <v>0</v>
      </c>
      <c r="T803" s="283">
        <f>IF(BS81&gt;0,ROUND(BS81,2),0)</f>
        <v>0</v>
      </c>
      <c r="U803" s="280"/>
      <c r="X803" s="280"/>
      <c r="Y803" s="280"/>
      <c r="Z803" s="280"/>
    </row>
    <row r="804" spans="1:26" ht="12.6" customHeight="1" x14ac:dyDescent="0.25">
      <c r="A804" s="209" t="str">
        <f>RIGHT($C$84,3)&amp;"*"&amp;RIGHT($C$83,4)&amp;"*"&amp;BT$55&amp;"*"&amp;"A"</f>
        <v>078*2017*8670*A</v>
      </c>
      <c r="B804" s="280"/>
      <c r="C804" s="283">
        <f>ROUND(BT60,2)</f>
        <v>0</v>
      </c>
      <c r="D804" s="280">
        <f>ROUND(BT61,0)</f>
        <v>0</v>
      </c>
      <c r="E804" s="280">
        <f>ROUND(BT62,0)</f>
        <v>0</v>
      </c>
      <c r="F804" s="280">
        <f>ROUND(BT63,0)</f>
        <v>0</v>
      </c>
      <c r="G804" s="280">
        <f>ROUND(BT64,0)</f>
        <v>0</v>
      </c>
      <c r="H804" s="280">
        <f>ROUND(BT65,0)</f>
        <v>0</v>
      </c>
      <c r="I804" s="280">
        <f>ROUND(BT66,0)</f>
        <v>0</v>
      </c>
      <c r="J804" s="280">
        <f>ROUND(BT67,0)</f>
        <v>0</v>
      </c>
      <c r="K804" s="280">
        <f>ROUND(BT68,0)</f>
        <v>0</v>
      </c>
      <c r="L804" s="280">
        <f>ROUND(BT70,0)</f>
        <v>0</v>
      </c>
      <c r="M804" s="280">
        <f>ROUND(BT71,0)</f>
        <v>0</v>
      </c>
      <c r="N804" s="280"/>
      <c r="O804" s="280"/>
      <c r="P804" s="280">
        <f>IF(BT77&gt;0,ROUND(BT77,0),0)</f>
        <v>0</v>
      </c>
      <c r="Q804" s="280">
        <f>IF(BT78&gt;0,ROUND(BT78,0),0)</f>
        <v>0</v>
      </c>
      <c r="R804" s="280">
        <f>IF(BT79&gt;0,ROUND(BT79,0),0)</f>
        <v>0</v>
      </c>
      <c r="S804" s="280">
        <f>IF(BT80&gt;0,ROUND(BT80,0),0)</f>
        <v>0</v>
      </c>
      <c r="T804" s="283">
        <f>IF(BT81&gt;0,ROUND(BT81,2),0)</f>
        <v>0</v>
      </c>
      <c r="U804" s="280"/>
      <c r="X804" s="280"/>
      <c r="Y804" s="280"/>
      <c r="Z804" s="280"/>
    </row>
    <row r="805" spans="1:26" ht="12.6" customHeight="1" x14ac:dyDescent="0.25">
      <c r="A805" s="209" t="str">
        <f>RIGHT($C$84,3)&amp;"*"&amp;RIGHT($C$83,4)&amp;"*"&amp;BU$55&amp;"*"&amp;"A"</f>
        <v>078*2017*8680*A</v>
      </c>
      <c r="B805" s="280"/>
      <c r="C805" s="283">
        <f>ROUND(BU60,2)</f>
        <v>0</v>
      </c>
      <c r="D805" s="280">
        <f>ROUND(BU61,0)</f>
        <v>0</v>
      </c>
      <c r="E805" s="280">
        <f>ROUND(BU62,0)</f>
        <v>0</v>
      </c>
      <c r="F805" s="280">
        <f>ROUND(BU63,0)</f>
        <v>0</v>
      </c>
      <c r="G805" s="280">
        <f>ROUND(BU64,0)</f>
        <v>8</v>
      </c>
      <c r="H805" s="280">
        <f>ROUND(BU65,0)</f>
        <v>0</v>
      </c>
      <c r="I805" s="280">
        <f>ROUND(BU66,0)</f>
        <v>0</v>
      </c>
      <c r="J805" s="280">
        <f>ROUND(BU67,0)</f>
        <v>0</v>
      </c>
      <c r="K805" s="280">
        <f>ROUND(BU68,0)</f>
        <v>0</v>
      </c>
      <c r="L805" s="280">
        <f>ROUND(BU70,0)</f>
        <v>0</v>
      </c>
      <c r="M805" s="280">
        <f>ROUND(BU71,0)</f>
        <v>0</v>
      </c>
      <c r="N805" s="280"/>
      <c r="O805" s="280"/>
      <c r="P805" s="280">
        <f>IF(BU77&gt;0,ROUND(BU77,0),0)</f>
        <v>0</v>
      </c>
      <c r="Q805" s="280">
        <f>IF(BU78&gt;0,ROUND(BU78,0),0)</f>
        <v>0</v>
      </c>
      <c r="R805" s="280">
        <f>IF(BU79&gt;0,ROUND(BU79,0),0)</f>
        <v>0</v>
      </c>
      <c r="S805" s="280">
        <f>IF(BU80&gt;0,ROUND(BU80,0),0)</f>
        <v>0</v>
      </c>
      <c r="T805" s="283">
        <f>IF(BU81&gt;0,ROUND(BU81,2),0)</f>
        <v>0</v>
      </c>
      <c r="U805" s="280"/>
      <c r="X805" s="280"/>
      <c r="Y805" s="280"/>
      <c r="Z805" s="280"/>
    </row>
    <row r="806" spans="1:26" ht="12.6" customHeight="1" x14ac:dyDescent="0.25">
      <c r="A806" s="209" t="str">
        <f>RIGHT($C$84,3)&amp;"*"&amp;RIGHT($C$83,4)&amp;"*"&amp;BV$55&amp;"*"&amp;"A"</f>
        <v>078*2017*8690*A</v>
      </c>
      <c r="B806" s="280"/>
      <c r="C806" s="283">
        <f>ROUND(BV60,2)</f>
        <v>11.03</v>
      </c>
      <c r="D806" s="280">
        <f>ROUND(BV61,0)</f>
        <v>628722</v>
      </c>
      <c r="E806" s="280">
        <f>ROUND(BV62,0)</f>
        <v>184047</v>
      </c>
      <c r="F806" s="280">
        <f>ROUND(BV63,0)</f>
        <v>0</v>
      </c>
      <c r="G806" s="280">
        <f>ROUND(BV64,0)</f>
        <v>6455</v>
      </c>
      <c r="H806" s="280">
        <f>ROUND(BV65,0)</f>
        <v>0</v>
      </c>
      <c r="I806" s="280">
        <f>ROUND(BV66,0)</f>
        <v>591323</v>
      </c>
      <c r="J806" s="280">
        <f>ROUND(BV67,0)</f>
        <v>31323</v>
      </c>
      <c r="K806" s="280">
        <f>ROUND(BV68,0)</f>
        <v>0</v>
      </c>
      <c r="L806" s="280">
        <f>ROUND(BV70,0)</f>
        <v>210808</v>
      </c>
      <c r="M806" s="280">
        <f>ROUND(BV71,0)</f>
        <v>0</v>
      </c>
      <c r="N806" s="280"/>
      <c r="O806" s="280"/>
      <c r="P806" s="280">
        <f>IF(BV77&gt;0,ROUND(BV77,0),0)</f>
        <v>1642</v>
      </c>
      <c r="Q806" s="280">
        <f>IF(BV78&gt;0,ROUND(BV78,0),0)</f>
        <v>0</v>
      </c>
      <c r="R806" s="280">
        <f>IF(BV79&gt;0,ROUND(BV79,0),0)</f>
        <v>1642</v>
      </c>
      <c r="S806" s="280">
        <f>IF(BV80&gt;0,ROUND(BV80,0),0)</f>
        <v>0</v>
      </c>
      <c r="T806" s="283">
        <f>IF(BV81&gt;0,ROUND(BV81,2),0)</f>
        <v>0</v>
      </c>
      <c r="U806" s="280"/>
      <c r="X806" s="280"/>
      <c r="Y806" s="280"/>
      <c r="Z806" s="280"/>
    </row>
    <row r="807" spans="1:26" ht="12.6" customHeight="1" x14ac:dyDescent="0.25">
      <c r="A807" s="209" t="str">
        <f>RIGHT($C$84,3)&amp;"*"&amp;RIGHT($C$83,4)&amp;"*"&amp;BW$55&amp;"*"&amp;"A"</f>
        <v>078*2017*8700*A</v>
      </c>
      <c r="B807" s="280"/>
      <c r="C807" s="283">
        <f>ROUND(BW60,2)</f>
        <v>1.59</v>
      </c>
      <c r="D807" s="280">
        <f>ROUND(BW61,0)</f>
        <v>112815</v>
      </c>
      <c r="E807" s="280">
        <f>ROUND(BW62,0)</f>
        <v>33025</v>
      </c>
      <c r="F807" s="280">
        <f>ROUND(BW63,0)</f>
        <v>10800</v>
      </c>
      <c r="G807" s="280">
        <f>ROUND(BW64,0)</f>
        <v>31859</v>
      </c>
      <c r="H807" s="280">
        <f>ROUND(BW65,0)</f>
        <v>0</v>
      </c>
      <c r="I807" s="280">
        <f>ROUND(BW66,0)</f>
        <v>17931</v>
      </c>
      <c r="J807" s="280">
        <f>ROUND(BW67,0)</f>
        <v>17951</v>
      </c>
      <c r="K807" s="280">
        <f>ROUND(BW68,0)</f>
        <v>0</v>
      </c>
      <c r="L807" s="280">
        <f>ROUND(BW70,0)</f>
        <v>8220</v>
      </c>
      <c r="M807" s="280">
        <f>ROUND(BW71,0)</f>
        <v>0</v>
      </c>
      <c r="N807" s="280"/>
      <c r="O807" s="280"/>
      <c r="P807" s="280">
        <f>IF(BW77&gt;0,ROUND(BW77,0),0)</f>
        <v>941</v>
      </c>
      <c r="Q807" s="280">
        <f>IF(BW78&gt;0,ROUND(BW78,0),0)</f>
        <v>0</v>
      </c>
      <c r="R807" s="280">
        <f>IF(BW79&gt;0,ROUND(BW79,0),0)</f>
        <v>941</v>
      </c>
      <c r="S807" s="280">
        <f>IF(BW80&gt;0,ROUND(BW80,0),0)</f>
        <v>0</v>
      </c>
      <c r="T807" s="283">
        <f>IF(BW81&gt;0,ROUND(BW81,2),0)</f>
        <v>0</v>
      </c>
      <c r="U807" s="280"/>
      <c r="X807" s="280"/>
      <c r="Y807" s="280"/>
      <c r="Z807" s="280"/>
    </row>
    <row r="808" spans="1:26" ht="12.6" customHeight="1" x14ac:dyDescent="0.25">
      <c r="A808" s="209" t="str">
        <f>RIGHT($C$84,3)&amp;"*"&amp;RIGHT($C$83,4)&amp;"*"&amp;BX$55&amp;"*"&amp;"A"</f>
        <v>078*2017*8710*A</v>
      </c>
      <c r="B808" s="280"/>
      <c r="C808" s="283">
        <f>ROUND(BX60,2)</f>
        <v>0</v>
      </c>
      <c r="D808" s="280">
        <f>ROUND(BX61,0)</f>
        <v>0</v>
      </c>
      <c r="E808" s="280">
        <f>ROUND(BX62,0)</f>
        <v>0</v>
      </c>
      <c r="F808" s="280">
        <f>ROUND(BX63,0)</f>
        <v>0</v>
      </c>
      <c r="G808" s="280">
        <f>ROUND(BX64,0)</f>
        <v>0</v>
      </c>
      <c r="H808" s="280">
        <f>ROUND(BX65,0)</f>
        <v>0</v>
      </c>
      <c r="I808" s="280">
        <f>ROUND(BX66,0)</f>
        <v>0</v>
      </c>
      <c r="J808" s="280">
        <f>ROUND(BX67,0)</f>
        <v>0</v>
      </c>
      <c r="K808" s="280">
        <f>ROUND(BX68,0)</f>
        <v>0</v>
      </c>
      <c r="L808" s="280">
        <f>ROUND(BX70,0)</f>
        <v>0</v>
      </c>
      <c r="M808" s="280">
        <f>ROUND(BX71,0)</f>
        <v>0</v>
      </c>
      <c r="N808" s="280"/>
      <c r="O808" s="280"/>
      <c r="P808" s="280">
        <f>IF(BX77&gt;0,ROUND(BX77,0),0)</f>
        <v>0</v>
      </c>
      <c r="Q808" s="280">
        <f>IF(BX78&gt;0,ROUND(BX78,0),0)</f>
        <v>0</v>
      </c>
      <c r="R808" s="280">
        <f>IF(BX79&gt;0,ROUND(BX79,0),0)</f>
        <v>0</v>
      </c>
      <c r="S808" s="280">
        <f>IF(BX80&gt;0,ROUND(BX80,0),0)</f>
        <v>0</v>
      </c>
      <c r="T808" s="283">
        <f>IF(BX81&gt;0,ROUND(BX81,2),0)</f>
        <v>0</v>
      </c>
      <c r="U808" s="280"/>
      <c r="X808" s="280"/>
      <c r="Y808" s="280"/>
      <c r="Z808" s="280"/>
    </row>
    <row r="809" spans="1:26" ht="12.6" customHeight="1" x14ac:dyDescent="0.25">
      <c r="A809" s="209" t="str">
        <f>RIGHT($C$84,3)&amp;"*"&amp;RIGHT($C$83,4)&amp;"*"&amp;BY$55&amp;"*"&amp;"A"</f>
        <v>078*2017*8720*A</v>
      </c>
      <c r="B809" s="280"/>
      <c r="C809" s="283">
        <f>ROUND(BY60,2)</f>
        <v>2.76</v>
      </c>
      <c r="D809" s="280">
        <f>ROUND(BY61,0)</f>
        <v>285916</v>
      </c>
      <c r="E809" s="280">
        <f>ROUND(BY62,0)</f>
        <v>83697</v>
      </c>
      <c r="F809" s="280">
        <f>ROUND(BY63,0)</f>
        <v>0</v>
      </c>
      <c r="G809" s="280">
        <f>ROUND(BY64,0)</f>
        <v>5830</v>
      </c>
      <c r="H809" s="280">
        <f>ROUND(BY65,0)</f>
        <v>0</v>
      </c>
      <c r="I809" s="280">
        <f>ROUND(BY66,0)</f>
        <v>2913</v>
      </c>
      <c r="J809" s="280">
        <f>ROUND(BY67,0)</f>
        <v>11503</v>
      </c>
      <c r="K809" s="280">
        <f>ROUND(BY68,0)</f>
        <v>0</v>
      </c>
      <c r="L809" s="280">
        <f>ROUND(BY70,0)</f>
        <v>9917</v>
      </c>
      <c r="M809" s="280">
        <f>ROUND(BY71,0)</f>
        <v>0</v>
      </c>
      <c r="N809" s="280"/>
      <c r="O809" s="280"/>
      <c r="P809" s="280">
        <f>IF(BY77&gt;0,ROUND(BY77,0),0)</f>
        <v>603</v>
      </c>
      <c r="Q809" s="280">
        <f>IF(BY78&gt;0,ROUND(BY78,0),0)</f>
        <v>0</v>
      </c>
      <c r="R809" s="280">
        <f>IF(BY79&gt;0,ROUND(BY79,0),0)</f>
        <v>603</v>
      </c>
      <c r="S809" s="280">
        <f>IF(BY80&gt;0,ROUND(BY80,0),0)</f>
        <v>0</v>
      </c>
      <c r="T809" s="283">
        <f>IF(BY81&gt;0,ROUND(BY81,2),0)</f>
        <v>0</v>
      </c>
      <c r="U809" s="280"/>
      <c r="X809" s="280"/>
      <c r="Y809" s="280"/>
      <c r="Z809" s="280"/>
    </row>
    <row r="810" spans="1:26" ht="12.6" customHeight="1" x14ac:dyDescent="0.25">
      <c r="A810" s="209" t="str">
        <f>RIGHT($C$84,3)&amp;"*"&amp;RIGHT($C$83,4)&amp;"*"&amp;BZ$55&amp;"*"&amp;"A"</f>
        <v>078*2017*8730*A</v>
      </c>
      <c r="B810" s="280"/>
      <c r="C810" s="283">
        <f>ROUND(BZ60,2)</f>
        <v>0.63</v>
      </c>
      <c r="D810" s="280">
        <f>ROUND(BZ61,0)</f>
        <v>129590</v>
      </c>
      <c r="E810" s="280">
        <f>ROUND(BZ62,0)</f>
        <v>37935</v>
      </c>
      <c r="F810" s="280">
        <f>ROUND(BZ63,0)</f>
        <v>0</v>
      </c>
      <c r="G810" s="280">
        <f>ROUND(BZ64,0)</f>
        <v>0</v>
      </c>
      <c r="H810" s="280">
        <f>ROUND(BZ65,0)</f>
        <v>0</v>
      </c>
      <c r="I810" s="280">
        <f>ROUND(BZ66,0)</f>
        <v>0</v>
      </c>
      <c r="J810" s="280">
        <f>ROUND(BZ67,0)</f>
        <v>0</v>
      </c>
      <c r="K810" s="280">
        <f>ROUND(BZ68,0)</f>
        <v>0</v>
      </c>
      <c r="L810" s="280">
        <f>ROUND(BZ70,0)</f>
        <v>0</v>
      </c>
      <c r="M810" s="280">
        <f>ROUND(BZ71,0)</f>
        <v>0</v>
      </c>
      <c r="N810" s="280"/>
      <c r="O810" s="280"/>
      <c r="P810" s="280">
        <f>IF(BZ77&gt;0,ROUND(BZ77,0),0)</f>
        <v>0</v>
      </c>
      <c r="Q810" s="280">
        <f>IF(BZ78&gt;0,ROUND(BZ78,0),0)</f>
        <v>0</v>
      </c>
      <c r="R810" s="280">
        <f>IF(BZ79&gt;0,ROUND(BZ79,0),0)</f>
        <v>0</v>
      </c>
      <c r="S810" s="280">
        <f>IF(BZ80&gt;0,ROUND(BZ80,0),0)</f>
        <v>0</v>
      </c>
      <c r="T810" s="283">
        <f>IF(BZ81&gt;0,ROUND(BZ81,2),0)</f>
        <v>0</v>
      </c>
      <c r="U810" s="280"/>
      <c r="X810" s="280"/>
      <c r="Y810" s="280"/>
      <c r="Z810" s="280"/>
    </row>
    <row r="811" spans="1:26" ht="12.6" customHeight="1" x14ac:dyDescent="0.25">
      <c r="A811" s="209" t="str">
        <f>RIGHT($C$84,3)&amp;"*"&amp;RIGHT($C$83,4)&amp;"*"&amp;CA$55&amp;"*"&amp;"A"</f>
        <v>078*2017*8740*A</v>
      </c>
      <c r="B811" s="280"/>
      <c r="C811" s="283">
        <f>ROUND(CA60,2)</f>
        <v>0</v>
      </c>
      <c r="D811" s="280">
        <f>ROUND(CA61,0)</f>
        <v>0</v>
      </c>
      <c r="E811" s="280">
        <f>ROUND(CA62,0)</f>
        <v>0</v>
      </c>
      <c r="F811" s="280">
        <f>ROUND(CA63,0)</f>
        <v>0</v>
      </c>
      <c r="G811" s="280">
        <f>ROUND(CA64,0)</f>
        <v>0</v>
      </c>
      <c r="H811" s="280">
        <f>ROUND(CA65,0)</f>
        <v>0</v>
      </c>
      <c r="I811" s="280">
        <f>ROUND(CA66,0)</f>
        <v>0</v>
      </c>
      <c r="J811" s="280">
        <f>ROUND(CA67,0)</f>
        <v>146447</v>
      </c>
      <c r="K811" s="280">
        <f>ROUND(CA68,0)</f>
        <v>0</v>
      </c>
      <c r="L811" s="280">
        <f>ROUND(CA70,0)</f>
        <v>0</v>
      </c>
      <c r="M811" s="280">
        <f>ROUND(CA71,0)</f>
        <v>0</v>
      </c>
      <c r="N811" s="280"/>
      <c r="O811" s="280"/>
      <c r="P811" s="280">
        <f>IF(CA77&gt;0,ROUND(CA77,0),0)</f>
        <v>7677</v>
      </c>
      <c r="Q811" s="280">
        <f>IF(CA78&gt;0,ROUND(CA78,0),0)</f>
        <v>0</v>
      </c>
      <c r="R811" s="280">
        <f>IF(CA79&gt;0,ROUND(CA79,0),0)</f>
        <v>7677</v>
      </c>
      <c r="S811" s="280">
        <f>IF(CA80&gt;0,ROUND(CA80,0),0)</f>
        <v>0</v>
      </c>
      <c r="T811" s="283">
        <f>IF(CA81&gt;0,ROUND(CA81,2),0)</f>
        <v>0</v>
      </c>
      <c r="U811" s="280"/>
      <c r="X811" s="280"/>
      <c r="Y811" s="280"/>
      <c r="Z811" s="280"/>
    </row>
    <row r="812" spans="1:26" ht="12.6" customHeight="1" x14ac:dyDescent="0.25">
      <c r="A812" s="209" t="str">
        <f>RIGHT($C$84,3)&amp;"*"&amp;RIGHT($C$83,4)&amp;"*"&amp;CB$55&amp;"*"&amp;"A"</f>
        <v>078*2017*8770*A</v>
      </c>
      <c r="B812" s="280"/>
      <c r="C812" s="283">
        <f>ROUND(CB60,2)</f>
        <v>0</v>
      </c>
      <c r="D812" s="280">
        <f>ROUND(CB61,0)</f>
        <v>0</v>
      </c>
      <c r="E812" s="280">
        <f>ROUND(CB62,0)</f>
        <v>0</v>
      </c>
      <c r="F812" s="280">
        <f>ROUND(CB63,0)</f>
        <v>0</v>
      </c>
      <c r="G812" s="280">
        <f>ROUND(CB64,0)</f>
        <v>0</v>
      </c>
      <c r="H812" s="280">
        <f>ROUND(CB65,0)</f>
        <v>0</v>
      </c>
      <c r="I812" s="280">
        <f>ROUND(CB66,0)</f>
        <v>0</v>
      </c>
      <c r="J812" s="280">
        <f>ROUND(CB67,0)</f>
        <v>1908</v>
      </c>
      <c r="K812" s="280">
        <f>ROUND(CB68,0)</f>
        <v>0</v>
      </c>
      <c r="L812" s="280">
        <f>ROUND(CB70,0)</f>
        <v>0</v>
      </c>
      <c r="M812" s="280">
        <f>ROUND(CB71,0)</f>
        <v>0</v>
      </c>
      <c r="N812" s="280"/>
      <c r="O812" s="280"/>
      <c r="P812" s="280">
        <f>IF(CB77&gt;0,ROUND(CB77,0),0)</f>
        <v>100</v>
      </c>
      <c r="Q812" s="280">
        <f>IF(CB78&gt;0,ROUND(CB78,0),0)</f>
        <v>0</v>
      </c>
      <c r="R812" s="280">
        <f>IF(CB79&gt;0,ROUND(CB79,0),0)</f>
        <v>100</v>
      </c>
      <c r="S812" s="280">
        <f>IF(CB80&gt;0,ROUND(CB80,0),0)</f>
        <v>0</v>
      </c>
      <c r="T812" s="283">
        <f>IF(CB81&gt;0,ROUND(CB81,2),0)</f>
        <v>0</v>
      </c>
      <c r="U812" s="280"/>
      <c r="X812" s="280"/>
      <c r="Y812" s="280"/>
      <c r="Z812" s="280"/>
    </row>
    <row r="813" spans="1:26" ht="12.6" customHeight="1" x14ac:dyDescent="0.25">
      <c r="A813" s="209" t="str">
        <f>RIGHT($C$84,3)&amp;"*"&amp;RIGHT($C$83,4)&amp;"*"&amp;CC$55&amp;"*"&amp;"A"</f>
        <v>078*2017*8790*A</v>
      </c>
      <c r="B813" s="280"/>
      <c r="C813" s="283">
        <f>ROUND(CC60,2)</f>
        <v>3.85</v>
      </c>
      <c r="D813" s="280">
        <f>ROUND(CC61,0)</f>
        <v>377718</v>
      </c>
      <c r="E813" s="280">
        <f>ROUND(CC62,0)</f>
        <v>110570</v>
      </c>
      <c r="F813" s="280">
        <f>ROUND(CC63,0)</f>
        <v>0</v>
      </c>
      <c r="G813" s="280">
        <f>ROUND(CC64,0)</f>
        <v>1460</v>
      </c>
      <c r="H813" s="280">
        <f>ROUND(CC65,0)</f>
        <v>0</v>
      </c>
      <c r="I813" s="280">
        <f>ROUND(CC66,0)</f>
        <v>84563</v>
      </c>
      <c r="J813" s="280">
        <f>ROUND(CC67,0)</f>
        <v>5036</v>
      </c>
      <c r="K813" s="280">
        <f>ROUND(CC68,0)</f>
        <v>0</v>
      </c>
      <c r="L813" s="280">
        <f>ROUND(CC70,0)</f>
        <v>30731</v>
      </c>
      <c r="M813" s="280">
        <f>ROUND(CC71,0)</f>
        <v>0</v>
      </c>
      <c r="N813" s="280"/>
      <c r="O813" s="280"/>
      <c r="P813" s="280">
        <f>IF(CC77&gt;0,ROUND(CC77,0),0)</f>
        <v>264</v>
      </c>
      <c r="Q813" s="280">
        <f>IF(CC78&gt;0,ROUND(CC78,0),0)</f>
        <v>0</v>
      </c>
      <c r="R813" s="280">
        <f>IF(CC79&gt;0,ROUND(CC79,0),0)</f>
        <v>0</v>
      </c>
      <c r="S813" s="280">
        <f>IF(CC80&gt;0,ROUND(CC80,0),0)</f>
        <v>0</v>
      </c>
      <c r="T813" s="283">
        <f>IF(CC81&gt;0,ROUND(CC81,2),0)</f>
        <v>0</v>
      </c>
      <c r="U813" s="280"/>
      <c r="X813" s="280"/>
      <c r="Y813" s="280"/>
      <c r="Z813" s="280"/>
    </row>
    <row r="814" spans="1:26" ht="12.6" customHeight="1" x14ac:dyDescent="0.25">
      <c r="A814" s="209" t="str">
        <f>RIGHT($C$84,3)&amp;"*"&amp;RIGHT($C$83,4)&amp;"*"&amp;"9000"&amp;"*"&amp;"A"</f>
        <v>078*2017*9000*A</v>
      </c>
      <c r="B814" s="280"/>
      <c r="C814" s="284"/>
      <c r="D814" s="280"/>
      <c r="E814" s="280"/>
      <c r="F814" s="280"/>
      <c r="G814" s="280"/>
      <c r="H814" s="280"/>
      <c r="I814" s="280"/>
      <c r="J814" s="280"/>
      <c r="K814" s="280"/>
      <c r="L814" s="280"/>
      <c r="M814" s="280"/>
      <c r="N814" s="280"/>
      <c r="O814" s="280"/>
      <c r="P814" s="280"/>
      <c r="Q814" s="280"/>
      <c r="R814" s="280"/>
      <c r="S814" s="280"/>
      <c r="T814" s="284"/>
      <c r="U814" s="280">
        <f>ROUND(CD70,0)</f>
        <v>0</v>
      </c>
      <c r="V814" s="180">
        <f>ROUND(CD69,0)</f>
        <v>0</v>
      </c>
      <c r="W814" s="180">
        <f>ROUND(CD71,0)</f>
        <v>2555384</v>
      </c>
      <c r="X814" s="280">
        <f>ROUND(CE73,0)</f>
        <v>0</v>
      </c>
      <c r="Y814" s="280">
        <f>ROUND(C132,0)</f>
        <v>0</v>
      </c>
      <c r="Z814" s="280"/>
    </row>
    <row r="816" spans="1:26" ht="12.6" customHeight="1" x14ac:dyDescent="0.25">
      <c r="B816" s="199" t="s">
        <v>1004</v>
      </c>
      <c r="C816" s="266">
        <f t="shared" ref="C816:K816" si="21">SUM(C735:C814)</f>
        <v>389.17999999999995</v>
      </c>
      <c r="D816" s="180">
        <f t="shared" si="21"/>
        <v>32432947</v>
      </c>
      <c r="E816" s="180">
        <f t="shared" si="21"/>
        <v>9494158</v>
      </c>
      <c r="F816" s="180">
        <f t="shared" si="21"/>
        <v>4146091</v>
      </c>
      <c r="G816" s="180">
        <f t="shared" si="21"/>
        <v>10219469</v>
      </c>
      <c r="H816" s="180">
        <f t="shared" si="21"/>
        <v>339010</v>
      </c>
      <c r="I816" s="180">
        <f t="shared" si="21"/>
        <v>6380390</v>
      </c>
      <c r="J816" s="180">
        <f t="shared" si="21"/>
        <v>4388375</v>
      </c>
      <c r="K816" s="180">
        <f t="shared" si="21"/>
        <v>985762</v>
      </c>
      <c r="L816" s="180">
        <f>SUM(L735:L814)+SUM(U735:U814)</f>
        <v>2254338</v>
      </c>
      <c r="M816" s="180">
        <f>SUM(M735:M814)+SUM(W735:W814)</f>
        <v>2555384</v>
      </c>
      <c r="N816" s="180">
        <f t="shared" ref="N816:Z816" si="22">SUM(N735:N814)</f>
        <v>204385398</v>
      </c>
      <c r="O816" s="180">
        <f t="shared" si="22"/>
        <v>79595440</v>
      </c>
      <c r="P816" s="180">
        <f t="shared" si="22"/>
        <v>230046</v>
      </c>
      <c r="Q816" s="180">
        <f t="shared" si="22"/>
        <v>27498</v>
      </c>
      <c r="R816" s="180">
        <f t="shared" si="22"/>
        <v>156698</v>
      </c>
      <c r="S816" s="180">
        <f t="shared" si="22"/>
        <v>308956</v>
      </c>
      <c r="T816" s="266">
        <f t="shared" si="22"/>
        <v>115.97</v>
      </c>
      <c r="U816" s="180">
        <f t="shared" si="22"/>
        <v>0</v>
      </c>
      <c r="V816" s="180">
        <f t="shared" si="22"/>
        <v>0</v>
      </c>
      <c r="W816" s="180">
        <f t="shared" si="22"/>
        <v>2555384</v>
      </c>
      <c r="X816" s="180">
        <f t="shared" si="22"/>
        <v>0</v>
      </c>
      <c r="Y816" s="180">
        <f t="shared" si="22"/>
        <v>0</v>
      </c>
      <c r="Z816" s="180">
        <f t="shared" si="22"/>
        <v>21068330</v>
      </c>
    </row>
    <row r="817" spans="2:26" ht="12.6" customHeight="1" x14ac:dyDescent="0.25">
      <c r="B817" s="180" t="s">
        <v>1005</v>
      </c>
      <c r="C817" s="266">
        <f>CE60</f>
        <v>389.17999999999995</v>
      </c>
      <c r="D817" s="180">
        <f>CE61</f>
        <v>32432947</v>
      </c>
      <c r="E817" s="180">
        <f>CE62</f>
        <v>9494158</v>
      </c>
      <c r="F817" s="180">
        <f>CE63</f>
        <v>4146091</v>
      </c>
      <c r="G817" s="180">
        <f>CE64</f>
        <v>10219469</v>
      </c>
      <c r="H817" s="243">
        <f>CE65</f>
        <v>339010</v>
      </c>
      <c r="I817" s="243">
        <f>CE66</f>
        <v>6380390</v>
      </c>
      <c r="J817" s="243">
        <f>CE67</f>
        <v>4388375</v>
      </c>
      <c r="K817" s="243">
        <f>CE68</f>
        <v>985762</v>
      </c>
      <c r="L817" s="243">
        <f>CE70</f>
        <v>2254338</v>
      </c>
      <c r="M817" s="243">
        <f>CE71</f>
        <v>2555384</v>
      </c>
      <c r="N817" s="180">
        <f>CE76</f>
        <v>204385398</v>
      </c>
      <c r="O817" s="180">
        <f>CE74</f>
        <v>79595440</v>
      </c>
      <c r="P817" s="180">
        <f>CE77</f>
        <v>230046</v>
      </c>
      <c r="Q817" s="180">
        <f>CE78</f>
        <v>27498</v>
      </c>
      <c r="R817" s="180">
        <f>CE79</f>
        <v>156698</v>
      </c>
      <c r="S817" s="180">
        <f>CE80</f>
        <v>308956</v>
      </c>
      <c r="T817" s="266">
        <f>CE81</f>
        <v>115.97</v>
      </c>
      <c r="U817" s="181" t="s">
        <v>1006</v>
      </c>
      <c r="V817" s="181" t="s">
        <v>1006</v>
      </c>
      <c r="W817" s="181" t="s">
        <v>1006</v>
      </c>
      <c r="X817" s="181" t="s">
        <v>1006</v>
      </c>
      <c r="Y817" s="181" t="s">
        <v>1006</v>
      </c>
      <c r="Z817" s="180">
        <f>M717</f>
        <v>21068327</v>
      </c>
    </row>
    <row r="818" spans="2:26" ht="12.6" customHeight="1" x14ac:dyDescent="0.25">
      <c r="B818" s="180" t="s">
        <v>471</v>
      </c>
      <c r="C818" s="199" t="s">
        <v>1007</v>
      </c>
      <c r="D818" s="180">
        <f>C379</f>
        <v>35700408</v>
      </c>
      <c r="E818" s="180">
        <f>C380</f>
        <v>9494158</v>
      </c>
      <c r="F818" s="180">
        <f>C381</f>
        <v>4629879</v>
      </c>
      <c r="G818" s="243">
        <f>C382</f>
        <v>11076208</v>
      </c>
      <c r="H818" s="243">
        <f>C383</f>
        <v>699843</v>
      </c>
      <c r="I818" s="243">
        <f>C384</f>
        <v>7810414</v>
      </c>
      <c r="J818" s="243">
        <f>C385</f>
        <v>4388374</v>
      </c>
      <c r="K818" s="243">
        <f>C386</f>
        <v>985760</v>
      </c>
      <c r="L818" s="243">
        <f>C387+C388+C389+C390</f>
        <v>2997209</v>
      </c>
      <c r="M818" s="243">
        <f>C371</f>
        <v>2555384</v>
      </c>
      <c r="N818" s="180">
        <f>D362</f>
        <v>216378956</v>
      </c>
      <c r="O818" s="180">
        <f>C360</f>
        <v>83671231</v>
      </c>
    </row>
  </sheetData>
  <mergeCells count="1">
    <mergeCell ref="B221:C221"/>
  </mergeCells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E18" sqref="E18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7" t="s">
        <v>1269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Samaritan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H-078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801 E Wheeler Road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same as street address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Moses Lake, WA 98837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B4" sqref="B4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H-78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Samaritan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Grant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Theresa Sullivan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Alexander Town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Julie Weisenberg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509-793-9601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509-764-3242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 xml:space="preserve"> X</v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3172</v>
      </c>
      <c r="G23" s="21">
        <f>data!D111</f>
        <v>9391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1051</v>
      </c>
      <c r="G26" s="13">
        <f>data!D114</f>
        <v>1674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23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12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11</v>
      </c>
      <c r="E34" s="49" t="s">
        <v>291</v>
      </c>
      <c r="F34" s="24"/>
      <c r="G34" s="21">
        <f>data!E127</f>
        <v>46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11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Samaritan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1109</v>
      </c>
      <c r="C7" s="48">
        <f>data!B139</f>
        <v>4570</v>
      </c>
      <c r="D7" s="48">
        <f>data!B140</f>
        <v>0</v>
      </c>
      <c r="E7" s="48">
        <f>data!B141</f>
        <v>38210288</v>
      </c>
      <c r="F7" s="48">
        <f>data!B142</f>
        <v>35519903</v>
      </c>
      <c r="G7" s="48">
        <f>data!B141+data!B142</f>
        <v>73730191</v>
      </c>
    </row>
    <row r="8" spans="1:13" ht="20.100000000000001" customHeight="1" x14ac:dyDescent="0.25">
      <c r="A8" s="23" t="s">
        <v>297</v>
      </c>
      <c r="B8" s="48">
        <f>data!C138</f>
        <v>1055</v>
      </c>
      <c r="C8" s="48">
        <f>data!C139</f>
        <v>2515</v>
      </c>
      <c r="D8" s="48">
        <f>data!C140</f>
        <v>0</v>
      </c>
      <c r="E8" s="48">
        <f>data!C141</f>
        <v>28687383</v>
      </c>
      <c r="F8" s="48">
        <f>data!C142</f>
        <v>44207722</v>
      </c>
      <c r="G8" s="48">
        <f>data!C141+data!C142</f>
        <v>72895105</v>
      </c>
    </row>
    <row r="9" spans="1:13" ht="20.100000000000001" customHeight="1" x14ac:dyDescent="0.25">
      <c r="A9" s="23" t="s">
        <v>1058</v>
      </c>
      <c r="B9" s="48">
        <f>data!D138</f>
        <v>1008</v>
      </c>
      <c r="C9" s="48">
        <f>data!D139</f>
        <v>2306</v>
      </c>
      <c r="D9" s="48">
        <f>data!D140</f>
        <v>0</v>
      </c>
      <c r="E9" s="48">
        <f>data!D141</f>
        <v>26835510</v>
      </c>
      <c r="F9" s="48">
        <f>data!D142</f>
        <v>53882535</v>
      </c>
      <c r="G9" s="48">
        <f>data!D141+data!D142</f>
        <v>80718045</v>
      </c>
    </row>
    <row r="10" spans="1:13" ht="20.100000000000001" customHeight="1" x14ac:dyDescent="0.25">
      <c r="A10" s="111" t="s">
        <v>203</v>
      </c>
      <c r="B10" s="48">
        <f>data!E138</f>
        <v>3172</v>
      </c>
      <c r="C10" s="48">
        <f>data!E139</f>
        <v>9391</v>
      </c>
      <c r="D10" s="48">
        <f>data!E140</f>
        <v>0</v>
      </c>
      <c r="E10" s="48">
        <f>data!E141</f>
        <v>93733181</v>
      </c>
      <c r="F10" s="48">
        <f>data!E142</f>
        <v>133610160</v>
      </c>
      <c r="G10" s="48">
        <f>data!E141+data!E142</f>
        <v>227343341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Samaritan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2627815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62378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517167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4547015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67024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2274988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63335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10159722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11074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922183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933257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385179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95679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480858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0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334497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334497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Samaritan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932777</v>
      </c>
      <c r="D7" s="21">
        <f>data!C195</f>
        <v>0</v>
      </c>
      <c r="E7" s="21">
        <f>data!D195</f>
        <v>0</v>
      </c>
      <c r="F7" s="21">
        <f>data!E195</f>
        <v>932777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555844</v>
      </c>
      <c r="D8" s="21">
        <f>data!C196</f>
        <v>0</v>
      </c>
      <c r="E8" s="21">
        <f>data!D196</f>
        <v>0</v>
      </c>
      <c r="F8" s="21">
        <f>data!E196</f>
        <v>555844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49806913</v>
      </c>
      <c r="D9" s="21">
        <f>data!C197</f>
        <v>1683009.59</v>
      </c>
      <c r="E9" s="21">
        <f>data!D197</f>
        <v>0</v>
      </c>
      <c r="F9" s="21">
        <f>data!E197</f>
        <v>51489922.590000004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3911856</v>
      </c>
      <c r="D10" s="21">
        <f>data!C198</f>
        <v>96395</v>
      </c>
      <c r="E10" s="21">
        <f>data!D198</f>
        <v>0</v>
      </c>
      <c r="F10" s="21">
        <f>data!E198</f>
        <v>4008251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30228148</v>
      </c>
      <c r="D12" s="21">
        <f>data!C200</f>
        <v>3206273</v>
      </c>
      <c r="E12" s="21">
        <f>data!D200</f>
        <v>1757604</v>
      </c>
      <c r="F12" s="21">
        <f>data!E200</f>
        <v>31676817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954572</v>
      </c>
      <c r="D15" s="21">
        <f>data!C203</f>
        <v>1846378</v>
      </c>
      <c r="E15" s="21">
        <f>data!D203</f>
        <v>0</v>
      </c>
      <c r="F15" s="21">
        <f>data!E203</f>
        <v>2800950</v>
      </c>
      <c r="M15" s="272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86390110</v>
      </c>
      <c r="D16" s="21">
        <f>data!C204</f>
        <v>6832055.5899999999</v>
      </c>
      <c r="E16" s="21">
        <f>data!D204</f>
        <v>1757604</v>
      </c>
      <c r="F16" s="21">
        <f>data!E204</f>
        <v>91464561.590000004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251100</v>
      </c>
      <c r="D24" s="21">
        <f>data!C209</f>
        <v>54236</v>
      </c>
      <c r="E24" s="21">
        <f>data!D209</f>
        <v>0</v>
      </c>
      <c r="F24" s="21">
        <f>data!E209</f>
        <v>305336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33702159</v>
      </c>
      <c r="D25" s="21">
        <f>data!C210</f>
        <v>1744520</v>
      </c>
      <c r="E25" s="21">
        <f>data!D210</f>
        <v>0</v>
      </c>
      <c r="F25" s="21">
        <f>data!E210</f>
        <v>35446679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1317860</v>
      </c>
      <c r="D26" s="21">
        <f>data!C211</f>
        <v>320942</v>
      </c>
      <c r="E26" s="21">
        <f>data!D211</f>
        <v>0</v>
      </c>
      <c r="F26" s="21">
        <f>data!E211</f>
        <v>1638802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21453710</v>
      </c>
      <c r="D28" s="21">
        <f>data!C213</f>
        <v>2481928</v>
      </c>
      <c r="E28" s="21">
        <f>data!D213</f>
        <v>1630839</v>
      </c>
      <c r="F28" s="21">
        <f>data!E213</f>
        <v>22304799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56724829</v>
      </c>
      <c r="D32" s="21">
        <f>data!C217</f>
        <v>4601626</v>
      </c>
      <c r="E32" s="21">
        <f>data!D217</f>
        <v>1630839</v>
      </c>
      <c r="F32" s="21">
        <f>data!E217</f>
        <v>59695616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Samaritan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3217157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53564850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5110062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3189650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656484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253381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62774427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72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3319907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3319907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8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84952225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154263716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Samaritan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16648158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35285842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23327763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15145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1695403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1136309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72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31453094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34641342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262419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34903761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932777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555844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51489923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4008251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31676817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2800950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91464562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59695616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31768946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27818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27818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98153619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Samaritan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2383540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4932388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7118597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12240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14446765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156178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156178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-41923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6397362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576000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6931439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6931439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76619237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76619237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98153619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Samaritan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93733177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146906537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240639714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7" t="s">
        <v>450</v>
      </c>
      <c r="C115" s="48">
        <f>data!C363</f>
        <v>3217157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62774427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3319907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84952225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154263716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86375998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3135605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3135605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89511603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40529633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10159718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5578916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12160481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637205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7228137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4601626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933257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480858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0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334497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2742612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85386940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4124663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2746267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6870930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6870930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Samaritan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7220</v>
      </c>
      <c r="F9" s="14">
        <f>data!F59</f>
        <v>1917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40.44</v>
      </c>
      <c r="F10" s="26">
        <f>data!F60</f>
        <v>30.3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4471903</v>
      </c>
      <c r="F11" s="14">
        <f>data!F61</f>
        <v>3153485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1120989</v>
      </c>
      <c r="F12" s="14">
        <f>data!F62</f>
        <v>790496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547732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539229</v>
      </c>
      <c r="F14" s="14">
        <f>data!F64</f>
        <v>59664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1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19895</v>
      </c>
      <c r="F16" s="14">
        <f>data!F66</f>
        <v>49858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400419</v>
      </c>
      <c r="F17" s="14">
        <f>data!F67</f>
        <v>253695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20842</v>
      </c>
      <c r="F18" s="14">
        <f>data!F68</f>
        <v>-2535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2389</v>
      </c>
      <c r="F19" s="14">
        <f>data!F69</f>
        <v>15023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7123398</v>
      </c>
      <c r="F21" s="14">
        <f>data!F71</f>
        <v>4319686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3941724</v>
      </c>
      <c r="F23" s="48">
        <f>+data!M671</f>
        <v>1682683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16129705</v>
      </c>
      <c r="F24" s="14">
        <f>data!F73</f>
        <v>4563299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1864056</v>
      </c>
      <c r="F25" s="14">
        <f>data!F74</f>
        <v>108320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17993761</v>
      </c>
      <c r="F26" s="14">
        <f>data!F75</f>
        <v>4671619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20558</v>
      </c>
      <c r="F28" s="14">
        <f>data!F76</f>
        <v>13025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20943</v>
      </c>
      <c r="F29" s="14">
        <f>data!F77</f>
        <v>5946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20185</v>
      </c>
      <c r="F30" s="14">
        <f>data!F78</f>
        <v>12789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101591</v>
      </c>
      <c r="F31" s="14">
        <f>data!F79</f>
        <v>74936.27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38.42</v>
      </c>
      <c r="F32" s="84">
        <f>data!F80</f>
        <v>23.53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Samaritan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113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1046</v>
      </c>
      <c r="I41" s="14">
        <f>data!P59</f>
        <v>257353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13.22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1276375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319954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18625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179140</v>
      </c>
      <c r="I46" s="14">
        <f>data!P64</f>
        <v>1416596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123</v>
      </c>
      <c r="I48" s="14">
        <f>data!P66</f>
        <v>113955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196528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134211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369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179263</v>
      </c>
      <c r="I53" s="14">
        <f>data!P71</f>
        <v>3476613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155203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3023</v>
      </c>
      <c r="H55" s="48">
        <f>+data!M680</f>
        <v>652044</v>
      </c>
      <c r="I55" s="48">
        <f>+data!M681</f>
        <v>2465882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3453767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13681796</v>
      </c>
      <c r="I56" s="14">
        <f>data!P73</f>
        <v>12138013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15691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276184</v>
      </c>
      <c r="I57" s="14">
        <f>data!P74</f>
        <v>27276284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3469458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13957980</v>
      </c>
      <c r="I58" s="14">
        <f>data!P75</f>
        <v>39414297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10090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9907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3418</v>
      </c>
      <c r="H63" s="14">
        <f>data!O79</f>
        <v>0</v>
      </c>
      <c r="I63" s="14">
        <f>data!P79</f>
        <v>28887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5.35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Samaritan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125775</v>
      </c>
      <c r="D73" s="48">
        <f>data!R59</f>
        <v>256944</v>
      </c>
      <c r="E73" s="212"/>
      <c r="F73" s="212"/>
      <c r="G73" s="14">
        <f>data!U59</f>
        <v>464460</v>
      </c>
      <c r="H73" s="14">
        <f>data!V59</f>
        <v>670</v>
      </c>
      <c r="I73" s="14">
        <f>data!W59</f>
        <v>9957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2.8</v>
      </c>
      <c r="D74" s="26">
        <f>data!R60</f>
        <v>7.09</v>
      </c>
      <c r="E74" s="26">
        <f>data!S60</f>
        <v>3.81</v>
      </c>
      <c r="F74" s="26">
        <f>data!T60</f>
        <v>0</v>
      </c>
      <c r="G74" s="26">
        <f>data!U60</f>
        <v>20.010000000000002</v>
      </c>
      <c r="H74" s="26">
        <f>data!V60</f>
        <v>0</v>
      </c>
      <c r="I74" s="26">
        <f>data!W60</f>
        <v>0.99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416322</v>
      </c>
      <c r="D75" s="14">
        <f>data!R61</f>
        <v>2068999</v>
      </c>
      <c r="E75" s="14">
        <f>data!S61</f>
        <v>295030</v>
      </c>
      <c r="F75" s="14">
        <f>data!T61</f>
        <v>0</v>
      </c>
      <c r="G75" s="14">
        <f>data!U61</f>
        <v>1714526</v>
      </c>
      <c r="H75" s="14">
        <f>data!V61</f>
        <v>0</v>
      </c>
      <c r="I75" s="14">
        <f>data!W61</f>
        <v>104145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104361</v>
      </c>
      <c r="D76" s="14">
        <f>data!R62</f>
        <v>518644</v>
      </c>
      <c r="E76" s="14">
        <f>data!S62</f>
        <v>73956</v>
      </c>
      <c r="F76" s="14">
        <f>data!T62</f>
        <v>0</v>
      </c>
      <c r="G76" s="14">
        <f>data!U62</f>
        <v>429787</v>
      </c>
      <c r="H76" s="14">
        <f>data!V62</f>
        <v>0</v>
      </c>
      <c r="I76" s="14">
        <f>data!W62</f>
        <v>26106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271542</v>
      </c>
      <c r="D77" s="14">
        <f>data!R63</f>
        <v>149352</v>
      </c>
      <c r="E77" s="14">
        <f>data!S63</f>
        <v>0</v>
      </c>
      <c r="F77" s="14">
        <f>data!T63</f>
        <v>0</v>
      </c>
      <c r="G77" s="14">
        <f>data!U63</f>
        <v>11275</v>
      </c>
      <c r="H77" s="14">
        <f>data!V63</f>
        <v>0</v>
      </c>
      <c r="I77" s="14">
        <f>data!W63</f>
        <v>504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48322</v>
      </c>
      <c r="D78" s="14">
        <f>data!R64</f>
        <v>219324</v>
      </c>
      <c r="E78" s="14">
        <f>data!S64</f>
        <v>3382420</v>
      </c>
      <c r="F78" s="14">
        <f>data!T64</f>
        <v>0</v>
      </c>
      <c r="G78" s="14">
        <f>data!U64</f>
        <v>811761</v>
      </c>
      <c r="H78" s="14">
        <f>data!V64</f>
        <v>4309</v>
      </c>
      <c r="I78" s="14">
        <f>data!W64</f>
        <v>8210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362</v>
      </c>
      <c r="D80" s="14">
        <f>data!R66</f>
        <v>25000</v>
      </c>
      <c r="E80" s="14">
        <f>data!S66</f>
        <v>84760</v>
      </c>
      <c r="F80" s="14">
        <f>data!T66</f>
        <v>0</v>
      </c>
      <c r="G80" s="14">
        <f>data!U66</f>
        <v>452934</v>
      </c>
      <c r="H80" s="14">
        <f>data!V66</f>
        <v>23289</v>
      </c>
      <c r="I80" s="14">
        <f>data!W66</f>
        <v>140199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27931</v>
      </c>
      <c r="D81" s="14">
        <f>data!R67</f>
        <v>3720</v>
      </c>
      <c r="E81" s="14">
        <f>data!S67</f>
        <v>27191</v>
      </c>
      <c r="F81" s="14">
        <f>data!T67</f>
        <v>0</v>
      </c>
      <c r="G81" s="14">
        <f>data!U67</f>
        <v>65035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-603</v>
      </c>
      <c r="D82" s="14">
        <f>data!R68</f>
        <v>0</v>
      </c>
      <c r="E82" s="14">
        <f>data!S68</f>
        <v>72842</v>
      </c>
      <c r="F82" s="14">
        <f>data!T68</f>
        <v>0</v>
      </c>
      <c r="G82" s="14">
        <f>data!U68</f>
        <v>65265</v>
      </c>
      <c r="H82" s="14">
        <f>data!V68</f>
        <v>0</v>
      </c>
      <c r="I82" s="14">
        <f>data!W68</f>
        <v>352572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369</v>
      </c>
      <c r="D83" s="14">
        <f>data!R69</f>
        <v>23373</v>
      </c>
      <c r="E83" s="14">
        <f>data!S69</f>
        <v>4240</v>
      </c>
      <c r="F83" s="14">
        <f>data!T69</f>
        <v>0</v>
      </c>
      <c r="G83" s="14">
        <f>data!U69</f>
        <v>4453</v>
      </c>
      <c r="H83" s="14">
        <f>data!V69</f>
        <v>0</v>
      </c>
      <c r="I83" s="14">
        <f>data!W69</f>
        <v>2316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868606</v>
      </c>
      <c r="D85" s="14">
        <f>data!R71</f>
        <v>3008412</v>
      </c>
      <c r="E85" s="14">
        <f>data!S71</f>
        <v>3940439</v>
      </c>
      <c r="F85" s="14">
        <f>data!T71</f>
        <v>0</v>
      </c>
      <c r="G85" s="14">
        <f>data!U71</f>
        <v>3555036</v>
      </c>
      <c r="H85" s="14">
        <f>data!V71</f>
        <v>27598</v>
      </c>
      <c r="I85" s="14">
        <f>data!W71</f>
        <v>634052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448821</v>
      </c>
      <c r="D87" s="48">
        <f>+data!M683</f>
        <v>1215741</v>
      </c>
      <c r="E87" s="48">
        <f>+data!M684</f>
        <v>1082803</v>
      </c>
      <c r="F87" s="48">
        <f>+data!M685</f>
        <v>2555</v>
      </c>
      <c r="G87" s="48">
        <f>+data!M686</f>
        <v>1125027</v>
      </c>
      <c r="H87" s="48">
        <f>+data!M687</f>
        <v>9116</v>
      </c>
      <c r="I87" s="48">
        <f>+data!M688</f>
        <v>155751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2041098</v>
      </c>
      <c r="D88" s="14">
        <f>data!R73</f>
        <v>8723840</v>
      </c>
      <c r="E88" s="14">
        <f>data!S73</f>
        <v>6366821</v>
      </c>
      <c r="F88" s="14">
        <f>data!T73</f>
        <v>20204</v>
      </c>
      <c r="G88" s="14">
        <f>data!U73</f>
        <v>5828211</v>
      </c>
      <c r="H88" s="14">
        <f>data!V73</f>
        <v>54211</v>
      </c>
      <c r="I88" s="14">
        <f>data!W73</f>
        <v>322793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4523611</v>
      </c>
      <c r="D89" s="14">
        <f>data!R74</f>
        <v>9558881</v>
      </c>
      <c r="E89" s="14">
        <f>data!S74</f>
        <v>4285912</v>
      </c>
      <c r="F89" s="14">
        <f>data!T74</f>
        <v>36912</v>
      </c>
      <c r="G89" s="14">
        <f>data!U74</f>
        <v>8549426</v>
      </c>
      <c r="H89" s="14">
        <f>data!V74</f>
        <v>91450</v>
      </c>
      <c r="I89" s="14">
        <f>data!W74</f>
        <v>1887104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6564709</v>
      </c>
      <c r="D90" s="14">
        <f>data!R75</f>
        <v>18282721</v>
      </c>
      <c r="E90" s="14">
        <f>data!S75</f>
        <v>10652733</v>
      </c>
      <c r="F90" s="14">
        <f>data!T75</f>
        <v>57116</v>
      </c>
      <c r="G90" s="14">
        <f>data!U75</f>
        <v>14377637</v>
      </c>
      <c r="H90" s="14">
        <f>data!V75</f>
        <v>145661</v>
      </c>
      <c r="I90" s="14">
        <f>data!W75</f>
        <v>2209897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1434</v>
      </c>
      <c r="D92" s="14">
        <f>data!R76</f>
        <v>191</v>
      </c>
      <c r="E92" s="14">
        <f>data!S76</f>
        <v>1396</v>
      </c>
      <c r="F92" s="14">
        <f>data!T76</f>
        <v>0</v>
      </c>
      <c r="G92" s="14">
        <f>data!U76</f>
        <v>3339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1408</v>
      </c>
      <c r="D94" s="14">
        <f>data!R78</f>
        <v>188</v>
      </c>
      <c r="E94" s="14">
        <f>data!S78</f>
        <v>1370</v>
      </c>
      <c r="F94" s="14">
        <f>data!T78</f>
        <v>0</v>
      </c>
      <c r="G94" s="14">
        <f>data!U78</f>
        <v>3278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6636</v>
      </c>
      <c r="D95" s="14">
        <f>data!R79</f>
        <v>0</v>
      </c>
      <c r="E95" s="14">
        <f>data!S79</f>
        <v>1258</v>
      </c>
      <c r="F95" s="14">
        <f>data!T79</f>
        <v>0</v>
      </c>
      <c r="G95" s="14">
        <f>data!U79</f>
        <v>478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2.94</v>
      </c>
      <c r="D96" s="84">
        <f>data!R80</f>
        <v>7.64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Samaritan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6233</v>
      </c>
      <c r="D105" s="14">
        <f>data!Y59</f>
        <v>29081</v>
      </c>
      <c r="E105" s="14">
        <f>data!Z59</f>
        <v>0</v>
      </c>
      <c r="F105" s="14">
        <f>data!AA59</f>
        <v>667</v>
      </c>
      <c r="G105" s="212"/>
      <c r="H105" s="14">
        <f>data!AC59</f>
        <v>14415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1.73</v>
      </c>
      <c r="D106" s="26">
        <f>data!Y60</f>
        <v>16.61</v>
      </c>
      <c r="E106" s="26">
        <f>data!Z60</f>
        <v>0</v>
      </c>
      <c r="F106" s="26">
        <f>data!AA60</f>
        <v>0.57999999999999996</v>
      </c>
      <c r="G106" s="26">
        <f>data!AB60</f>
        <v>8.42</v>
      </c>
      <c r="H106" s="26">
        <f>data!AC60</f>
        <v>5.35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145866</v>
      </c>
      <c r="D107" s="14">
        <f>data!Y61</f>
        <v>1892741</v>
      </c>
      <c r="E107" s="14">
        <f>data!Z61</f>
        <v>0</v>
      </c>
      <c r="F107" s="14">
        <f>data!AA61</f>
        <v>85713</v>
      </c>
      <c r="G107" s="14">
        <f>data!AB61</f>
        <v>1047846</v>
      </c>
      <c r="H107" s="14">
        <f>data!AC61</f>
        <v>476784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36565</v>
      </c>
      <c r="D108" s="14">
        <f>data!Y62</f>
        <v>474461</v>
      </c>
      <c r="E108" s="14">
        <f>data!Z62</f>
        <v>0</v>
      </c>
      <c r="F108" s="14">
        <f>data!AA62</f>
        <v>21486</v>
      </c>
      <c r="G108" s="14">
        <f>data!AB62</f>
        <v>262668</v>
      </c>
      <c r="H108" s="14">
        <f>data!AC62</f>
        <v>119517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57164</v>
      </c>
      <c r="E109" s="14">
        <f>data!Z63</f>
        <v>0</v>
      </c>
      <c r="F109" s="14">
        <f>data!AA63</f>
        <v>3719</v>
      </c>
      <c r="G109" s="14">
        <f>data!AB63</f>
        <v>108638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79358</v>
      </c>
      <c r="D110" s="14">
        <f>data!Y64</f>
        <v>94710</v>
      </c>
      <c r="E110" s="14">
        <f>data!Z64</f>
        <v>0</v>
      </c>
      <c r="F110" s="14">
        <f>data!AA64</f>
        <v>131312</v>
      </c>
      <c r="G110" s="14">
        <f>data!AB64</f>
        <v>2982121</v>
      </c>
      <c r="H110" s="14">
        <f>data!AC64</f>
        <v>39632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128428</v>
      </c>
      <c r="D112" s="14">
        <f>data!Y66</f>
        <v>535625</v>
      </c>
      <c r="E112" s="14">
        <f>data!Z66</f>
        <v>0</v>
      </c>
      <c r="F112" s="14">
        <f>data!AA66</f>
        <v>23889</v>
      </c>
      <c r="G112" s="14">
        <f>data!AB66</f>
        <v>108825</v>
      </c>
      <c r="H112" s="14">
        <f>data!AC66</f>
        <v>3567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133032</v>
      </c>
      <c r="E113" s="14">
        <f>data!Z67</f>
        <v>0</v>
      </c>
      <c r="F113" s="14">
        <f>data!AA67</f>
        <v>0</v>
      </c>
      <c r="G113" s="14">
        <f>data!AB67</f>
        <v>33034</v>
      </c>
      <c r="H113" s="14">
        <f>data!AC67</f>
        <v>16575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183825</v>
      </c>
      <c r="H114" s="14">
        <f>data!AC68</f>
        <v>2681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7589</v>
      </c>
      <c r="E115" s="14">
        <f>data!Z69</f>
        <v>0</v>
      </c>
      <c r="F115" s="14">
        <f>data!AA69</f>
        <v>6608</v>
      </c>
      <c r="G115" s="14">
        <f>data!AB69</f>
        <v>6786</v>
      </c>
      <c r="H115" s="14">
        <f>data!AC69</f>
        <v>3128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390217</v>
      </c>
      <c r="D117" s="14">
        <f>data!Y71</f>
        <v>3195322</v>
      </c>
      <c r="E117" s="14">
        <f>data!Z71</f>
        <v>0</v>
      </c>
      <c r="F117" s="14">
        <f>data!AA71</f>
        <v>272727</v>
      </c>
      <c r="G117" s="14">
        <f>data!AB71</f>
        <v>4733743</v>
      </c>
      <c r="H117" s="14">
        <f>data!AC71</f>
        <v>661884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821668</v>
      </c>
      <c r="D119" s="48">
        <f>+data!M690</f>
        <v>1124161</v>
      </c>
      <c r="E119" s="48">
        <f>+data!M691</f>
        <v>0</v>
      </c>
      <c r="F119" s="48">
        <f>+data!M692</f>
        <v>54202</v>
      </c>
      <c r="G119" s="48">
        <f>+data!M693</f>
        <v>1327556</v>
      </c>
      <c r="H119" s="48">
        <f>+data!M694</f>
        <v>202255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3474197</v>
      </c>
      <c r="D120" s="14">
        <f>data!Y73</f>
        <v>1902881</v>
      </c>
      <c r="E120" s="14">
        <f>data!Z73</f>
        <v>0</v>
      </c>
      <c r="F120" s="14">
        <f>data!AA73</f>
        <v>84716</v>
      </c>
      <c r="G120" s="14">
        <f>data!AB73</f>
        <v>7021359</v>
      </c>
      <c r="H120" s="14">
        <f>data!AC73</f>
        <v>2084914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13687296</v>
      </c>
      <c r="D121" s="14">
        <f>data!Y74</f>
        <v>12845483</v>
      </c>
      <c r="E121" s="14">
        <f>data!Z74</f>
        <v>0</v>
      </c>
      <c r="F121" s="14">
        <f>data!AA74</f>
        <v>350338</v>
      </c>
      <c r="G121" s="14">
        <f>data!AB74</f>
        <v>7803439</v>
      </c>
      <c r="H121" s="14">
        <f>data!AC74</f>
        <v>392633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17161493</v>
      </c>
      <c r="D122" s="14">
        <f>data!Y75</f>
        <v>14748364</v>
      </c>
      <c r="E122" s="14">
        <f>data!Z75</f>
        <v>0</v>
      </c>
      <c r="F122" s="14">
        <f>data!AA75</f>
        <v>435054</v>
      </c>
      <c r="G122" s="14">
        <f>data!AB75</f>
        <v>14824798</v>
      </c>
      <c r="H122" s="14">
        <f>data!AC75</f>
        <v>2477547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6830</v>
      </c>
      <c r="E124" s="14">
        <f>data!Z76</f>
        <v>0</v>
      </c>
      <c r="F124" s="14">
        <f>data!AA76</f>
        <v>0</v>
      </c>
      <c r="G124" s="14">
        <f>data!AB76</f>
        <v>1696</v>
      </c>
      <c r="H124" s="14">
        <f>data!AC76</f>
        <v>851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6706</v>
      </c>
      <c r="E126" s="14">
        <f>data!Z78</f>
        <v>0</v>
      </c>
      <c r="F126" s="14">
        <f>data!AA78</f>
        <v>0</v>
      </c>
      <c r="G126" s="14">
        <f>data!AB78</f>
        <v>1665</v>
      </c>
      <c r="H126" s="14">
        <f>data!AC78</f>
        <v>836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10827</v>
      </c>
      <c r="D127" s="14">
        <f>data!Y79</f>
        <v>20943</v>
      </c>
      <c r="E127" s="14">
        <f>data!Z79</f>
        <v>0</v>
      </c>
      <c r="F127" s="14">
        <f>data!AA79</f>
        <v>695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Samaritan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14566</v>
      </c>
      <c r="D137" s="14">
        <f>data!AF59</f>
        <v>0</v>
      </c>
      <c r="E137" s="14">
        <f>data!AG59</f>
        <v>20482</v>
      </c>
      <c r="F137" s="14">
        <f>data!AH59</f>
        <v>0</v>
      </c>
      <c r="G137" s="14">
        <f>data!AI59</f>
        <v>5300</v>
      </c>
      <c r="H137" s="14">
        <f>data!AJ59</f>
        <v>53099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4.7300000000000004</v>
      </c>
      <c r="D138" s="26">
        <f>data!AF60</f>
        <v>0</v>
      </c>
      <c r="E138" s="26">
        <f>data!AG60</f>
        <v>23.11</v>
      </c>
      <c r="F138" s="26">
        <f>data!AH60</f>
        <v>0</v>
      </c>
      <c r="G138" s="26">
        <f>data!AI60</f>
        <v>6.69</v>
      </c>
      <c r="H138" s="26">
        <f>data!AJ60</f>
        <v>65.650000000000006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506380</v>
      </c>
      <c r="D139" s="14">
        <f>data!AF61</f>
        <v>0</v>
      </c>
      <c r="E139" s="14">
        <f>data!AG61</f>
        <v>2977327</v>
      </c>
      <c r="F139" s="14">
        <f>data!AH61</f>
        <v>0</v>
      </c>
      <c r="G139" s="14">
        <f>data!AI61</f>
        <v>826954</v>
      </c>
      <c r="H139" s="14">
        <f>data!AJ61</f>
        <v>6969214</v>
      </c>
      <c r="I139" s="14">
        <f>data!AK61</f>
        <v>97667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126936</v>
      </c>
      <c r="D140" s="14">
        <f>data!AF62</f>
        <v>0</v>
      </c>
      <c r="E140" s="14">
        <f>data!AG62</f>
        <v>746338</v>
      </c>
      <c r="F140" s="14">
        <f>data!AH62</f>
        <v>0</v>
      </c>
      <c r="G140" s="14">
        <f>data!AI62</f>
        <v>207296</v>
      </c>
      <c r="H140" s="14">
        <f>data!AJ62</f>
        <v>1747000</v>
      </c>
      <c r="I140" s="14">
        <f>data!AK62</f>
        <v>24483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2244145</v>
      </c>
      <c r="F141" s="14">
        <f>data!AH63</f>
        <v>0</v>
      </c>
      <c r="G141" s="14">
        <f>data!AI63</f>
        <v>0</v>
      </c>
      <c r="H141" s="14">
        <f>data!AJ63</f>
        <v>907414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10408</v>
      </c>
      <c r="D142" s="14">
        <f>data!AF64</f>
        <v>0</v>
      </c>
      <c r="E142" s="14">
        <f>data!AG64</f>
        <v>255661</v>
      </c>
      <c r="F142" s="14">
        <f>data!AH64</f>
        <v>0</v>
      </c>
      <c r="G142" s="14">
        <f>data!AI64</f>
        <v>118141</v>
      </c>
      <c r="H142" s="14">
        <f>data!AJ64</f>
        <v>592787</v>
      </c>
      <c r="I142" s="14">
        <f>data!AK64</f>
        <v>1693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5286</v>
      </c>
      <c r="D144" s="14">
        <f>data!AF66</f>
        <v>0</v>
      </c>
      <c r="E144" s="14">
        <f>data!AG66</f>
        <v>17057</v>
      </c>
      <c r="F144" s="14">
        <f>data!AH66</f>
        <v>0</v>
      </c>
      <c r="G144" s="14">
        <f>data!AI66</f>
        <v>1952</v>
      </c>
      <c r="H144" s="14">
        <f>data!AJ66</f>
        <v>415589</v>
      </c>
      <c r="I144" s="14">
        <f>data!AK66</f>
        <v>266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40786</v>
      </c>
      <c r="D145" s="14">
        <f>data!AF67</f>
        <v>0</v>
      </c>
      <c r="E145" s="14">
        <f>data!AG67</f>
        <v>109464</v>
      </c>
      <c r="F145" s="14">
        <f>data!AH67</f>
        <v>0</v>
      </c>
      <c r="G145" s="14">
        <f>data!AI67</f>
        <v>77618</v>
      </c>
      <c r="H145" s="14">
        <f>data!AJ67</f>
        <v>1352423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-1778</v>
      </c>
      <c r="H146" s="14">
        <f>data!AJ68</f>
        <v>32891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7172</v>
      </c>
      <c r="D147" s="14">
        <f>data!AF69</f>
        <v>0</v>
      </c>
      <c r="E147" s="14">
        <f>data!AG69</f>
        <v>15444</v>
      </c>
      <c r="F147" s="14">
        <f>data!AH69</f>
        <v>0</v>
      </c>
      <c r="G147" s="14">
        <f>data!AI69</f>
        <v>2127</v>
      </c>
      <c r="H147" s="14">
        <f>data!AJ69</f>
        <v>97975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696968</v>
      </c>
      <c r="D149" s="14">
        <f>data!AF71</f>
        <v>0</v>
      </c>
      <c r="E149" s="14">
        <f>data!AG71</f>
        <v>6365436</v>
      </c>
      <c r="F149" s="14">
        <f>data!AH71</f>
        <v>0</v>
      </c>
      <c r="G149" s="14">
        <f>data!AI71</f>
        <v>1232310</v>
      </c>
      <c r="H149" s="14">
        <f>data!AJ71</f>
        <v>12115293</v>
      </c>
      <c r="I149" s="14">
        <f>data!AK71</f>
        <v>124109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200052</v>
      </c>
      <c r="D151" s="48">
        <f>+data!M697</f>
        <v>0</v>
      </c>
      <c r="E151" s="48">
        <f>+data!M698</f>
        <v>2710931</v>
      </c>
      <c r="F151" s="48">
        <f>+data!M699</f>
        <v>0</v>
      </c>
      <c r="G151" s="48">
        <f>+data!M700</f>
        <v>716864</v>
      </c>
      <c r="H151" s="48">
        <f>+data!M701</f>
        <v>3131298</v>
      </c>
      <c r="I151" s="48">
        <f>+data!M702</f>
        <v>10436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846915</v>
      </c>
      <c r="D152" s="14">
        <f>data!AF73</f>
        <v>0</v>
      </c>
      <c r="E152" s="14">
        <f>data!AG73</f>
        <v>4944957</v>
      </c>
      <c r="F152" s="14">
        <f>data!AH73</f>
        <v>0</v>
      </c>
      <c r="G152" s="14">
        <f>data!AI73</f>
        <v>40869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1143469</v>
      </c>
      <c r="D153" s="14">
        <f>data!AF74</f>
        <v>0</v>
      </c>
      <c r="E153" s="14">
        <f>data!AG74</f>
        <v>29881586</v>
      </c>
      <c r="F153" s="14">
        <f>data!AH74</f>
        <v>0</v>
      </c>
      <c r="G153" s="14">
        <f>data!AI74</f>
        <v>8229081</v>
      </c>
      <c r="H153" s="14">
        <f>data!AJ74</f>
        <v>12285480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1990384</v>
      </c>
      <c r="D154" s="14">
        <f>data!AF75</f>
        <v>0</v>
      </c>
      <c r="E154" s="14">
        <f>data!AG75</f>
        <v>34826543</v>
      </c>
      <c r="F154" s="14">
        <f>data!AH75</f>
        <v>0</v>
      </c>
      <c r="G154" s="14">
        <f>data!AI75</f>
        <v>8269950</v>
      </c>
      <c r="H154" s="14">
        <f>data!AJ75</f>
        <v>12285480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2094</v>
      </c>
      <c r="D156" s="14">
        <f>data!AF76</f>
        <v>0</v>
      </c>
      <c r="E156" s="14">
        <f>data!AG76</f>
        <v>5620</v>
      </c>
      <c r="F156" s="14">
        <f>data!AH76</f>
        <v>0</v>
      </c>
      <c r="G156" s="14">
        <f>data!AI76</f>
        <v>3985</v>
      </c>
      <c r="H156" s="14">
        <f>data!AJ76</f>
        <v>69435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604</v>
      </c>
      <c r="F157" s="14">
        <f>data!AH77</f>
        <v>0</v>
      </c>
      <c r="G157" s="14">
        <f>data!AI77</f>
        <v>512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2056</v>
      </c>
      <c r="D158" s="14">
        <f>data!AF78</f>
        <v>0</v>
      </c>
      <c r="E158" s="14">
        <f>data!AG78</f>
        <v>5518</v>
      </c>
      <c r="F158" s="14">
        <f>data!AH78</f>
        <v>0</v>
      </c>
      <c r="G158" s="14">
        <f>data!AI78</f>
        <v>3912</v>
      </c>
      <c r="H158" s="14">
        <f>data!AJ78</f>
        <v>68174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512</v>
      </c>
      <c r="D159" s="14">
        <f>data!AF79</f>
        <v>0</v>
      </c>
      <c r="E159" s="14">
        <f>data!AG79</f>
        <v>102617</v>
      </c>
      <c r="F159" s="14">
        <f>data!AH79</f>
        <v>0</v>
      </c>
      <c r="G159" s="14">
        <f>data!AI79</f>
        <v>18003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21.99</v>
      </c>
      <c r="F160" s="26">
        <f>data!AH80</f>
        <v>0</v>
      </c>
      <c r="G160" s="26">
        <f>data!AI80</f>
        <v>7.06</v>
      </c>
      <c r="H160" s="26">
        <f>data!AJ80</f>
        <v>10.69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Samaritan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199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4719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7.0000000000000007E-2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5.14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8722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630360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2186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158015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1813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44261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24299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1322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10798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10908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870868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1914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163151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8612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8209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1011222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16821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1011222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1.75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Samaritan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28005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1.84</v>
      </c>
      <c r="G202" s="26">
        <f>data!AW60</f>
        <v>0</v>
      </c>
      <c r="H202" s="26">
        <f>data!AX60</f>
        <v>0</v>
      </c>
      <c r="I202" s="26">
        <f>data!AY60</f>
        <v>16.12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102488</v>
      </c>
      <c r="G203" s="14">
        <f>data!AW61</f>
        <v>0</v>
      </c>
      <c r="H203" s="14">
        <f>data!AX61</f>
        <v>0</v>
      </c>
      <c r="I203" s="14">
        <f>data!AY61</f>
        <v>802118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25691</v>
      </c>
      <c r="G204" s="14">
        <f>data!AW62</f>
        <v>0</v>
      </c>
      <c r="H204" s="14">
        <f>data!AX62</f>
        <v>0</v>
      </c>
      <c r="I204" s="14">
        <f>data!AY62</f>
        <v>201070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17985</v>
      </c>
      <c r="G205" s="14">
        <f>data!AW63</f>
        <v>0</v>
      </c>
      <c r="H205" s="14">
        <f>data!AX63</f>
        <v>0</v>
      </c>
      <c r="I205" s="14">
        <f>data!AY63</f>
        <v>3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5443</v>
      </c>
      <c r="G206" s="14">
        <f>data!AW64</f>
        <v>0</v>
      </c>
      <c r="H206" s="14">
        <f>data!AX64</f>
        <v>0</v>
      </c>
      <c r="I206" s="14">
        <f>data!AY64</f>
        <v>491965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13494</v>
      </c>
      <c r="G208" s="14">
        <f>data!AW66</f>
        <v>0</v>
      </c>
      <c r="H208" s="14">
        <f>data!AX66</f>
        <v>33</v>
      </c>
      <c r="I208" s="14">
        <f>data!AY66</f>
        <v>28253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147484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6138</v>
      </c>
      <c r="G211" s="14">
        <f>data!AW69</f>
        <v>0</v>
      </c>
      <c r="H211" s="14">
        <f>data!AX69</f>
        <v>0</v>
      </c>
      <c r="I211" s="14">
        <f>data!AY69</f>
        <v>2443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171239</v>
      </c>
      <c r="G213" s="14">
        <f>data!AW71</f>
        <v>0</v>
      </c>
      <c r="H213" s="14">
        <f>data!AX71</f>
        <v>33</v>
      </c>
      <c r="I213" s="14">
        <f>data!AY71</f>
        <v>1673336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57004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794471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794471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7572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0.01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Samaritan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28005</v>
      </c>
      <c r="D233" s="14">
        <f>data!BA59</f>
        <v>0</v>
      </c>
      <c r="E233" s="212"/>
      <c r="F233" s="212"/>
      <c r="G233" s="212"/>
      <c r="H233" s="14">
        <f>data!BE59</f>
        <v>236253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10.68</v>
      </c>
      <c r="F234" s="26">
        <f>data!BC60</f>
        <v>0</v>
      </c>
      <c r="G234" s="26">
        <f>data!BD60</f>
        <v>6.37</v>
      </c>
      <c r="H234" s="26">
        <f>data!BE60</f>
        <v>15.42</v>
      </c>
      <c r="I234" s="26">
        <f>data!BF60</f>
        <v>23.5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1190428</v>
      </c>
      <c r="F235" s="14">
        <f>data!BC61</f>
        <v>0</v>
      </c>
      <c r="G235" s="14">
        <f>data!BD61</f>
        <v>324784</v>
      </c>
      <c r="H235" s="14">
        <f>data!BE61</f>
        <v>1092461</v>
      </c>
      <c r="I235" s="14">
        <f>data!BF61</f>
        <v>1023361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298409</v>
      </c>
      <c r="F236" s="14">
        <f>data!BC62</f>
        <v>0</v>
      </c>
      <c r="G236" s="14">
        <f>data!BD62</f>
        <v>81415</v>
      </c>
      <c r="H236" s="14">
        <f>data!BE62</f>
        <v>273851</v>
      </c>
      <c r="I236" s="14">
        <f>data!BF62</f>
        <v>256530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558</v>
      </c>
      <c r="F237" s="14">
        <f>data!BC63</f>
        <v>0</v>
      </c>
      <c r="G237" s="14">
        <f>data!BD63</f>
        <v>0</v>
      </c>
      <c r="H237" s="14">
        <f>data!BE63</f>
        <v>7712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418</v>
      </c>
      <c r="E238" s="14">
        <f>data!BB64</f>
        <v>1171</v>
      </c>
      <c r="F238" s="14">
        <f>data!BC64</f>
        <v>0</v>
      </c>
      <c r="G238" s="14">
        <f>data!BD64</f>
        <v>10468</v>
      </c>
      <c r="H238" s="14">
        <f>data!BE64</f>
        <v>38160</v>
      </c>
      <c r="I238" s="14">
        <f>data!BF64</f>
        <v>232749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492701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278893</v>
      </c>
      <c r="E240" s="14">
        <f>data!BB66</f>
        <v>158503</v>
      </c>
      <c r="F240" s="14">
        <f>data!BC66</f>
        <v>0</v>
      </c>
      <c r="G240" s="14">
        <f>data!BD66</f>
        <v>203998</v>
      </c>
      <c r="H240" s="14">
        <f>data!BE66</f>
        <v>802580</v>
      </c>
      <c r="I240" s="14">
        <f>data!BF66</f>
        <v>20570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13147</v>
      </c>
      <c r="E241" s="14">
        <f>data!BB67</f>
        <v>11706</v>
      </c>
      <c r="F241" s="14">
        <f>data!BC67</f>
        <v>0</v>
      </c>
      <c r="G241" s="14">
        <f>data!BD67</f>
        <v>94038</v>
      </c>
      <c r="H241" s="14">
        <f>data!BE67</f>
        <v>490172</v>
      </c>
      <c r="I241" s="14">
        <f>data!BF67</f>
        <v>68444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52161</v>
      </c>
      <c r="H242" s="14">
        <f>data!BE68</f>
        <v>14992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8867</v>
      </c>
      <c r="F243" s="14">
        <f>data!BC69</f>
        <v>0</v>
      </c>
      <c r="G243" s="14">
        <f>data!BD69</f>
        <v>1775</v>
      </c>
      <c r="H243" s="14">
        <f>data!BE69</f>
        <v>13462</v>
      </c>
      <c r="I243" s="14">
        <f>data!BF69</f>
        <v>1490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292458</v>
      </c>
      <c r="E245" s="14">
        <f>data!BB71</f>
        <v>1669642</v>
      </c>
      <c r="F245" s="14">
        <f>data!BC71</f>
        <v>0</v>
      </c>
      <c r="G245" s="14">
        <f>data!BD71</f>
        <v>768639</v>
      </c>
      <c r="H245" s="14">
        <f>data!BE71</f>
        <v>3226091</v>
      </c>
      <c r="I245" s="14">
        <f>data!BF71</f>
        <v>1603144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675</v>
      </c>
      <c r="E252" s="85">
        <f>data!BB76</f>
        <v>601</v>
      </c>
      <c r="F252" s="85">
        <f>data!BC76</f>
        <v>0</v>
      </c>
      <c r="G252" s="85">
        <f>data!BD76</f>
        <v>4828</v>
      </c>
      <c r="H252" s="85">
        <f>data!BE76</f>
        <v>25166</v>
      </c>
      <c r="I252" s="85">
        <f>data!BF76</f>
        <v>3514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662</v>
      </c>
      <c r="E254" s="85">
        <f>data!BB78</f>
        <v>590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Samaritan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6.95</v>
      </c>
      <c r="E266" s="26">
        <f>data!BI60</f>
        <v>0</v>
      </c>
      <c r="F266" s="26">
        <f>data!BJ60</f>
        <v>4.51</v>
      </c>
      <c r="G266" s="26">
        <f>data!BK60</f>
        <v>13.77</v>
      </c>
      <c r="H266" s="26">
        <f>data!BL60</f>
        <v>15.44</v>
      </c>
      <c r="I266" s="26">
        <f>data!BM60</f>
        <v>0.9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706557</v>
      </c>
      <c r="E267" s="14">
        <f>data!BI61</f>
        <v>0</v>
      </c>
      <c r="F267" s="14">
        <f>data!BJ61</f>
        <v>379397</v>
      </c>
      <c r="G267" s="14">
        <f>data!BK61</f>
        <v>661991</v>
      </c>
      <c r="H267" s="14">
        <f>data!BL61</f>
        <v>690249</v>
      </c>
      <c r="I267" s="14">
        <f>data!BM61</f>
        <v>141006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177115</v>
      </c>
      <c r="E268" s="14">
        <f>data!BI62</f>
        <v>0</v>
      </c>
      <c r="F268" s="14">
        <f>data!BJ62</f>
        <v>95105</v>
      </c>
      <c r="G268" s="14">
        <f>data!BK62</f>
        <v>165944</v>
      </c>
      <c r="H268" s="14">
        <f>data!BL62</f>
        <v>173027</v>
      </c>
      <c r="I268" s="14">
        <f>data!BM62</f>
        <v>35347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12102</v>
      </c>
      <c r="E269" s="14">
        <f>data!BI63</f>
        <v>0</v>
      </c>
      <c r="F269" s="14">
        <f>data!BJ63</f>
        <v>67437</v>
      </c>
      <c r="G269" s="14">
        <f>data!BK63</f>
        <v>449127</v>
      </c>
      <c r="H269" s="14">
        <f>data!BL63</f>
        <v>0</v>
      </c>
      <c r="I269" s="14">
        <f>data!BM63</f>
        <v>60137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9330</v>
      </c>
      <c r="E270" s="14">
        <f>data!BI64</f>
        <v>0</v>
      </c>
      <c r="F270" s="14">
        <f>data!BJ64</f>
        <v>8608</v>
      </c>
      <c r="G270" s="14">
        <f>data!BK64</f>
        <v>24450</v>
      </c>
      <c r="H270" s="14">
        <f>data!BL64</f>
        <v>15848</v>
      </c>
      <c r="I270" s="14">
        <f>data!BM64</f>
        <v>-874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144504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1972997</v>
      </c>
      <c r="E272" s="14">
        <f>data!BI66</f>
        <v>0</v>
      </c>
      <c r="F272" s="14">
        <f>data!BJ66</f>
        <v>203143</v>
      </c>
      <c r="G272" s="14">
        <f>data!BK66</f>
        <v>309943</v>
      </c>
      <c r="H272" s="14">
        <f>data!BL66</f>
        <v>5156</v>
      </c>
      <c r="I272" s="14">
        <f>data!BM66</f>
        <v>13167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71093</v>
      </c>
      <c r="E273" s="14">
        <f>data!BI67</f>
        <v>0</v>
      </c>
      <c r="F273" s="14">
        <f>data!BJ67</f>
        <v>29080</v>
      </c>
      <c r="G273" s="14">
        <f>data!BK67</f>
        <v>37358</v>
      </c>
      <c r="H273" s="14">
        <f>data!BL67</f>
        <v>26548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4236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122</v>
      </c>
      <c r="E275" s="14">
        <f>data!BI69</f>
        <v>0</v>
      </c>
      <c r="F275" s="14">
        <f>data!BJ69</f>
        <v>3703</v>
      </c>
      <c r="G275" s="14">
        <f>data!BK69</f>
        <v>65320</v>
      </c>
      <c r="H275" s="14">
        <f>data!BL69</f>
        <v>704</v>
      </c>
      <c r="I275" s="14">
        <f>data!BM69</f>
        <v>37466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3098056</v>
      </c>
      <c r="E277" s="14">
        <f>data!BI71</f>
        <v>0</v>
      </c>
      <c r="F277" s="14">
        <f>data!BJ71</f>
        <v>786473</v>
      </c>
      <c r="G277" s="14">
        <f>data!BK71</f>
        <v>1714133</v>
      </c>
      <c r="H277" s="14">
        <f>data!BL71</f>
        <v>911532</v>
      </c>
      <c r="I277" s="14">
        <f>data!BM71</f>
        <v>286249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3650</v>
      </c>
      <c r="E284" s="85">
        <f>data!BI76</f>
        <v>0</v>
      </c>
      <c r="F284" s="85">
        <f>data!BJ76</f>
        <v>1493</v>
      </c>
      <c r="G284" s="85">
        <f>data!BK76</f>
        <v>1918</v>
      </c>
      <c r="H284" s="85">
        <f>data!BL76</f>
        <v>1363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3584</v>
      </c>
      <c r="E286" s="85">
        <f>data!BI78</f>
        <v>0</v>
      </c>
      <c r="F286" s="213" t="str">
        <f>IF(data!BJ78&gt;0,data!BJ78,"")</f>
        <v>x</v>
      </c>
      <c r="G286" s="85">
        <f>data!BK78</f>
        <v>1884</v>
      </c>
      <c r="H286" s="85">
        <f>data!BL78</f>
        <v>1338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Samaritan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8.24</v>
      </c>
      <c r="D298" s="26">
        <f>data!BO60</f>
        <v>0.55000000000000004</v>
      </c>
      <c r="E298" s="26">
        <f>data!BP60</f>
        <v>3.09</v>
      </c>
      <c r="F298" s="26">
        <f>data!BQ60</f>
        <v>0</v>
      </c>
      <c r="G298" s="26">
        <f>data!BR60</f>
        <v>4.57</v>
      </c>
      <c r="H298" s="26">
        <f>data!BS60</f>
        <v>0.03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1391647</v>
      </c>
      <c r="D299" s="14">
        <f>data!BO61</f>
        <v>76654</v>
      </c>
      <c r="E299" s="14">
        <f>data!BP61</f>
        <v>161832</v>
      </c>
      <c r="F299" s="14">
        <f>data!BQ61</f>
        <v>0</v>
      </c>
      <c r="G299" s="14">
        <f>data!BR61</f>
        <v>659382</v>
      </c>
      <c r="H299" s="14">
        <f>data!BS61</f>
        <v>-418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348849</v>
      </c>
      <c r="D300" s="14">
        <f>data!BO62</f>
        <v>19215</v>
      </c>
      <c r="E300" s="14">
        <f>data!BP62</f>
        <v>40567</v>
      </c>
      <c r="F300" s="14">
        <f>data!BQ62</f>
        <v>0</v>
      </c>
      <c r="G300" s="14">
        <f>data!BR62</f>
        <v>165290</v>
      </c>
      <c r="H300" s="14">
        <f>data!BS62</f>
        <v>-105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406181</v>
      </c>
      <c r="D301" s="14">
        <f>data!BO63</f>
        <v>0</v>
      </c>
      <c r="E301" s="14">
        <f>data!BP63</f>
        <v>67650</v>
      </c>
      <c r="F301" s="14">
        <f>data!BQ63</f>
        <v>0</v>
      </c>
      <c r="G301" s="14">
        <f>data!BR63</f>
        <v>89152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32605</v>
      </c>
      <c r="D302" s="14">
        <f>data!BO64</f>
        <v>49873</v>
      </c>
      <c r="E302" s="14">
        <f>data!BP64</f>
        <v>12555</v>
      </c>
      <c r="F302" s="14">
        <f>data!BQ64</f>
        <v>0</v>
      </c>
      <c r="G302" s="14">
        <f>data!BR64</f>
        <v>15920</v>
      </c>
      <c r="H302" s="14">
        <f>data!BS64</f>
        <v>1169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183974</v>
      </c>
      <c r="D304" s="14">
        <f>data!BO66</f>
        <v>3433</v>
      </c>
      <c r="E304" s="14">
        <f>data!BP66</f>
        <v>973</v>
      </c>
      <c r="F304" s="14">
        <f>data!BQ66</f>
        <v>0</v>
      </c>
      <c r="G304" s="14">
        <f>data!BR66</f>
        <v>46267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572464</v>
      </c>
      <c r="D305" s="14">
        <f>data!BO67</f>
        <v>4110</v>
      </c>
      <c r="E305" s="14">
        <f>data!BP67</f>
        <v>23373</v>
      </c>
      <c r="F305" s="14">
        <f>data!BQ67</f>
        <v>0</v>
      </c>
      <c r="G305" s="14">
        <f>data!BR67</f>
        <v>32742</v>
      </c>
      <c r="H305" s="14">
        <f>data!BS67</f>
        <v>17861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333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820641</v>
      </c>
      <c r="D307" s="14">
        <f>data!BO69</f>
        <v>0</v>
      </c>
      <c r="E307" s="14">
        <f>data!BP69</f>
        <v>513131</v>
      </c>
      <c r="F307" s="14">
        <f>data!BQ69</f>
        <v>87336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3756361</v>
      </c>
      <c r="D309" s="14">
        <f>data!BO71</f>
        <v>153285</v>
      </c>
      <c r="E309" s="14">
        <f>data!BP71</f>
        <v>820081</v>
      </c>
      <c r="F309" s="14">
        <f>data!BQ71</f>
        <v>87336</v>
      </c>
      <c r="G309" s="14">
        <f>data!BR71</f>
        <v>1009086</v>
      </c>
      <c r="H309" s="14">
        <f>data!BS71</f>
        <v>18507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29391</v>
      </c>
      <c r="D316" s="85">
        <f>data!BO76</f>
        <v>211</v>
      </c>
      <c r="E316" s="85">
        <f>data!BP76</f>
        <v>1200</v>
      </c>
      <c r="F316" s="85">
        <f>data!BQ76</f>
        <v>0</v>
      </c>
      <c r="G316" s="85">
        <f>data!BR76</f>
        <v>1681</v>
      </c>
      <c r="H316" s="85">
        <f>data!BS76</f>
        <v>917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900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Samaritan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12.06</v>
      </c>
      <c r="E330" s="26">
        <f>data!BW60</f>
        <v>1.1100000000000001</v>
      </c>
      <c r="F330" s="26">
        <f>data!BX60</f>
        <v>0</v>
      </c>
      <c r="G330" s="26">
        <f>data!BY60</f>
        <v>2.59</v>
      </c>
      <c r="H330" s="26">
        <f>data!BZ60</f>
        <v>0.54</v>
      </c>
      <c r="I330" s="26">
        <f>data!CA60</f>
        <v>3.01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691596</v>
      </c>
      <c r="E331" s="86">
        <f>data!BW61</f>
        <v>157142</v>
      </c>
      <c r="F331" s="86">
        <f>data!BX61</f>
        <v>0</v>
      </c>
      <c r="G331" s="86">
        <f>data!BY61</f>
        <v>365378</v>
      </c>
      <c r="H331" s="86">
        <f>data!BZ61</f>
        <v>155883</v>
      </c>
      <c r="I331" s="86">
        <f>data!CA61</f>
        <v>212301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173365</v>
      </c>
      <c r="E332" s="86">
        <f>data!BW62</f>
        <v>39391</v>
      </c>
      <c r="F332" s="86">
        <f>data!BX62</f>
        <v>0</v>
      </c>
      <c r="G332" s="86">
        <f>data!BY62</f>
        <v>91591</v>
      </c>
      <c r="H332" s="86">
        <f>data!BZ62</f>
        <v>39076</v>
      </c>
      <c r="I332" s="86">
        <f>data!CA62</f>
        <v>53218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4986</v>
      </c>
      <c r="E333" s="86">
        <f>data!BW63</f>
        <v>6126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7779</v>
      </c>
      <c r="E334" s="86">
        <f>data!BW64</f>
        <v>9402</v>
      </c>
      <c r="F334" s="86">
        <f>data!BX64</f>
        <v>0</v>
      </c>
      <c r="G334" s="86">
        <f>data!BY64</f>
        <v>12731</v>
      </c>
      <c r="H334" s="86">
        <f>data!BZ64</f>
        <v>0</v>
      </c>
      <c r="I334" s="86">
        <f>data!CA64</f>
        <v>143954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646996</v>
      </c>
      <c r="E336" s="86">
        <f>data!BW66</f>
        <v>42193</v>
      </c>
      <c r="F336" s="86">
        <f>data!BX66</f>
        <v>0</v>
      </c>
      <c r="G336" s="86">
        <f>data!BY66</f>
        <v>457</v>
      </c>
      <c r="H336" s="86">
        <f>data!BZ66</f>
        <v>0</v>
      </c>
      <c r="I336" s="86">
        <f>data!CA66</f>
        <v>77436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32839</v>
      </c>
      <c r="E337" s="86">
        <f>data!BW67</f>
        <v>18815</v>
      </c>
      <c r="F337" s="86">
        <f>data!BX67</f>
        <v>0</v>
      </c>
      <c r="G337" s="86">
        <f>data!BY67</f>
        <v>12057</v>
      </c>
      <c r="H337" s="86">
        <f>data!BZ67</f>
        <v>0</v>
      </c>
      <c r="I337" s="86">
        <f>data!CA67</f>
        <v>153561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11281</v>
      </c>
      <c r="E339" s="86">
        <f>data!BW69</f>
        <v>19502</v>
      </c>
      <c r="F339" s="86">
        <f>data!BX69</f>
        <v>0</v>
      </c>
      <c r="G339" s="86">
        <f>data!BY69</f>
        <v>9590</v>
      </c>
      <c r="H339" s="86">
        <f>data!BZ69</f>
        <v>0</v>
      </c>
      <c r="I339" s="86">
        <f>data!CA69</f>
        <v>935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1568842</v>
      </c>
      <c r="E341" s="14">
        <f>data!BW71</f>
        <v>292571</v>
      </c>
      <c r="F341" s="14">
        <f>data!BX71</f>
        <v>0</v>
      </c>
      <c r="G341" s="14">
        <f>data!BY71</f>
        <v>491804</v>
      </c>
      <c r="H341" s="14">
        <f>data!BZ71</f>
        <v>194959</v>
      </c>
      <c r="I341" s="14">
        <f>data!CA71</f>
        <v>641405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1686</v>
      </c>
      <c r="E348" s="85">
        <f>data!BW76</f>
        <v>966</v>
      </c>
      <c r="F348" s="85">
        <f>data!BX76</f>
        <v>0</v>
      </c>
      <c r="G348" s="85">
        <f>data!BY76</f>
        <v>619</v>
      </c>
      <c r="H348" s="85">
        <f>data!BZ76</f>
        <v>0</v>
      </c>
      <c r="I348" s="85">
        <f>data!CA76</f>
        <v>7884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1656</v>
      </c>
      <c r="E350" s="85">
        <f>data!BW78</f>
        <v>949</v>
      </c>
      <c r="F350" s="85">
        <f>data!BX78</f>
        <v>0</v>
      </c>
      <c r="G350" s="85">
        <f>data!BY78</f>
        <v>608</v>
      </c>
      <c r="H350" s="85">
        <f>data!BZ78</f>
        <v>0</v>
      </c>
      <c r="I350" s="85">
        <f>data!CA78</f>
        <v>7741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Samaritan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0.18</v>
      </c>
      <c r="D362" s="26">
        <f>data!CC60</f>
        <v>4.17</v>
      </c>
      <c r="E362" s="217"/>
      <c r="F362" s="211"/>
      <c r="G362" s="211"/>
      <c r="H362" s="211"/>
      <c r="I362" s="87">
        <f>data!CE60</f>
        <v>412.37999999999994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15400</v>
      </c>
      <c r="D363" s="86">
        <f>data!CC61</f>
        <v>361637</v>
      </c>
      <c r="E363" s="218"/>
      <c r="F363" s="219"/>
      <c r="G363" s="219"/>
      <c r="H363" s="219"/>
      <c r="I363" s="86">
        <f>data!CE61</f>
        <v>40529633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3860</v>
      </c>
      <c r="D364" s="86">
        <f>data!CC62</f>
        <v>90653</v>
      </c>
      <c r="E364" s="218"/>
      <c r="F364" s="219"/>
      <c r="G364" s="219"/>
      <c r="H364" s="219"/>
      <c r="I364" s="86">
        <f>data!CE62</f>
        <v>10159718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67837</v>
      </c>
      <c r="E365" s="218"/>
      <c r="F365" s="219"/>
      <c r="G365" s="219"/>
      <c r="H365" s="219"/>
      <c r="I365" s="86">
        <f>data!CE63</f>
        <v>5578916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1032</v>
      </c>
      <c r="D366" s="86">
        <f>data!CC64</f>
        <v>16676</v>
      </c>
      <c r="E366" s="218"/>
      <c r="F366" s="219"/>
      <c r="G366" s="219"/>
      <c r="H366" s="219"/>
      <c r="I366" s="86">
        <f>data!CE64</f>
        <v>12160491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637205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40520</v>
      </c>
      <c r="E368" s="218"/>
      <c r="F368" s="219"/>
      <c r="G368" s="219"/>
      <c r="H368" s="219"/>
      <c r="I368" s="86">
        <f>data!CE66</f>
        <v>7228137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2006</v>
      </c>
      <c r="D369" s="86">
        <f>data!CC67</f>
        <v>5278</v>
      </c>
      <c r="E369" s="218"/>
      <c r="F369" s="219"/>
      <c r="G369" s="219"/>
      <c r="H369" s="219"/>
      <c r="I369" s="86">
        <f>data!CE67</f>
        <v>4601627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933257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199</v>
      </c>
      <c r="D371" s="86">
        <f>data!CC69</f>
        <v>43817</v>
      </c>
      <c r="E371" s="86">
        <f>data!CD69</f>
        <v>884531</v>
      </c>
      <c r="F371" s="219"/>
      <c r="G371" s="219"/>
      <c r="H371" s="219"/>
      <c r="I371" s="86">
        <f>data!CE69</f>
        <v>2742612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3135605</v>
      </c>
      <c r="F372" s="220"/>
      <c r="G372" s="220"/>
      <c r="H372" s="220"/>
      <c r="I372" s="14">
        <f>-data!CE70</f>
        <v>-3135605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22497</v>
      </c>
      <c r="D373" s="86">
        <f>data!CC71</f>
        <v>626418</v>
      </c>
      <c r="E373" s="86">
        <f>data!CD71</f>
        <v>-2251074</v>
      </c>
      <c r="F373" s="219"/>
      <c r="G373" s="219"/>
      <c r="H373" s="219"/>
      <c r="I373" s="14">
        <f>data!CE71</f>
        <v>81435991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93733178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146906538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240639716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103</v>
      </c>
      <c r="D380" s="85">
        <f>data!CC76</f>
        <v>271</v>
      </c>
      <c r="E380" s="214"/>
      <c r="F380" s="211"/>
      <c r="G380" s="211"/>
      <c r="H380" s="211"/>
      <c r="I380" s="14">
        <f>data!CE76</f>
        <v>236253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28005</v>
      </c>
    </row>
    <row r="382" spans="1:9" ht="20.100000000000001" customHeight="1" x14ac:dyDescent="0.25">
      <c r="A382" s="23">
        <v>24</v>
      </c>
      <c r="B382" s="14" t="s">
        <v>1188</v>
      </c>
      <c r="C382" s="14">
        <f>IF(data!CB78&gt;0,data!CB78,"")</f>
        <v>101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158005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370801.27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119.38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2019-04-29T20:35:39Z</dcterms:modified>
</cp:coreProperties>
</file>