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-120" yWindow="-120" windowWidth="29040" windowHeight="15840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F76" i="10" l="1"/>
  <c r="AR59" i="1"/>
  <c r="C52" i="10" l="1"/>
  <c r="L52" i="10"/>
  <c r="L67" i="10" s="1"/>
  <c r="CD70" i="1"/>
  <c r="CD69" i="1"/>
  <c r="C392" i="1"/>
  <c r="C389" i="1"/>
  <c r="B438" i="1"/>
  <c r="D367" i="1"/>
  <c r="D390" i="10"/>
  <c r="E59" i="1"/>
  <c r="D142" i="1" l="1"/>
  <c r="D141" i="1"/>
  <c r="C370" i="1"/>
  <c r="D372" i="1" s="1"/>
  <c r="D236" i="1" l="1"/>
  <c r="D138" i="1" l="1"/>
  <c r="C325" i="1" l="1"/>
  <c r="C272" i="1"/>
  <c r="C252" i="1"/>
  <c r="C75" i="1" l="1"/>
  <c r="E550" i="10" l="1"/>
  <c r="E546" i="10"/>
  <c r="F545" i="10"/>
  <c r="E545" i="10"/>
  <c r="H545" i="10"/>
  <c r="F544" i="10"/>
  <c r="E544" i="10"/>
  <c r="E540" i="10"/>
  <c r="E539" i="10"/>
  <c r="H538" i="10"/>
  <c r="E538" i="10"/>
  <c r="F538" i="10"/>
  <c r="F537" i="10"/>
  <c r="F536" i="10"/>
  <c r="E536" i="10"/>
  <c r="H536" i="10"/>
  <c r="H535" i="10"/>
  <c r="F535" i="10"/>
  <c r="E535" i="10"/>
  <c r="H534" i="10"/>
  <c r="E534" i="10"/>
  <c r="F534" i="10"/>
  <c r="F533" i="10"/>
  <c r="E533" i="10"/>
  <c r="H533" i="10"/>
  <c r="E532" i="10"/>
  <c r="E531" i="10"/>
  <c r="H530" i="10"/>
  <c r="E530" i="10"/>
  <c r="F530" i="10"/>
  <c r="E529" i="10"/>
  <c r="F529" i="10"/>
  <c r="F528" i="10"/>
  <c r="E528" i="10"/>
  <c r="H527" i="10"/>
  <c r="F527" i="10"/>
  <c r="E527" i="10"/>
  <c r="E526" i="10"/>
  <c r="F525" i="10"/>
  <c r="E525" i="10"/>
  <c r="H525" i="10"/>
  <c r="E524" i="10"/>
  <c r="E523" i="10"/>
  <c r="E522" i="10"/>
  <c r="F522" i="10"/>
  <c r="F521" i="10"/>
  <c r="E520" i="10"/>
  <c r="F519" i="10"/>
  <c r="E519" i="10"/>
  <c r="H519" i="10"/>
  <c r="E518" i="10"/>
  <c r="E517" i="10"/>
  <c r="E516" i="10"/>
  <c r="F516" i="10"/>
  <c r="E515" i="10"/>
  <c r="F514" i="10"/>
  <c r="E514" i="10"/>
  <c r="H513" i="10"/>
  <c r="F513" i="10"/>
  <c r="F512" i="10"/>
  <c r="E511" i="10"/>
  <c r="F510" i="10"/>
  <c r="E510" i="10"/>
  <c r="F509" i="10"/>
  <c r="E509" i="10"/>
  <c r="E508" i="10"/>
  <c r="F508" i="10"/>
  <c r="F507" i="10"/>
  <c r="E507" i="10"/>
  <c r="E506" i="10"/>
  <c r="E505" i="10"/>
  <c r="H504" i="10"/>
  <c r="F504" i="10"/>
  <c r="E504" i="10"/>
  <c r="E503" i="10"/>
  <c r="F503" i="10"/>
  <c r="F502" i="10"/>
  <c r="E502" i="10"/>
  <c r="H502" i="10"/>
  <c r="H501" i="10"/>
  <c r="F501" i="10"/>
  <c r="E501" i="10"/>
  <c r="H500" i="10"/>
  <c r="E500" i="10"/>
  <c r="F500" i="10"/>
  <c r="F499" i="10"/>
  <c r="E499" i="10"/>
  <c r="H499" i="10"/>
  <c r="E498" i="10"/>
  <c r="E497" i="10"/>
  <c r="E496" i="10"/>
  <c r="F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4" i="10"/>
  <c r="B453" i="10"/>
  <c r="C447" i="10"/>
  <c r="C446" i="10"/>
  <c r="C445" i="10"/>
  <c r="C444" i="10"/>
  <c r="C439" i="10"/>
  <c r="B439" i="10"/>
  <c r="B438" i="10"/>
  <c r="B440" i="10" s="1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A412" i="10"/>
  <c r="C392" i="10"/>
  <c r="B441" i="10"/>
  <c r="C371" i="10"/>
  <c r="C370" i="10"/>
  <c r="B458" i="10" s="1"/>
  <c r="D367" i="10"/>
  <c r="D361" i="10"/>
  <c r="B465" i="10" s="1"/>
  <c r="D329" i="10"/>
  <c r="C325" i="10"/>
  <c r="D328" i="10" s="1"/>
  <c r="D330" i="10" s="1"/>
  <c r="D319" i="10"/>
  <c r="D314" i="10"/>
  <c r="D290" i="10"/>
  <c r="D283" i="10"/>
  <c r="D275" i="10"/>
  <c r="D265" i="10"/>
  <c r="C252" i="10"/>
  <c r="D260" i="10" s="1"/>
  <c r="C239" i="10"/>
  <c r="D240" i="10" s="1"/>
  <c r="B447" i="10" s="1"/>
  <c r="C234" i="10"/>
  <c r="B455" i="10" s="1"/>
  <c r="D229" i="10"/>
  <c r="B445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B204" i="10"/>
  <c r="E203" i="10"/>
  <c r="C475" i="10" s="1"/>
  <c r="E202" i="10"/>
  <c r="C474" i="10" s="1"/>
  <c r="E201" i="10"/>
  <c r="C200" i="10"/>
  <c r="C204" i="10" s="1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177" i="10"/>
  <c r="D434" i="10" s="1"/>
  <c r="C167" i="10"/>
  <c r="D173" i="10" s="1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C139" i="10"/>
  <c r="B139" i="10"/>
  <c r="E139" i="10" s="1"/>
  <c r="C415" i="10" s="1"/>
  <c r="D138" i="10"/>
  <c r="C138" i="10"/>
  <c r="B138" i="10"/>
  <c r="E127" i="10"/>
  <c r="D111" i="10"/>
  <c r="B415" i="10" s="1"/>
  <c r="C111" i="10"/>
  <c r="B414" i="10" s="1"/>
  <c r="CE80" i="10"/>
  <c r="L612" i="10" s="1"/>
  <c r="CF79" i="10"/>
  <c r="CE79" i="10"/>
  <c r="J612" i="10" s="1"/>
  <c r="CE78" i="10"/>
  <c r="I612" i="10" s="1"/>
  <c r="CE77" i="10"/>
  <c r="G612" i="10" s="1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AV74" i="10"/>
  <c r="AV75" i="10" s="1"/>
  <c r="CE73" i="10"/>
  <c r="C463" i="10" s="1"/>
  <c r="CD70" i="10"/>
  <c r="CE70" i="10" s="1"/>
  <c r="CD69" i="10"/>
  <c r="CE69" i="10" s="1"/>
  <c r="C440" i="10" s="1"/>
  <c r="CE68" i="10"/>
  <c r="C434" i="10" s="1"/>
  <c r="CE66" i="10"/>
  <c r="C432" i="10" s="1"/>
  <c r="CE65" i="10"/>
  <c r="C431" i="10" s="1"/>
  <c r="CE64" i="10"/>
  <c r="C430" i="10" s="1"/>
  <c r="CE63" i="10"/>
  <c r="C429" i="10" s="1"/>
  <c r="CE61" i="10"/>
  <c r="BS48" i="10" s="1"/>
  <c r="BS62" i="10" s="1"/>
  <c r="CE60" i="10"/>
  <c r="H612" i="10" s="1"/>
  <c r="AR59" i="10"/>
  <c r="E537" i="10" s="1"/>
  <c r="B53" i="10"/>
  <c r="BW52" i="10"/>
  <c r="BW67" i="10" s="1"/>
  <c r="BV52" i="10"/>
  <c r="BV67" i="10" s="1"/>
  <c r="BR52" i="10"/>
  <c r="BR67" i="10" s="1"/>
  <c r="BQ52" i="10"/>
  <c r="BQ67" i="10" s="1"/>
  <c r="BO52" i="10"/>
  <c r="BO67" i="10" s="1"/>
  <c r="BI52" i="10"/>
  <c r="BI67" i="10" s="1"/>
  <c r="BH52" i="10"/>
  <c r="BH67" i="10" s="1"/>
  <c r="BG52" i="10"/>
  <c r="BG67" i="10" s="1"/>
  <c r="BF52" i="10"/>
  <c r="BF67" i="10" s="1"/>
  <c r="BA52" i="10"/>
  <c r="BA67" i="10" s="1"/>
  <c r="AX52" i="10"/>
  <c r="AX67" i="10" s="1"/>
  <c r="AT52" i="10"/>
  <c r="AT67" i="10" s="1"/>
  <c r="AS52" i="10"/>
  <c r="AS67" i="10" s="1"/>
  <c r="AR52" i="10"/>
  <c r="AR67" i="10" s="1"/>
  <c r="AP52" i="10"/>
  <c r="AP67" i="10" s="1"/>
  <c r="AJ52" i="10"/>
  <c r="AJ67" i="10" s="1"/>
  <c r="AI52" i="10"/>
  <c r="AI67" i="10" s="1"/>
  <c r="AH52" i="10"/>
  <c r="AH67" i="10" s="1"/>
  <c r="AD52" i="10"/>
  <c r="AD67" i="10" s="1"/>
  <c r="AB52" i="10"/>
  <c r="AB67" i="10" s="1"/>
  <c r="V52" i="10"/>
  <c r="V67" i="10" s="1"/>
  <c r="U52" i="10"/>
  <c r="U67" i="10" s="1"/>
  <c r="T52" i="10"/>
  <c r="T67" i="10" s="1"/>
  <c r="S52" i="10"/>
  <c r="S67" i="10" s="1"/>
  <c r="N52" i="10"/>
  <c r="N67" i="10" s="1"/>
  <c r="K52" i="10"/>
  <c r="K67" i="10" s="1"/>
  <c r="J52" i="10"/>
  <c r="J67" i="10" s="1"/>
  <c r="F52" i="10"/>
  <c r="F67" i="10" s="1"/>
  <c r="E52" i="10"/>
  <c r="E67" i="10" s="1"/>
  <c r="CE51" i="10"/>
  <c r="B49" i="10"/>
  <c r="CB48" i="10"/>
  <c r="CB62" i="10" s="1"/>
  <c r="CA48" i="10"/>
  <c r="CA62" i="10" s="1"/>
  <c r="BZ48" i="10"/>
  <c r="BZ62" i="10" s="1"/>
  <c r="BY48" i="10"/>
  <c r="BY62" i="10" s="1"/>
  <c r="BQ48" i="10"/>
  <c r="BQ62" i="10" s="1"/>
  <c r="BP48" i="10"/>
  <c r="BP62" i="10" s="1"/>
  <c r="BL48" i="10"/>
  <c r="BL62" i="10" s="1"/>
  <c r="BK48" i="10"/>
  <c r="BK62" i="10" s="1"/>
  <c r="BC48" i="10"/>
  <c r="BC62" i="10" s="1"/>
  <c r="BB48" i="10"/>
  <c r="BB62" i="10" s="1"/>
  <c r="BA48" i="10"/>
  <c r="BA62" i="10" s="1"/>
  <c r="AZ48" i="10"/>
  <c r="AZ62" i="10" s="1"/>
  <c r="AR48" i="10"/>
  <c r="AR62" i="10" s="1"/>
  <c r="AN48" i="10"/>
  <c r="AN62" i="10" s="1"/>
  <c r="AM48" i="10"/>
  <c r="AM62" i="10" s="1"/>
  <c r="AL48" i="10"/>
  <c r="AL62" i="10" s="1"/>
  <c r="AD48" i="10"/>
  <c r="AD62" i="10" s="1"/>
  <c r="AC48" i="10"/>
  <c r="AC62" i="10" s="1"/>
  <c r="AB48" i="10"/>
  <c r="AB62" i="10" s="1"/>
  <c r="X48" i="10"/>
  <c r="X62" i="10" s="1"/>
  <c r="P48" i="10"/>
  <c r="P62" i="10" s="1"/>
  <c r="O48" i="10"/>
  <c r="O62" i="10" s="1"/>
  <c r="N48" i="10"/>
  <c r="N62" i="10" s="1"/>
  <c r="N71" i="10" s="1"/>
  <c r="M48" i="10"/>
  <c r="M62" i="10" s="1"/>
  <c r="E48" i="10"/>
  <c r="E62" i="10" s="1"/>
  <c r="D48" i="10"/>
  <c r="D62" i="10" s="1"/>
  <c r="CE47" i="10"/>
  <c r="B476" i="10" l="1"/>
  <c r="D277" i="10"/>
  <c r="D339" i="10"/>
  <c r="C482" i="10" s="1"/>
  <c r="BA71" i="10"/>
  <c r="BP52" i="10"/>
  <c r="BP67" i="10" s="1"/>
  <c r="D463" i="10"/>
  <c r="E200" i="10"/>
  <c r="C473" i="10" s="1"/>
  <c r="D236" i="10"/>
  <c r="B446" i="10" s="1"/>
  <c r="C438" i="10"/>
  <c r="F612" i="10"/>
  <c r="E138" i="10"/>
  <c r="C414" i="10" s="1"/>
  <c r="D464" i="10"/>
  <c r="D292" i="10"/>
  <c r="D341" i="10" s="1"/>
  <c r="C481" i="10" s="1"/>
  <c r="BQ71" i="10"/>
  <c r="C562" i="10" s="1"/>
  <c r="E71" i="10"/>
  <c r="E217" i="10"/>
  <c r="C478" i="10" s="1"/>
  <c r="AD71" i="10"/>
  <c r="C670" i="10"/>
  <c r="C498" i="10"/>
  <c r="G498" i="10" s="1"/>
  <c r="C623" i="10"/>
  <c r="C679" i="10"/>
  <c r="C507" i="10"/>
  <c r="G507" i="10" s="1"/>
  <c r="C67" i="10"/>
  <c r="D242" i="10"/>
  <c r="B448" i="10" s="1"/>
  <c r="C630" i="10"/>
  <c r="C546" i="10"/>
  <c r="G546" i="10" s="1"/>
  <c r="AB71" i="10"/>
  <c r="AR71" i="10"/>
  <c r="H506" i="10"/>
  <c r="F506" i="10"/>
  <c r="F515" i="10"/>
  <c r="H531" i="10"/>
  <c r="F531" i="10"/>
  <c r="F48" i="10"/>
  <c r="F62" i="10" s="1"/>
  <c r="F71" i="10" s="1"/>
  <c r="T48" i="10"/>
  <c r="T62" i="10" s="1"/>
  <c r="T71" i="10" s="1"/>
  <c r="AE48" i="10"/>
  <c r="AE62" i="10" s="1"/>
  <c r="AS48" i="10"/>
  <c r="AS62" i="10" s="1"/>
  <c r="AS71" i="10" s="1"/>
  <c r="BD48" i="10"/>
  <c r="BD62" i="10" s="1"/>
  <c r="BR48" i="10"/>
  <c r="BR62" i="10" s="1"/>
  <c r="BR71" i="10" s="1"/>
  <c r="Z52" i="10"/>
  <c r="Z67" i="10" s="1"/>
  <c r="AK52" i="10"/>
  <c r="AK67" i="10" s="1"/>
  <c r="AY52" i="10"/>
  <c r="AY67" i="10" s="1"/>
  <c r="BJ52" i="10"/>
  <c r="BJ67" i="10" s="1"/>
  <c r="BX52" i="10"/>
  <c r="BX67" i="10" s="1"/>
  <c r="CF77" i="10"/>
  <c r="G48" i="10"/>
  <c r="G62" i="10" s="1"/>
  <c r="U48" i="10"/>
  <c r="U62" i="10" s="1"/>
  <c r="U71" i="10" s="1"/>
  <c r="AF48" i="10"/>
  <c r="AF62" i="10" s="1"/>
  <c r="AT48" i="10"/>
  <c r="AT62" i="10" s="1"/>
  <c r="AT71" i="10" s="1"/>
  <c r="BH48" i="10"/>
  <c r="BH62" i="10" s="1"/>
  <c r="BH71" i="10" s="1"/>
  <c r="M52" i="10"/>
  <c r="M67" i="10" s="1"/>
  <c r="M71" i="10" s="1"/>
  <c r="AA52" i="10"/>
  <c r="AA67" i="10" s="1"/>
  <c r="AL52" i="10"/>
  <c r="AL67" i="10" s="1"/>
  <c r="AL71" i="10" s="1"/>
  <c r="AZ52" i="10"/>
  <c r="AZ67" i="10" s="1"/>
  <c r="AZ71" i="10" s="1"/>
  <c r="BN52" i="10"/>
  <c r="BN67" i="10" s="1"/>
  <c r="BY52" i="10"/>
  <c r="BY67" i="10" s="1"/>
  <c r="BY71" i="10" s="1"/>
  <c r="CD71" i="10"/>
  <c r="C575" i="10" s="1"/>
  <c r="C615" i="10"/>
  <c r="CE75" i="10"/>
  <c r="F511" i="10"/>
  <c r="F546" i="10"/>
  <c r="C427" i="10"/>
  <c r="BW48" i="10"/>
  <c r="BW62" i="10" s="1"/>
  <c r="BW71" i="10" s="1"/>
  <c r="BO48" i="10"/>
  <c r="BO62" i="10" s="1"/>
  <c r="BO71" i="10" s="1"/>
  <c r="BG48" i="10"/>
  <c r="BG62" i="10" s="1"/>
  <c r="BG71" i="10" s="1"/>
  <c r="AY48" i="10"/>
  <c r="AY62" i="10" s="1"/>
  <c r="AQ48" i="10"/>
  <c r="AQ62" i="10" s="1"/>
  <c r="AI48" i="10"/>
  <c r="AI62" i="10" s="1"/>
  <c r="AI71" i="10" s="1"/>
  <c r="AA48" i="10"/>
  <c r="AA62" i="10" s="1"/>
  <c r="S48" i="10"/>
  <c r="S62" i="10" s="1"/>
  <c r="S71" i="10" s="1"/>
  <c r="K48" i="10"/>
  <c r="K62" i="10" s="1"/>
  <c r="K71" i="10" s="1"/>
  <c r="C48" i="10"/>
  <c r="BM48" i="10"/>
  <c r="BM62" i="10" s="1"/>
  <c r="AW48" i="10"/>
  <c r="AW62" i="10" s="1"/>
  <c r="Y48" i="10"/>
  <c r="Y62" i="10" s="1"/>
  <c r="I48" i="10"/>
  <c r="I62" i="10" s="1"/>
  <c r="BV48" i="10"/>
  <c r="BV62" i="10" s="1"/>
  <c r="BV71" i="10" s="1"/>
  <c r="BN48" i="10"/>
  <c r="BN62" i="10" s="1"/>
  <c r="BN71" i="10" s="1"/>
  <c r="BF48" i="10"/>
  <c r="BF62" i="10" s="1"/>
  <c r="BF71" i="10" s="1"/>
  <c r="AX48" i="10"/>
  <c r="AX62" i="10" s="1"/>
  <c r="AX71" i="10" s="1"/>
  <c r="AP48" i="10"/>
  <c r="AP62" i="10" s="1"/>
  <c r="AP71" i="10" s="1"/>
  <c r="AH48" i="10"/>
  <c r="AH62" i="10" s="1"/>
  <c r="AH71" i="10" s="1"/>
  <c r="Z48" i="10"/>
  <c r="Z62" i="10" s="1"/>
  <c r="R48" i="10"/>
  <c r="R62" i="10" s="1"/>
  <c r="J48" i="10"/>
  <c r="J62" i="10" s="1"/>
  <c r="J71" i="10" s="1"/>
  <c r="BU48" i="10"/>
  <c r="BU62" i="10" s="1"/>
  <c r="AG48" i="10"/>
  <c r="AG62" i="10" s="1"/>
  <c r="CC48" i="10"/>
  <c r="CC62" i="10" s="1"/>
  <c r="BE48" i="10"/>
  <c r="BE62" i="10" s="1"/>
  <c r="AO48" i="10"/>
  <c r="AO62" i="10" s="1"/>
  <c r="Q48" i="10"/>
  <c r="Q62" i="10" s="1"/>
  <c r="H48" i="10"/>
  <c r="H62" i="10" s="1"/>
  <c r="V48" i="10"/>
  <c r="V62" i="10" s="1"/>
  <c r="V71" i="10" s="1"/>
  <c r="AJ48" i="10"/>
  <c r="AJ62" i="10" s="1"/>
  <c r="AJ71" i="10" s="1"/>
  <c r="AU48" i="10"/>
  <c r="AU62" i="10" s="1"/>
  <c r="BI48" i="10"/>
  <c r="BI62" i="10" s="1"/>
  <c r="BI71" i="10" s="1"/>
  <c r="BT48" i="10"/>
  <c r="BT62" i="10" s="1"/>
  <c r="BZ52" i="10"/>
  <c r="BZ67" i="10" s="1"/>
  <c r="BZ71" i="10" s="1"/>
  <c r="BP71" i="10"/>
  <c r="L48" i="10"/>
  <c r="L62" i="10" s="1"/>
  <c r="W48" i="10"/>
  <c r="W62" i="10" s="1"/>
  <c r="AK48" i="10"/>
  <c r="AK62" i="10" s="1"/>
  <c r="AK71" i="10" s="1"/>
  <c r="AV48" i="10"/>
  <c r="AV62" i="10" s="1"/>
  <c r="BJ48" i="10"/>
  <c r="BJ62" i="10" s="1"/>
  <c r="BJ71" i="10" s="1"/>
  <c r="BX48" i="10"/>
  <c r="BX62" i="10" s="1"/>
  <c r="BX71" i="10" s="1"/>
  <c r="D52" i="10"/>
  <c r="D67" i="10" s="1"/>
  <c r="D71" i="10" s="1"/>
  <c r="R52" i="10"/>
  <c r="R67" i="10" s="1"/>
  <c r="AC52" i="10"/>
  <c r="AC67" i="10" s="1"/>
  <c r="AC71" i="10" s="1"/>
  <c r="AQ52" i="10"/>
  <c r="AQ67" i="10" s="1"/>
  <c r="BB52" i="10"/>
  <c r="BB67" i="10" s="1"/>
  <c r="BB71" i="10" s="1"/>
  <c r="C458" i="10"/>
  <c r="H497" i="10"/>
  <c r="F497" i="10"/>
  <c r="F526" i="10"/>
  <c r="O52" i="10"/>
  <c r="O67" i="10" s="1"/>
  <c r="O71" i="10" s="1"/>
  <c r="W52" i="10"/>
  <c r="W67" i="10" s="1"/>
  <c r="AM52" i="10"/>
  <c r="AM67" i="10" s="1"/>
  <c r="AM71" i="10" s="1"/>
  <c r="AU52" i="10"/>
  <c r="AU67" i="10" s="1"/>
  <c r="BC52" i="10"/>
  <c r="BC67" i="10" s="1"/>
  <c r="BC71" i="10" s="1"/>
  <c r="BK52" i="10"/>
  <c r="BK67" i="10" s="1"/>
  <c r="BK71" i="10" s="1"/>
  <c r="BS52" i="10"/>
  <c r="BS67" i="10" s="1"/>
  <c r="BS71" i="10" s="1"/>
  <c r="CA52" i="10"/>
  <c r="CA67" i="10" s="1"/>
  <c r="CA71" i="10" s="1"/>
  <c r="C448" i="10"/>
  <c r="D368" i="10"/>
  <c r="F498" i="10"/>
  <c r="F517" i="10"/>
  <c r="H532" i="10"/>
  <c r="F532" i="10"/>
  <c r="H52" i="10"/>
  <c r="H67" i="10" s="1"/>
  <c r="P52" i="10"/>
  <c r="P67" i="10" s="1"/>
  <c r="P71" i="10" s="1"/>
  <c r="X52" i="10"/>
  <c r="X67" i="10" s="1"/>
  <c r="X71" i="10" s="1"/>
  <c r="AF52" i="10"/>
  <c r="AF67" i="10" s="1"/>
  <c r="AN52" i="10"/>
  <c r="AN67" i="10" s="1"/>
  <c r="AN71" i="10" s="1"/>
  <c r="AV52" i="10"/>
  <c r="AV67" i="10" s="1"/>
  <c r="BD52" i="10"/>
  <c r="BD67" i="10" s="1"/>
  <c r="BL52" i="10"/>
  <c r="BL67" i="10" s="1"/>
  <c r="BL71" i="10" s="1"/>
  <c r="BT52" i="10"/>
  <c r="BT67" i="10" s="1"/>
  <c r="CB52" i="10"/>
  <c r="CB67" i="10" s="1"/>
  <c r="CB71" i="10" s="1"/>
  <c r="H523" i="10"/>
  <c r="F523" i="10"/>
  <c r="H539" i="10"/>
  <c r="F539" i="10"/>
  <c r="F550" i="10"/>
  <c r="G52" i="10"/>
  <c r="G67" i="10" s="1"/>
  <c r="AE52" i="10"/>
  <c r="AE67" i="10" s="1"/>
  <c r="I52" i="10"/>
  <c r="I67" i="10" s="1"/>
  <c r="Q52" i="10"/>
  <c r="Q67" i="10" s="1"/>
  <c r="Y52" i="10"/>
  <c r="Y67" i="10" s="1"/>
  <c r="AG52" i="10"/>
  <c r="AG67" i="10" s="1"/>
  <c r="AO52" i="10"/>
  <c r="AO67" i="10" s="1"/>
  <c r="AW52" i="10"/>
  <c r="AW67" i="10" s="1"/>
  <c r="BE52" i="10"/>
  <c r="BE67" i="10" s="1"/>
  <c r="BM52" i="10"/>
  <c r="BM67" i="10" s="1"/>
  <c r="BU52" i="10"/>
  <c r="BU67" i="10" s="1"/>
  <c r="CC52" i="10"/>
  <c r="CC67" i="10" s="1"/>
  <c r="D372" i="10"/>
  <c r="B459" i="10"/>
  <c r="H507" i="10"/>
  <c r="F505" i="10"/>
  <c r="F518" i="10"/>
  <c r="D612" i="10"/>
  <c r="CE74" i="10"/>
  <c r="C464" i="10" s="1"/>
  <c r="D435" i="10"/>
  <c r="D438" i="10"/>
  <c r="E204" i="10"/>
  <c r="C476" i="10" s="1"/>
  <c r="F520" i="10"/>
  <c r="F524" i="10"/>
  <c r="H540" i="10"/>
  <c r="F540" i="10"/>
  <c r="F493" i="1"/>
  <c r="D493" i="1"/>
  <c r="B493" i="1"/>
  <c r="AA71" i="10" l="1"/>
  <c r="G71" i="10"/>
  <c r="BU71" i="10"/>
  <c r="D373" i="10"/>
  <c r="I71" i="10"/>
  <c r="C674" i="10" s="1"/>
  <c r="AF71" i="10"/>
  <c r="C697" i="10" s="1"/>
  <c r="AU71" i="10"/>
  <c r="AG71" i="10"/>
  <c r="C698" i="10" s="1"/>
  <c r="Z71" i="10"/>
  <c r="C691" i="10" s="1"/>
  <c r="D465" i="10"/>
  <c r="C681" i="10"/>
  <c r="C509" i="10"/>
  <c r="C647" i="10"/>
  <c r="C572" i="10"/>
  <c r="C635" i="10"/>
  <c r="C556" i="10"/>
  <c r="C632" i="10"/>
  <c r="C547" i="10"/>
  <c r="C545" i="10"/>
  <c r="G545" i="10" s="1"/>
  <c r="C628" i="10"/>
  <c r="C531" i="10"/>
  <c r="G531" i="10" s="1"/>
  <c r="C703" i="10"/>
  <c r="C573" i="10"/>
  <c r="C622" i="10"/>
  <c r="C646" i="10"/>
  <c r="C571" i="10"/>
  <c r="C639" i="10"/>
  <c r="C564" i="10"/>
  <c r="C645" i="10"/>
  <c r="C570" i="10"/>
  <c r="C694" i="10"/>
  <c r="C522" i="10"/>
  <c r="C689" i="10"/>
  <c r="C517" i="10"/>
  <c r="C680" i="10"/>
  <c r="C508" i="10"/>
  <c r="C678" i="10"/>
  <c r="C506" i="10"/>
  <c r="G506" i="10" s="1"/>
  <c r="C526" i="10"/>
  <c r="C637" i="10"/>
  <c r="C557" i="10"/>
  <c r="C619" i="10"/>
  <c r="C559" i="10"/>
  <c r="C671" i="10"/>
  <c r="C499" i="10"/>
  <c r="G499" i="10" s="1"/>
  <c r="C669" i="10"/>
  <c r="C497" i="10"/>
  <c r="G497" i="10" s="1"/>
  <c r="L71" i="10"/>
  <c r="C515" i="10"/>
  <c r="C687" i="10"/>
  <c r="C675" i="10"/>
  <c r="C503" i="10"/>
  <c r="C642" i="10"/>
  <c r="C567" i="10"/>
  <c r="C520" i="10"/>
  <c r="C692" i="10"/>
  <c r="H546" i="10"/>
  <c r="C686" i="10"/>
  <c r="C514" i="10"/>
  <c r="C521" i="10"/>
  <c r="C693" i="10"/>
  <c r="C702" i="10"/>
  <c r="C530" i="10"/>
  <c r="G530" i="10" s="1"/>
  <c r="C676" i="10"/>
  <c r="C504" i="10"/>
  <c r="G504" i="10" s="1"/>
  <c r="C529" i="10"/>
  <c r="C701" i="10"/>
  <c r="C705" i="10"/>
  <c r="C533" i="10"/>
  <c r="G533" i="10" s="1"/>
  <c r="R71" i="10"/>
  <c r="C633" i="10"/>
  <c r="C548" i="10"/>
  <c r="Q71" i="10"/>
  <c r="C519" i="10"/>
  <c r="G519" i="10" s="1"/>
  <c r="Y71" i="10"/>
  <c r="AQ71" i="10"/>
  <c r="C626" i="10"/>
  <c r="C563" i="10"/>
  <c r="C695" i="10"/>
  <c r="C523" i="10"/>
  <c r="G523" i="10" s="1"/>
  <c r="C643" i="10"/>
  <c r="C568" i="10"/>
  <c r="CE52" i="10"/>
  <c r="C684" i="10"/>
  <c r="C512" i="10"/>
  <c r="C700" i="10"/>
  <c r="C528" i="10"/>
  <c r="C644" i="10"/>
  <c r="C569" i="10"/>
  <c r="AO71" i="10"/>
  <c r="C699" i="10"/>
  <c r="C527" i="10"/>
  <c r="G527" i="10" s="1"/>
  <c r="AW71" i="10"/>
  <c r="AY71" i="10"/>
  <c r="BD71" i="10"/>
  <c r="C629" i="10"/>
  <c r="C551" i="10"/>
  <c r="C711" i="10"/>
  <c r="C539" i="10"/>
  <c r="G539" i="10" s="1"/>
  <c r="C709" i="10"/>
  <c r="C537" i="10"/>
  <c r="W71" i="10"/>
  <c r="C704" i="10"/>
  <c r="C532" i="10"/>
  <c r="G532" i="10" s="1"/>
  <c r="C621" i="10"/>
  <c r="C561" i="10"/>
  <c r="C502" i="10"/>
  <c r="G502" i="10" s="1"/>
  <c r="C672" i="10"/>
  <c r="C500" i="10"/>
  <c r="G500" i="10" s="1"/>
  <c r="C617" i="10"/>
  <c r="C555" i="10"/>
  <c r="BT71" i="10"/>
  <c r="BE71" i="10"/>
  <c r="C707" i="10"/>
  <c r="C535" i="10"/>
  <c r="G535" i="10" s="1"/>
  <c r="BM71" i="10"/>
  <c r="C552" i="10"/>
  <c r="C618" i="10"/>
  <c r="C465" i="10"/>
  <c r="K612" i="10"/>
  <c r="C710" i="10"/>
  <c r="C538" i="10"/>
  <c r="G538" i="10" s="1"/>
  <c r="CE67" i="10"/>
  <c r="C433" i="10" s="1"/>
  <c r="C712" i="10"/>
  <c r="C540" i="10"/>
  <c r="G540" i="10" s="1"/>
  <c r="C685" i="10"/>
  <c r="C513" i="10"/>
  <c r="G513" i="10" s="1"/>
  <c r="C641" i="10"/>
  <c r="C566" i="10"/>
  <c r="H71" i="10"/>
  <c r="H498" i="10"/>
  <c r="AV71" i="10"/>
  <c r="C634" i="10"/>
  <c r="C554" i="10"/>
  <c r="CC71" i="10"/>
  <c r="C616" i="10"/>
  <c r="C543" i="10"/>
  <c r="CE48" i="10"/>
  <c r="C62" i="10"/>
  <c r="C627" i="10"/>
  <c r="C560" i="10"/>
  <c r="C636" i="10"/>
  <c r="C553" i="10"/>
  <c r="AE71" i="10"/>
  <c r="B575" i="1"/>
  <c r="A493" i="1"/>
  <c r="C115" i="8"/>
  <c r="C444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CE65" i="1"/>
  <c r="CE63" i="1"/>
  <c r="I365" i="9" s="1"/>
  <c r="CE66" i="1"/>
  <c r="I368" i="9" s="1"/>
  <c r="CE68" i="1"/>
  <c r="D75" i="1"/>
  <c r="AR75" i="1"/>
  <c r="I186" i="9" s="1"/>
  <c r="AS75" i="1"/>
  <c r="AT75" i="1"/>
  <c r="AU75" i="1"/>
  <c r="AQ75" i="1"/>
  <c r="H186" i="9" s="1"/>
  <c r="AO75" i="1"/>
  <c r="AN75" i="1"/>
  <c r="AM75" i="1"/>
  <c r="AI75" i="1"/>
  <c r="G154" i="9" s="1"/>
  <c r="AH75" i="1"/>
  <c r="F154" i="9" s="1"/>
  <c r="AF75" i="1"/>
  <c r="D154" i="9" s="1"/>
  <c r="AD75" i="1"/>
  <c r="I122" i="9" s="1"/>
  <c r="AA75" i="1"/>
  <c r="Z75" i="1"/>
  <c r="E122" i="9" s="1"/>
  <c r="X75" i="1"/>
  <c r="C122" i="9" s="1"/>
  <c r="W75" i="1"/>
  <c r="V75" i="1"/>
  <c r="H90" i="9" s="1"/>
  <c r="T75" i="1"/>
  <c r="R75" i="1"/>
  <c r="Q75" i="1"/>
  <c r="P75" i="1"/>
  <c r="I58" i="9" s="1"/>
  <c r="O75" i="1"/>
  <c r="H58" i="9" s="1"/>
  <c r="N75" i="1"/>
  <c r="G58" i="9" s="1"/>
  <c r="M75" i="1"/>
  <c r="F58" i="9" s="1"/>
  <c r="L75" i="1"/>
  <c r="I75" i="1"/>
  <c r="I26" i="9" s="1"/>
  <c r="H75" i="1"/>
  <c r="H26" i="9" s="1"/>
  <c r="G75" i="1"/>
  <c r="F75" i="1"/>
  <c r="F26" i="9" s="1"/>
  <c r="AV75" i="1"/>
  <c r="AP75" i="1"/>
  <c r="AJ75" i="1"/>
  <c r="AL75" i="1"/>
  <c r="C186" i="9" s="1"/>
  <c r="AK75" i="1"/>
  <c r="I154" i="9" s="1"/>
  <c r="AG75" i="1"/>
  <c r="E154" i="9" s="1"/>
  <c r="AE75" i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26" i="9"/>
  <c r="CE80" i="1"/>
  <c r="CE78" i="1"/>
  <c r="I382" i="9" s="1"/>
  <c r="CE69" i="1"/>
  <c r="I371" i="9" s="1"/>
  <c r="D361" i="1"/>
  <c r="D368" i="1" s="1"/>
  <c r="D373" i="1" s="1"/>
  <c r="C125" i="8"/>
  <c r="D260" i="1"/>
  <c r="D265" i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D229" i="1"/>
  <c r="D13" i="7" s="1"/>
  <c r="D240" i="1"/>
  <c r="B447" i="1" s="1"/>
  <c r="E209" i="1"/>
  <c r="E210" i="1"/>
  <c r="E211" i="1"/>
  <c r="F26" i="6" s="1"/>
  <c r="E212" i="1"/>
  <c r="F27" i="6" s="1"/>
  <c r="E213" i="1"/>
  <c r="F28" i="6" s="1"/>
  <c r="E214" i="1"/>
  <c r="F29" i="6" s="1"/>
  <c r="E215" i="1"/>
  <c r="E216" i="1"/>
  <c r="F31" i="6" s="1"/>
  <c r="D217" i="1"/>
  <c r="E32" i="6" s="1"/>
  <c r="C217" i="1"/>
  <c r="E196" i="1"/>
  <c r="C469" i="1" s="1"/>
  <c r="E197" i="1"/>
  <c r="E198" i="1"/>
  <c r="E199" i="1"/>
  <c r="C472" i="1" s="1"/>
  <c r="E200" i="1"/>
  <c r="F12" i="6" s="1"/>
  <c r="E201" i="1"/>
  <c r="E202" i="1"/>
  <c r="C474" i="1" s="1"/>
  <c r="E203" i="1"/>
  <c r="C475" i="1" s="1"/>
  <c r="D204" i="1"/>
  <c r="E16" i="6" s="1"/>
  <c r="B204" i="1"/>
  <c r="D190" i="1"/>
  <c r="D437" i="1" s="1"/>
  <c r="D186" i="1"/>
  <c r="D436" i="1" s="1"/>
  <c r="D181" i="1"/>
  <c r="D177" i="1"/>
  <c r="C20" i="5" s="1"/>
  <c r="E154" i="1"/>
  <c r="E153" i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E141" i="1"/>
  <c r="E10" i="4" s="1"/>
  <c r="E140" i="1"/>
  <c r="D10" i="4" s="1"/>
  <c r="E139" i="1"/>
  <c r="E127" i="1"/>
  <c r="G34" i="3" s="1"/>
  <c r="CF79" i="1"/>
  <c r="B53" i="1"/>
  <c r="CE51" i="1"/>
  <c r="B49" i="1"/>
  <c r="AS48" i="1"/>
  <c r="AS62" i="1" s="1"/>
  <c r="C204" i="9" s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C470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40" i="1"/>
  <c r="C431" i="1"/>
  <c r="C432" i="1"/>
  <c r="C434" i="1"/>
  <c r="B439" i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F15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I363" i="9"/>
  <c r="X48" i="1"/>
  <c r="X62" i="1" s="1"/>
  <c r="T48" i="1"/>
  <c r="T62" i="1" s="1"/>
  <c r="F76" i="9" s="1"/>
  <c r="P48" i="1"/>
  <c r="P62" i="1" s="1"/>
  <c r="L48" i="1"/>
  <c r="L62" i="1" s="1"/>
  <c r="E44" i="9" s="1"/>
  <c r="H48" i="1"/>
  <c r="H62" i="1" s="1"/>
  <c r="C34" i="5"/>
  <c r="C16" i="8"/>
  <c r="C473" i="1"/>
  <c r="I377" i="9"/>
  <c r="G122" i="9"/>
  <c r="F90" i="9"/>
  <c r="C218" i="9"/>
  <c r="D366" i="9"/>
  <c r="CE64" i="1"/>
  <c r="F612" i="1" s="1"/>
  <c r="D368" i="9"/>
  <c r="C276" i="9"/>
  <c r="CE70" i="1"/>
  <c r="I372" i="9" s="1"/>
  <c r="CE76" i="1"/>
  <c r="D612" i="1" s="1"/>
  <c r="CE77" i="1"/>
  <c r="I29" i="9"/>
  <c r="C95" i="9"/>
  <c r="CE79" i="1"/>
  <c r="J612" i="1" s="1"/>
  <c r="E142" i="1"/>
  <c r="G9" i="4"/>
  <c r="F9" i="4"/>
  <c r="E138" i="1"/>
  <c r="C204" i="1"/>
  <c r="D16" i="6" s="1"/>
  <c r="E195" i="1"/>
  <c r="C28" i="6"/>
  <c r="B217" i="1"/>
  <c r="C32" i="6" s="1"/>
  <c r="C140" i="8"/>
  <c r="D390" i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F24" i="6"/>
  <c r="BZ48" i="1"/>
  <c r="BZ62" i="1" s="1"/>
  <c r="G48" i="1"/>
  <c r="G62" i="1" s="1"/>
  <c r="G12" i="9" s="1"/>
  <c r="AC48" i="1"/>
  <c r="AC62" i="1" s="1"/>
  <c r="H108" i="9" s="1"/>
  <c r="AU48" i="1"/>
  <c r="AU62" i="1" s="1"/>
  <c r="M48" i="1"/>
  <c r="M62" i="1" s="1"/>
  <c r="AE48" i="1"/>
  <c r="AE62" i="1" s="1"/>
  <c r="BC48" i="1"/>
  <c r="BC62" i="1" s="1"/>
  <c r="F236" i="9" s="1"/>
  <c r="O48" i="1"/>
  <c r="O62" i="1" s="1"/>
  <c r="AM48" i="1"/>
  <c r="AM62" i="1" s="1"/>
  <c r="D172" i="9" s="1"/>
  <c r="BI48" i="1"/>
  <c r="BI62" i="1" s="1"/>
  <c r="C427" i="1"/>
  <c r="CD71" i="1"/>
  <c r="BQ48" i="1"/>
  <c r="BQ62" i="1" s="1"/>
  <c r="F300" i="9" s="1"/>
  <c r="AK48" i="1"/>
  <c r="AK62" i="1" s="1"/>
  <c r="E48" i="1"/>
  <c r="E62" i="1" s="1"/>
  <c r="BM48" i="1"/>
  <c r="BM62" i="1" s="1"/>
  <c r="AW48" i="1"/>
  <c r="AW62" i="1" s="1"/>
  <c r="AG48" i="1"/>
  <c r="AG62" i="1" s="1"/>
  <c r="Y48" i="1"/>
  <c r="Y62" i="1" s="1"/>
  <c r="Q48" i="1"/>
  <c r="Q62" i="1" s="1"/>
  <c r="I48" i="1"/>
  <c r="I62" i="1" s="1"/>
  <c r="I12" i="9" s="1"/>
  <c r="BW48" i="1"/>
  <c r="BW62" i="1" s="1"/>
  <c r="BG48" i="1"/>
  <c r="BG62" i="1" s="1"/>
  <c r="AY48" i="1"/>
  <c r="AY62" i="1" s="1"/>
  <c r="AQ48" i="1"/>
  <c r="AQ62" i="1" s="1"/>
  <c r="AI48" i="1"/>
  <c r="AI62" i="1" s="1"/>
  <c r="S48" i="1"/>
  <c r="S62" i="1" s="1"/>
  <c r="K48" i="1"/>
  <c r="K62" i="1" s="1"/>
  <c r="C615" i="1"/>
  <c r="CB48" i="1"/>
  <c r="CB62" i="1" s="1"/>
  <c r="C364" i="9" s="1"/>
  <c r="C120" i="8"/>
  <c r="E372" i="9"/>
  <c r="I44" i="9"/>
  <c r="CA48" i="1"/>
  <c r="CA62" i="1" s="1"/>
  <c r="BY48" i="1"/>
  <c r="BY62" i="1" s="1"/>
  <c r="BV48" i="1"/>
  <c r="BV62" i="1" s="1"/>
  <c r="BT48" i="1"/>
  <c r="BT62" i="1" s="1"/>
  <c r="BR48" i="1"/>
  <c r="BR62" i="1" s="1"/>
  <c r="BP48" i="1"/>
  <c r="BP62" i="1" s="1"/>
  <c r="BL48" i="1"/>
  <c r="BL62" i="1" s="1"/>
  <c r="BJ48" i="1"/>
  <c r="BJ62" i="1" s="1"/>
  <c r="BF48" i="1"/>
  <c r="BF62" i="1" s="1"/>
  <c r="BD48" i="1"/>
  <c r="BD62" i="1" s="1"/>
  <c r="G236" i="9" s="1"/>
  <c r="BB48" i="1"/>
  <c r="BB62" i="1" s="1"/>
  <c r="AZ48" i="1"/>
  <c r="AZ62" i="1" s="1"/>
  <c r="C236" i="9" s="1"/>
  <c r="AV48" i="1"/>
  <c r="AV62" i="1" s="1"/>
  <c r="AT48" i="1"/>
  <c r="AT62" i="1" s="1"/>
  <c r="AP48" i="1"/>
  <c r="AP62" i="1" s="1"/>
  <c r="AN48" i="1"/>
  <c r="AN62" i="1" s="1"/>
  <c r="E172" i="9" s="1"/>
  <c r="AL48" i="1"/>
  <c r="AL62" i="1" s="1"/>
  <c r="AJ48" i="1"/>
  <c r="AJ62" i="1" s="1"/>
  <c r="AF48" i="1"/>
  <c r="AF62" i="1" s="1"/>
  <c r="AD48" i="1"/>
  <c r="AD62" i="1" s="1"/>
  <c r="V48" i="1"/>
  <c r="V62" i="1" s="1"/>
  <c r="R48" i="1"/>
  <c r="R62" i="1" s="1"/>
  <c r="D76" i="9" s="1"/>
  <c r="N48" i="1"/>
  <c r="N62" i="1" s="1"/>
  <c r="J48" i="1"/>
  <c r="J62" i="1"/>
  <c r="I300" i="9"/>
  <c r="I612" i="1" l="1"/>
  <c r="D5" i="7"/>
  <c r="F8" i="6"/>
  <c r="C76" i="9"/>
  <c r="D391" i="10"/>
  <c r="D393" i="10" s="1"/>
  <c r="D396" i="10" s="1"/>
  <c r="B441" i="1"/>
  <c r="D391" i="1"/>
  <c r="D393" i="1" s="1"/>
  <c r="G10" i="4"/>
  <c r="D463" i="1"/>
  <c r="B440" i="1"/>
  <c r="C141" i="8"/>
  <c r="H268" i="9"/>
  <c r="F10" i="4"/>
  <c r="D428" i="1"/>
  <c r="I362" i="9"/>
  <c r="CF76" i="1"/>
  <c r="AV52" i="1" s="1"/>
  <c r="AV67" i="1" s="1"/>
  <c r="AV71" i="1" s="1"/>
  <c r="I380" i="9"/>
  <c r="H140" i="9"/>
  <c r="I366" i="9"/>
  <c r="C429" i="1"/>
  <c r="E58" i="9"/>
  <c r="I90" i="9"/>
  <c r="G186" i="9"/>
  <c r="D140" i="9"/>
  <c r="CF77" i="1"/>
  <c r="I381" i="9"/>
  <c r="E300" i="9"/>
  <c r="G612" i="1"/>
  <c r="I332" i="9"/>
  <c r="E268" i="9"/>
  <c r="H332" i="9"/>
  <c r="D44" i="9"/>
  <c r="F204" i="9"/>
  <c r="C268" i="9"/>
  <c r="I268" i="9"/>
  <c r="I140" i="9"/>
  <c r="C140" i="9"/>
  <c r="H12" i="9"/>
  <c r="E218" i="9"/>
  <c r="C44" i="9"/>
  <c r="E76" i="9"/>
  <c r="E373" i="9"/>
  <c r="C575" i="1"/>
  <c r="C90" i="9"/>
  <c r="F122" i="9"/>
  <c r="E186" i="9"/>
  <c r="C85" i="8"/>
  <c r="D330" i="1"/>
  <c r="C86" i="8" s="1"/>
  <c r="D218" i="9"/>
  <c r="C525" i="10"/>
  <c r="G525" i="10" s="1"/>
  <c r="E140" i="9"/>
  <c r="C430" i="1"/>
  <c r="B465" i="1"/>
  <c r="I370" i="9"/>
  <c r="C414" i="1"/>
  <c r="B10" i="4"/>
  <c r="C458" i="1"/>
  <c r="G28" i="4"/>
  <c r="C154" i="9"/>
  <c r="D186" i="9"/>
  <c r="BK48" i="1"/>
  <c r="BK62" i="1" s="1"/>
  <c r="W48" i="1"/>
  <c r="W62" i="1" s="1"/>
  <c r="AB48" i="1"/>
  <c r="AB62" i="1" s="1"/>
  <c r="D48" i="1"/>
  <c r="D62" i="1" s="1"/>
  <c r="BS48" i="1"/>
  <c r="BS62" i="1" s="1"/>
  <c r="BA48" i="1"/>
  <c r="BA62" i="1" s="1"/>
  <c r="U48" i="1"/>
  <c r="U62" i="1" s="1"/>
  <c r="BU48" i="1"/>
  <c r="BU62" i="1" s="1"/>
  <c r="BE48" i="1"/>
  <c r="BE62" i="1" s="1"/>
  <c r="AO48" i="1"/>
  <c r="AO62" i="1" s="1"/>
  <c r="CC48" i="1"/>
  <c r="CC62" i="1" s="1"/>
  <c r="D364" i="9" s="1"/>
  <c r="BO48" i="1"/>
  <c r="BO62" i="1" s="1"/>
  <c r="AA48" i="1"/>
  <c r="AA62" i="1" s="1"/>
  <c r="F108" i="9" s="1"/>
  <c r="C48" i="1"/>
  <c r="BX48" i="1"/>
  <c r="BX62" i="1" s="1"/>
  <c r="BN48" i="1"/>
  <c r="BN62" i="1" s="1"/>
  <c r="BH48" i="1"/>
  <c r="BH62" i="1" s="1"/>
  <c r="AX48" i="1"/>
  <c r="AX62" i="1" s="1"/>
  <c r="AR48" i="1"/>
  <c r="AR62" i="1" s="1"/>
  <c r="AH48" i="1"/>
  <c r="AH62" i="1" s="1"/>
  <c r="Z48" i="1"/>
  <c r="Z62" i="1" s="1"/>
  <c r="F48" i="1"/>
  <c r="F62" i="1" s="1"/>
  <c r="F12" i="9" s="1"/>
  <c r="C71" i="10"/>
  <c r="CE62" i="10"/>
  <c r="C673" i="10"/>
  <c r="C501" i="10"/>
  <c r="G501" i="10" s="1"/>
  <c r="C708" i="10"/>
  <c r="C536" i="10"/>
  <c r="G536" i="10" s="1"/>
  <c r="G520" i="10"/>
  <c r="H520" i="10" s="1"/>
  <c r="G526" i="10"/>
  <c r="H526" i="10" s="1"/>
  <c r="G522" i="10"/>
  <c r="H522" i="10" s="1"/>
  <c r="C614" i="10"/>
  <c r="C550" i="10"/>
  <c r="C706" i="10"/>
  <c r="C534" i="10"/>
  <c r="G534" i="10" s="1"/>
  <c r="C690" i="10"/>
  <c r="C518" i="10"/>
  <c r="C505" i="10"/>
  <c r="C677" i="10"/>
  <c r="C696" i="10"/>
  <c r="C524" i="10"/>
  <c r="C640" i="10"/>
  <c r="C565" i="10"/>
  <c r="C574" i="10"/>
  <c r="C620" i="10"/>
  <c r="H521" i="10"/>
  <c r="G521" i="10"/>
  <c r="H503" i="10"/>
  <c r="G503" i="10"/>
  <c r="C549" i="10"/>
  <c r="C624" i="10"/>
  <c r="G528" i="10"/>
  <c r="H528" i="10" s="1"/>
  <c r="C682" i="10"/>
  <c r="C510" i="10"/>
  <c r="G514" i="10"/>
  <c r="H514" i="10"/>
  <c r="G508" i="10"/>
  <c r="H508" i="10" s="1"/>
  <c r="C683" i="10"/>
  <c r="C511" i="10"/>
  <c r="C688" i="10"/>
  <c r="C516" i="10"/>
  <c r="C544" i="10"/>
  <c r="C625" i="10"/>
  <c r="G529" i="10"/>
  <c r="H529" i="10" s="1"/>
  <c r="G509" i="10"/>
  <c r="H509" i="10" s="1"/>
  <c r="C713" i="10"/>
  <c r="C541" i="10"/>
  <c r="C638" i="10"/>
  <c r="C558" i="10"/>
  <c r="G537" i="10"/>
  <c r="H537" i="10" s="1"/>
  <c r="C631" i="10"/>
  <c r="C542" i="10"/>
  <c r="H512" i="10"/>
  <c r="G512" i="10"/>
  <c r="G515" i="10"/>
  <c r="H515" i="10"/>
  <c r="G517" i="10"/>
  <c r="H517" i="10" s="1"/>
  <c r="B538" i="1"/>
  <c r="B514" i="1"/>
  <c r="B525" i="1"/>
  <c r="B551" i="1"/>
  <c r="B543" i="1"/>
  <c r="B549" i="1"/>
  <c r="B557" i="1"/>
  <c r="B501" i="1"/>
  <c r="B517" i="1"/>
  <c r="B509" i="1"/>
  <c r="B513" i="1"/>
  <c r="B537" i="1"/>
  <c r="B547" i="1"/>
  <c r="B534" i="1"/>
  <c r="B566" i="1"/>
  <c r="B524" i="1"/>
  <c r="B558" i="1"/>
  <c r="B542" i="1"/>
  <c r="B506" i="1"/>
  <c r="B531" i="1"/>
  <c r="B570" i="1"/>
  <c r="B535" i="1"/>
  <c r="B562" i="1"/>
  <c r="B546" i="1"/>
  <c r="B518" i="1"/>
  <c r="B532" i="1"/>
  <c r="B516" i="1"/>
  <c r="B561" i="1"/>
  <c r="B550" i="1"/>
  <c r="B555" i="1"/>
  <c r="B540" i="1"/>
  <c r="B560" i="1"/>
  <c r="B548" i="1"/>
  <c r="B497" i="1"/>
  <c r="B545" i="1"/>
  <c r="B571" i="1"/>
  <c r="B541" i="1"/>
  <c r="B554" i="1"/>
  <c r="B530" i="1"/>
  <c r="B556" i="1"/>
  <c r="B568" i="1"/>
  <c r="B553" i="1"/>
  <c r="B529" i="1"/>
  <c r="B559" i="1"/>
  <c r="B507" i="1"/>
  <c r="B563" i="1"/>
  <c r="B569" i="1"/>
  <c r="B498" i="1"/>
  <c r="B564" i="1"/>
  <c r="B567" i="1"/>
  <c r="B574" i="1"/>
  <c r="B499" i="1"/>
  <c r="B527" i="1"/>
  <c r="B505" i="1"/>
  <c r="F505" i="1" s="1"/>
  <c r="B572" i="1"/>
  <c r="B503" i="1"/>
  <c r="B522" i="1"/>
  <c r="B544" i="1"/>
  <c r="B519" i="1"/>
  <c r="B504" i="1"/>
  <c r="B528" i="1"/>
  <c r="B533" i="1"/>
  <c r="B521" i="1"/>
  <c r="B510" i="1"/>
  <c r="B508" i="1"/>
  <c r="B520" i="1"/>
  <c r="B552" i="1"/>
  <c r="B539" i="1"/>
  <c r="B512" i="1"/>
  <c r="B515" i="1"/>
  <c r="B526" i="1"/>
  <c r="B502" i="1"/>
  <c r="B565" i="1"/>
  <c r="B536" i="1"/>
  <c r="B500" i="1"/>
  <c r="B523" i="1"/>
  <c r="F140" i="9"/>
  <c r="D12" i="9"/>
  <c r="I108" i="9"/>
  <c r="D204" i="9"/>
  <c r="F268" i="9"/>
  <c r="G332" i="9"/>
  <c r="C300" i="9"/>
  <c r="H76" i="9"/>
  <c r="G172" i="9"/>
  <c r="I236" i="9"/>
  <c r="D332" i="9"/>
  <c r="G44" i="9"/>
  <c r="C172" i="9"/>
  <c r="E236" i="9"/>
  <c r="G300" i="9"/>
  <c r="F44" i="9"/>
  <c r="H44" i="9"/>
  <c r="B446" i="1"/>
  <c r="D242" i="1"/>
  <c r="G140" i="9"/>
  <c r="E332" i="9"/>
  <c r="E12" i="9"/>
  <c r="C418" i="1"/>
  <c r="D438" i="1"/>
  <c r="C108" i="9"/>
  <c r="F14" i="6"/>
  <c r="C471" i="1"/>
  <c r="F10" i="6"/>
  <c r="D339" i="1"/>
  <c r="D26" i="9"/>
  <c r="CE75" i="1"/>
  <c r="G204" i="9"/>
  <c r="D108" i="9"/>
  <c r="E204" i="9"/>
  <c r="F7" i="6"/>
  <c r="E204" i="1"/>
  <c r="C468" i="1"/>
  <c r="I383" i="9"/>
  <c r="D22" i="7"/>
  <c r="C40" i="5"/>
  <c r="C420" i="1"/>
  <c r="B28" i="4"/>
  <c r="F186" i="9"/>
  <c r="I204" i="9"/>
  <c r="H172" i="9"/>
  <c r="AA52" i="1"/>
  <c r="AA67" i="1" s="1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434" i="1"/>
  <c r="D292" i="1"/>
  <c r="C58" i="9"/>
  <c r="BJ52" i="1" l="1"/>
  <c r="BJ67" i="1" s="1"/>
  <c r="M52" i="1"/>
  <c r="M67" i="1" s="1"/>
  <c r="M71" i="1" s="1"/>
  <c r="CB52" i="1"/>
  <c r="CB67" i="1" s="1"/>
  <c r="CB71" i="1" s="1"/>
  <c r="BZ52" i="1"/>
  <c r="BZ67" i="1" s="1"/>
  <c r="H337" i="9" s="1"/>
  <c r="F52" i="1"/>
  <c r="F67" i="1" s="1"/>
  <c r="AD52" i="1"/>
  <c r="AD67" i="1" s="1"/>
  <c r="AD71" i="1" s="1"/>
  <c r="BD52" i="1"/>
  <c r="BD67" i="1" s="1"/>
  <c r="BD71" i="1" s="1"/>
  <c r="AT52" i="1"/>
  <c r="AT67" i="1" s="1"/>
  <c r="AT71" i="1" s="1"/>
  <c r="D213" i="9" s="1"/>
  <c r="BX52" i="1"/>
  <c r="BX67" i="1" s="1"/>
  <c r="AQ52" i="1"/>
  <c r="AQ67" i="1" s="1"/>
  <c r="Z52" i="1"/>
  <c r="Z67" i="1" s="1"/>
  <c r="I52" i="1"/>
  <c r="I67" i="1" s="1"/>
  <c r="BR52" i="1"/>
  <c r="BR67" i="1" s="1"/>
  <c r="BR71" i="1" s="1"/>
  <c r="BH52" i="1"/>
  <c r="BH67" i="1" s="1"/>
  <c r="F209" i="9"/>
  <c r="H177" i="9"/>
  <c r="G52" i="1"/>
  <c r="G67" i="1" s="1"/>
  <c r="G71" i="1" s="1"/>
  <c r="D52" i="1"/>
  <c r="D67" i="1" s="1"/>
  <c r="D71" i="1" s="1"/>
  <c r="C497" i="1" s="1"/>
  <c r="G497" i="1" s="1"/>
  <c r="BN52" i="1"/>
  <c r="BN67" i="1" s="1"/>
  <c r="BN71" i="1" s="1"/>
  <c r="BM52" i="1"/>
  <c r="BM67" i="1" s="1"/>
  <c r="BM71" i="1" s="1"/>
  <c r="C638" i="1" s="1"/>
  <c r="BQ52" i="1"/>
  <c r="BQ67" i="1" s="1"/>
  <c r="BQ71" i="1" s="1"/>
  <c r="C623" i="1" s="1"/>
  <c r="AQ71" i="1"/>
  <c r="C536" i="1" s="1"/>
  <c r="G536" i="1" s="1"/>
  <c r="F273" i="9"/>
  <c r="BJ71" i="1"/>
  <c r="C555" i="1" s="1"/>
  <c r="I71" i="1"/>
  <c r="BU52" i="1"/>
  <c r="BU67" i="1" s="1"/>
  <c r="AH52" i="1"/>
  <c r="AH67" i="1" s="1"/>
  <c r="P52" i="1"/>
  <c r="P67" i="1" s="1"/>
  <c r="P71" i="1" s="1"/>
  <c r="V52" i="1"/>
  <c r="V67" i="1" s="1"/>
  <c r="BC52" i="1"/>
  <c r="BC67" i="1" s="1"/>
  <c r="BC71" i="1" s="1"/>
  <c r="BI52" i="1"/>
  <c r="BI67" i="1" s="1"/>
  <c r="K52" i="1"/>
  <c r="K67" i="1" s="1"/>
  <c r="K71" i="1" s="1"/>
  <c r="D53" i="9" s="1"/>
  <c r="AB52" i="1"/>
  <c r="AB67" i="1" s="1"/>
  <c r="BP52" i="1"/>
  <c r="BP67" i="1" s="1"/>
  <c r="BS52" i="1"/>
  <c r="BS67" i="1" s="1"/>
  <c r="W52" i="1"/>
  <c r="W67" i="1" s="1"/>
  <c r="AN52" i="1"/>
  <c r="AN67" i="1" s="1"/>
  <c r="CC52" i="1"/>
  <c r="CC67" i="1" s="1"/>
  <c r="U52" i="1"/>
  <c r="U67" i="1" s="1"/>
  <c r="AF52" i="1"/>
  <c r="AF67" i="1" s="1"/>
  <c r="AP52" i="1"/>
  <c r="AP67" i="1" s="1"/>
  <c r="AX52" i="1"/>
  <c r="AX67" i="1" s="1"/>
  <c r="BV52" i="1"/>
  <c r="BV67" i="1" s="1"/>
  <c r="BV71" i="1" s="1"/>
  <c r="T52" i="1"/>
  <c r="T67" i="1" s="1"/>
  <c r="T71" i="1" s="1"/>
  <c r="F85" i="9" s="1"/>
  <c r="AY52" i="1"/>
  <c r="AY67" i="1" s="1"/>
  <c r="AY71" i="1" s="1"/>
  <c r="BF52" i="1"/>
  <c r="BF67" i="1" s="1"/>
  <c r="BF71" i="1" s="1"/>
  <c r="I17" i="9"/>
  <c r="W71" i="1"/>
  <c r="C516" i="1" s="1"/>
  <c r="G516" i="1" s="1"/>
  <c r="J52" i="1"/>
  <c r="J67" i="1" s="1"/>
  <c r="AZ52" i="1"/>
  <c r="AZ67" i="1" s="1"/>
  <c r="AZ71" i="1" s="1"/>
  <c r="N52" i="1"/>
  <c r="N67" i="1" s="1"/>
  <c r="CA52" i="1"/>
  <c r="CA67" i="1" s="1"/>
  <c r="CA71" i="1" s="1"/>
  <c r="I341" i="9" s="1"/>
  <c r="C52" i="1"/>
  <c r="AE52" i="1"/>
  <c r="AE67" i="1" s="1"/>
  <c r="C145" i="9" s="1"/>
  <c r="BL52" i="1"/>
  <c r="BL67" i="1" s="1"/>
  <c r="AL52" i="1"/>
  <c r="AL67" i="1" s="1"/>
  <c r="AR52" i="1"/>
  <c r="AR67" i="1" s="1"/>
  <c r="AO52" i="1"/>
  <c r="AO67" i="1" s="1"/>
  <c r="BB52" i="1"/>
  <c r="BB67" i="1" s="1"/>
  <c r="AI52" i="1"/>
  <c r="AI67" i="1" s="1"/>
  <c r="L52" i="1"/>
  <c r="L67" i="1" s="1"/>
  <c r="E52" i="1"/>
  <c r="E67" i="1" s="1"/>
  <c r="BE52" i="1"/>
  <c r="BE67" i="1" s="1"/>
  <c r="AK52" i="1"/>
  <c r="AK67" i="1" s="1"/>
  <c r="AK71" i="1" s="1"/>
  <c r="C530" i="1" s="1"/>
  <c r="G530" i="1" s="1"/>
  <c r="AW52" i="1"/>
  <c r="AW67" i="1" s="1"/>
  <c r="AW71" i="1" s="1"/>
  <c r="C631" i="1" s="1"/>
  <c r="BY52" i="1"/>
  <c r="BY67" i="1" s="1"/>
  <c r="BY71" i="1" s="1"/>
  <c r="AM52" i="1"/>
  <c r="AM67" i="1" s="1"/>
  <c r="AM71" i="1" s="1"/>
  <c r="BG52" i="1"/>
  <c r="BG67" i="1" s="1"/>
  <c r="BG71" i="1" s="1"/>
  <c r="C618" i="1" s="1"/>
  <c r="Q52" i="1"/>
  <c r="Q67" i="1" s="1"/>
  <c r="Q71" i="1" s="1"/>
  <c r="BK52" i="1"/>
  <c r="BK67" i="1" s="1"/>
  <c r="O52" i="1"/>
  <c r="O67" i="1" s="1"/>
  <c r="BO52" i="1"/>
  <c r="BO67" i="1" s="1"/>
  <c r="BO71" i="1" s="1"/>
  <c r="C627" i="1" s="1"/>
  <c r="BT52" i="1"/>
  <c r="BT67" i="1" s="1"/>
  <c r="I305" i="9" s="1"/>
  <c r="H52" i="1"/>
  <c r="H67" i="1" s="1"/>
  <c r="H71" i="1" s="1"/>
  <c r="AU52" i="1"/>
  <c r="AU67" i="1" s="1"/>
  <c r="AU71" i="1" s="1"/>
  <c r="C540" i="1" s="1"/>
  <c r="G540" i="1" s="1"/>
  <c r="AS52" i="1"/>
  <c r="AS67" i="1" s="1"/>
  <c r="R52" i="1"/>
  <c r="R67" i="1" s="1"/>
  <c r="Y52" i="1"/>
  <c r="Y67" i="1" s="1"/>
  <c r="AC52" i="1"/>
  <c r="AC67" i="1" s="1"/>
  <c r="BW52" i="1"/>
  <c r="BW67" i="1" s="1"/>
  <c r="AJ52" i="1"/>
  <c r="AJ67" i="1" s="1"/>
  <c r="AG52" i="1"/>
  <c r="AG67" i="1" s="1"/>
  <c r="S52" i="1"/>
  <c r="S67" i="1" s="1"/>
  <c r="X52" i="1"/>
  <c r="X67" i="1" s="1"/>
  <c r="BA52" i="1"/>
  <c r="BA67" i="1" s="1"/>
  <c r="AE71" i="1"/>
  <c r="C524" i="1" s="1"/>
  <c r="G524" i="1" s="1"/>
  <c r="F337" i="9"/>
  <c r="E113" i="9"/>
  <c r="C628" i="1"/>
  <c r="C545" i="1"/>
  <c r="G545" i="1" s="1"/>
  <c r="C245" i="9"/>
  <c r="G213" i="9"/>
  <c r="F309" i="9"/>
  <c r="C681" i="1"/>
  <c r="C67" i="1"/>
  <c r="BT71" i="1"/>
  <c r="C562" i="1"/>
  <c r="BL71" i="1"/>
  <c r="C542" i="1"/>
  <c r="C685" i="1"/>
  <c r="BZ71" i="1"/>
  <c r="J71" i="1"/>
  <c r="H204" i="9"/>
  <c r="I149" i="9"/>
  <c r="AA71" i="1"/>
  <c r="C692" i="1" s="1"/>
  <c r="G245" i="9"/>
  <c r="C549" i="1"/>
  <c r="C624" i="1"/>
  <c r="F71" i="1"/>
  <c r="AO71" i="1"/>
  <c r="F172" i="9"/>
  <c r="I76" i="9"/>
  <c r="AX71" i="1"/>
  <c r="C616" i="1" s="1"/>
  <c r="C49" i="9"/>
  <c r="E108" i="9"/>
  <c r="Z71" i="1"/>
  <c r="BH71" i="1"/>
  <c r="D268" i="9"/>
  <c r="H236" i="9"/>
  <c r="BE71" i="1"/>
  <c r="BS71" i="1"/>
  <c r="H300" i="9"/>
  <c r="G268" i="9"/>
  <c r="BK71" i="1"/>
  <c r="C713" i="1"/>
  <c r="F213" i="9"/>
  <c r="C541" i="1"/>
  <c r="C81" i="9"/>
  <c r="G273" i="9"/>
  <c r="H17" i="9"/>
  <c r="D236" i="9"/>
  <c r="BA71" i="1"/>
  <c r="C532" i="1"/>
  <c r="G532" i="1" s="1"/>
  <c r="D181" i="9"/>
  <c r="C704" i="1"/>
  <c r="C241" i="9"/>
  <c r="I277" i="9"/>
  <c r="C558" i="1"/>
  <c r="H273" i="9"/>
  <c r="D300" i="9"/>
  <c r="C332" i="9"/>
  <c r="BU71" i="1"/>
  <c r="D273" i="9"/>
  <c r="I113" i="9"/>
  <c r="C647" i="1"/>
  <c r="C62" i="1"/>
  <c r="CE48" i="1"/>
  <c r="AR71" i="1"/>
  <c r="I172" i="9"/>
  <c r="F332" i="9"/>
  <c r="BX71" i="1"/>
  <c r="G76" i="9"/>
  <c r="U71" i="1"/>
  <c r="AB71" i="1"/>
  <c r="G108" i="9"/>
  <c r="C502" i="1"/>
  <c r="G502" i="1" s="1"/>
  <c r="I21" i="9"/>
  <c r="C674" i="1"/>
  <c r="C682" i="1"/>
  <c r="C85" i="9"/>
  <c r="C510" i="1"/>
  <c r="G510" i="1" s="1"/>
  <c r="I49" i="9"/>
  <c r="F241" i="9"/>
  <c r="G511" i="10"/>
  <c r="H511" i="10"/>
  <c r="G550" i="10"/>
  <c r="H550" i="10" s="1"/>
  <c r="G516" i="10"/>
  <c r="H516" i="10" s="1"/>
  <c r="G505" i="10"/>
  <c r="H505" i="10" s="1"/>
  <c r="G510" i="10"/>
  <c r="H510" i="10" s="1"/>
  <c r="G524" i="10"/>
  <c r="H524" i="10" s="1"/>
  <c r="G518" i="10"/>
  <c r="H518" i="10" s="1"/>
  <c r="C428" i="10"/>
  <c r="C441" i="10" s="1"/>
  <c r="CE71" i="10"/>
  <c r="C716" i="10" s="1"/>
  <c r="C648" i="10"/>
  <c r="M716" i="10" s="1"/>
  <c r="D615" i="10"/>
  <c r="G544" i="10"/>
  <c r="H544" i="10" s="1"/>
  <c r="C668" i="10"/>
  <c r="C715" i="10" s="1"/>
  <c r="C496" i="10"/>
  <c r="B511" i="1"/>
  <c r="B573" i="1"/>
  <c r="H501" i="1"/>
  <c r="F501" i="1"/>
  <c r="F517" i="1"/>
  <c r="F499" i="1"/>
  <c r="H499" i="1"/>
  <c r="H497" i="1"/>
  <c r="F497" i="1"/>
  <c r="F515" i="1"/>
  <c r="G17" i="9"/>
  <c r="I273" i="9"/>
  <c r="D27" i="7"/>
  <c r="B448" i="1"/>
  <c r="D21" i="9"/>
  <c r="F544" i="1"/>
  <c r="H536" i="1"/>
  <c r="F536" i="1"/>
  <c r="F528" i="1"/>
  <c r="F520" i="1"/>
  <c r="D341" i="1"/>
  <c r="C481" i="1" s="1"/>
  <c r="C50" i="8"/>
  <c r="H209" i="9"/>
  <c r="D337" i="9"/>
  <c r="F81" i="9"/>
  <c r="I209" i="9"/>
  <c r="I241" i="9"/>
  <c r="I378" i="9"/>
  <c r="K612" i="1"/>
  <c r="C465" i="1"/>
  <c r="C619" i="1"/>
  <c r="C559" i="1"/>
  <c r="C309" i="9"/>
  <c r="C126" i="8"/>
  <c r="F32" i="6"/>
  <c r="C478" i="1"/>
  <c r="C305" i="9"/>
  <c r="C708" i="1"/>
  <c r="C102" i="8"/>
  <c r="C482" i="1"/>
  <c r="F498" i="1"/>
  <c r="C501" i="1"/>
  <c r="G501" i="1" s="1"/>
  <c r="H21" i="9"/>
  <c r="C673" i="1"/>
  <c r="H241" i="9"/>
  <c r="G209" i="9"/>
  <c r="G337" i="9"/>
  <c r="D177" i="9"/>
  <c r="C476" i="1"/>
  <c r="F16" i="6"/>
  <c r="C672" i="1"/>
  <c r="C500" i="1"/>
  <c r="G500" i="1" s="1"/>
  <c r="G21" i="9"/>
  <c r="C563" i="1"/>
  <c r="G309" i="9"/>
  <c r="C626" i="1"/>
  <c r="C642" i="1"/>
  <c r="D341" i="9"/>
  <c r="C567" i="1"/>
  <c r="I245" i="9"/>
  <c r="C629" i="1"/>
  <c r="C551" i="1"/>
  <c r="G341" i="9"/>
  <c r="C570" i="1"/>
  <c r="C645" i="1"/>
  <c r="C711" i="1"/>
  <c r="F516" i="1"/>
  <c r="F305" i="9"/>
  <c r="C622" i="1"/>
  <c r="C373" i="9"/>
  <c r="C573" i="1"/>
  <c r="F540" i="1"/>
  <c r="H540" i="1"/>
  <c r="F532" i="1"/>
  <c r="H532" i="1"/>
  <c r="F524" i="1"/>
  <c r="F550" i="1"/>
  <c r="G305" i="9"/>
  <c r="F113" i="9"/>
  <c r="F49" i="9"/>
  <c r="C369" i="9"/>
  <c r="F17" i="9"/>
  <c r="G241" i="9"/>
  <c r="I213" i="9"/>
  <c r="C625" i="1"/>
  <c r="C544" i="1"/>
  <c r="G544" i="1" s="1"/>
  <c r="C506" i="1"/>
  <c r="G506" i="1" s="1"/>
  <c r="F53" i="9"/>
  <c r="C678" i="1"/>
  <c r="C523" i="1"/>
  <c r="G523" i="1" s="1"/>
  <c r="C695" i="1"/>
  <c r="I117" i="9"/>
  <c r="C688" i="1" l="1"/>
  <c r="C676" i="1"/>
  <c r="C617" i="1"/>
  <c r="D309" i="9"/>
  <c r="F277" i="9"/>
  <c r="C539" i="1"/>
  <c r="G539" i="1" s="1"/>
  <c r="D209" i="9"/>
  <c r="D17" i="9"/>
  <c r="I85" i="9"/>
  <c r="I145" i="9"/>
  <c r="H181" i="9"/>
  <c r="C669" i="1"/>
  <c r="C504" i="1"/>
  <c r="G504" i="1" s="1"/>
  <c r="C552" i="1"/>
  <c r="CE52" i="1"/>
  <c r="C560" i="1"/>
  <c r="C277" i="9"/>
  <c r="C572" i="1"/>
  <c r="D305" i="9"/>
  <c r="C702" i="1"/>
  <c r="C513" i="1"/>
  <c r="G513" i="1" s="1"/>
  <c r="I81" i="9"/>
  <c r="D49" i="9"/>
  <c r="C273" i="9"/>
  <c r="I337" i="9"/>
  <c r="CE67" i="1"/>
  <c r="E213" i="9"/>
  <c r="C696" i="1"/>
  <c r="E209" i="9"/>
  <c r="C712" i="1"/>
  <c r="D113" i="9"/>
  <c r="Y71" i="1"/>
  <c r="E71" i="1"/>
  <c r="E17" i="9"/>
  <c r="F177" i="9"/>
  <c r="CC71" i="1"/>
  <c r="D369" i="9"/>
  <c r="BP71" i="1"/>
  <c r="E305" i="9"/>
  <c r="F245" i="9"/>
  <c r="C548" i="1"/>
  <c r="C633" i="1"/>
  <c r="C337" i="9"/>
  <c r="D81" i="9"/>
  <c r="R71" i="1"/>
  <c r="L71" i="1"/>
  <c r="E49" i="9"/>
  <c r="I177" i="9"/>
  <c r="G177" i="9"/>
  <c r="AP71" i="1"/>
  <c r="E177" i="9"/>
  <c r="AN71" i="1"/>
  <c r="G113" i="9"/>
  <c r="H81" i="9"/>
  <c r="V71" i="1"/>
  <c r="E337" i="9"/>
  <c r="BW71" i="1"/>
  <c r="AS71" i="1"/>
  <c r="C209" i="9"/>
  <c r="G145" i="9"/>
  <c r="AI71" i="1"/>
  <c r="C177" i="9"/>
  <c r="AL71" i="1"/>
  <c r="AF71" i="1"/>
  <c r="D145" i="9"/>
  <c r="I53" i="9"/>
  <c r="C509" i="1"/>
  <c r="G509" i="1" s="1"/>
  <c r="AC71" i="1"/>
  <c r="H113" i="9"/>
  <c r="O71" i="1"/>
  <c r="H49" i="9"/>
  <c r="BB71" i="1"/>
  <c r="E241" i="9"/>
  <c r="G49" i="9"/>
  <c r="N71" i="1"/>
  <c r="G81" i="9"/>
  <c r="H305" i="9"/>
  <c r="BI71" i="1"/>
  <c r="E273" i="9"/>
  <c r="F145" i="9"/>
  <c r="AH71" i="1"/>
  <c r="H145" i="9"/>
  <c r="AJ71" i="1"/>
  <c r="H524" i="1"/>
  <c r="C433" i="1"/>
  <c r="C520" i="1"/>
  <c r="G520" i="1" s="1"/>
  <c r="C71" i="1"/>
  <c r="C149" i="9"/>
  <c r="AG71" i="1"/>
  <c r="E145" i="9"/>
  <c r="D241" i="9"/>
  <c r="X71" i="1"/>
  <c r="C113" i="9"/>
  <c r="S71" i="1"/>
  <c r="E81" i="9"/>
  <c r="C675" i="1"/>
  <c r="C503" i="1"/>
  <c r="G503" i="1" s="1"/>
  <c r="C53" i="9"/>
  <c r="C557" i="1"/>
  <c r="H277" i="9"/>
  <c r="C637" i="1"/>
  <c r="H341" i="9"/>
  <c r="C646" i="1"/>
  <c r="C571" i="1"/>
  <c r="C640" i="1"/>
  <c r="I309" i="9"/>
  <c r="C565" i="1"/>
  <c r="C17" i="9"/>
  <c r="F117" i="9"/>
  <c r="H213" i="9"/>
  <c r="C543" i="1"/>
  <c r="H520" i="1"/>
  <c r="C693" i="1"/>
  <c r="C521" i="1"/>
  <c r="G521" i="1" s="1"/>
  <c r="G117" i="9"/>
  <c r="C546" i="1"/>
  <c r="G546" i="1" s="1"/>
  <c r="C630" i="1"/>
  <c r="D245" i="9"/>
  <c r="C556" i="1"/>
  <c r="C635" i="1"/>
  <c r="G277" i="9"/>
  <c r="C639" i="1"/>
  <c r="C564" i="1"/>
  <c r="H309" i="9"/>
  <c r="C641" i="1"/>
  <c r="C566" i="1"/>
  <c r="C341" i="9"/>
  <c r="H516" i="1"/>
  <c r="C569" i="1"/>
  <c r="F341" i="9"/>
  <c r="C644" i="1"/>
  <c r="E117" i="9"/>
  <c r="C691" i="1"/>
  <c r="C519" i="1"/>
  <c r="G519" i="1" s="1"/>
  <c r="F181" i="9"/>
  <c r="C534" i="1"/>
  <c r="G534" i="1" s="1"/>
  <c r="C706" i="1"/>
  <c r="H544" i="1"/>
  <c r="G85" i="9"/>
  <c r="C514" i="1"/>
  <c r="G514" i="1" s="1"/>
  <c r="C686" i="1"/>
  <c r="C709" i="1"/>
  <c r="C537" i="1"/>
  <c r="G537" i="1" s="1"/>
  <c r="I181" i="9"/>
  <c r="C12" i="9"/>
  <c r="CE62" i="1"/>
  <c r="H245" i="9"/>
  <c r="C550" i="1"/>
  <c r="C614" i="1"/>
  <c r="C553" i="1"/>
  <c r="C636" i="1"/>
  <c r="D277" i="9"/>
  <c r="F21" i="9"/>
  <c r="C499" i="1"/>
  <c r="G499" i="1" s="1"/>
  <c r="C671" i="1"/>
  <c r="G496" i="10"/>
  <c r="H496" i="10" s="1"/>
  <c r="D710" i="10"/>
  <c r="D702" i="10"/>
  <c r="D694" i="10"/>
  <c r="D686" i="10"/>
  <c r="D678" i="10"/>
  <c r="D670" i="10"/>
  <c r="D647" i="10"/>
  <c r="D646" i="10"/>
  <c r="D645" i="10"/>
  <c r="D716" i="10"/>
  <c r="D707" i="10"/>
  <c r="D699" i="10"/>
  <c r="D691" i="10"/>
  <c r="D683" i="10"/>
  <c r="D675" i="10"/>
  <c r="D644" i="10"/>
  <c r="D643" i="10"/>
  <c r="D642" i="10"/>
  <c r="D641" i="10"/>
  <c r="D640" i="10"/>
  <c r="D712" i="10"/>
  <c r="D704" i="10"/>
  <c r="D696" i="10"/>
  <c r="D688" i="10"/>
  <c r="D680" i="10"/>
  <c r="D672" i="10"/>
  <c r="D709" i="10"/>
  <c r="D701" i="10"/>
  <c r="D693" i="10"/>
  <c r="D685" i="10"/>
  <c r="D677" i="10"/>
  <c r="D669" i="10"/>
  <c r="D711" i="10"/>
  <c r="D703" i="10"/>
  <c r="D695" i="10"/>
  <c r="D687" i="10"/>
  <c r="D679" i="10"/>
  <c r="D671" i="10"/>
  <c r="D700" i="10"/>
  <c r="D698" i="10"/>
  <c r="D673" i="10"/>
  <c r="D624" i="10"/>
  <c r="D692" i="10"/>
  <c r="D690" i="10"/>
  <c r="D639" i="10"/>
  <c r="D637" i="10"/>
  <c r="D635" i="10"/>
  <c r="D633" i="10"/>
  <c r="D630" i="10"/>
  <c r="D620" i="10"/>
  <c r="D616" i="10"/>
  <c r="D684" i="10"/>
  <c r="D682" i="10"/>
  <c r="D627" i="10"/>
  <c r="D713" i="10"/>
  <c r="D676" i="10"/>
  <c r="D674" i="10"/>
  <c r="D631" i="10"/>
  <c r="D623" i="10"/>
  <c r="D619" i="10"/>
  <c r="D697" i="10"/>
  <c r="D638" i="10"/>
  <c r="D636" i="10"/>
  <c r="D634" i="10"/>
  <c r="D628" i="10"/>
  <c r="D622" i="10"/>
  <c r="D618" i="10"/>
  <c r="D689" i="10"/>
  <c r="D668" i="10"/>
  <c r="D621" i="10"/>
  <c r="D708" i="10"/>
  <c r="D626" i="10"/>
  <c r="D625" i="10"/>
  <c r="D617" i="10"/>
  <c r="D681" i="10"/>
  <c r="D629" i="10"/>
  <c r="D632" i="10"/>
  <c r="D706" i="10"/>
  <c r="D705" i="10"/>
  <c r="F511" i="1"/>
  <c r="B496" i="1"/>
  <c r="F522" i="1"/>
  <c r="F510" i="1"/>
  <c r="H510" i="1"/>
  <c r="F513" i="1"/>
  <c r="H513" i="1"/>
  <c r="C142" i="8"/>
  <c r="F538" i="1"/>
  <c r="H538" i="1"/>
  <c r="F534" i="1"/>
  <c r="H534" i="1"/>
  <c r="H502" i="1"/>
  <c r="F502" i="1"/>
  <c r="H504" i="1"/>
  <c r="F504" i="1"/>
  <c r="H530" i="1"/>
  <c r="F530" i="1"/>
  <c r="F512" i="1"/>
  <c r="F526" i="1"/>
  <c r="F503" i="1"/>
  <c r="F508" i="1"/>
  <c r="F514" i="1"/>
  <c r="F507" i="1"/>
  <c r="F518" i="1"/>
  <c r="F546" i="1"/>
  <c r="F506" i="1"/>
  <c r="H506" i="1"/>
  <c r="H500" i="1"/>
  <c r="F500" i="1"/>
  <c r="F509" i="1"/>
  <c r="H509" i="1" s="1"/>
  <c r="H503" i="1" l="1"/>
  <c r="I369" i="9"/>
  <c r="H546" i="1"/>
  <c r="D85" i="9"/>
  <c r="C683" i="1"/>
  <c r="C511" i="1"/>
  <c r="C620" i="1"/>
  <c r="C574" i="1"/>
  <c r="D373" i="9"/>
  <c r="E341" i="9"/>
  <c r="C568" i="1"/>
  <c r="C643" i="1"/>
  <c r="C705" i="1"/>
  <c r="E181" i="9"/>
  <c r="C533" i="1"/>
  <c r="G533" i="1" s="1"/>
  <c r="C621" i="1"/>
  <c r="E309" i="9"/>
  <c r="C561" i="1"/>
  <c r="C670" i="1"/>
  <c r="C498" i="1"/>
  <c r="E21" i="9"/>
  <c r="E245" i="9"/>
  <c r="C632" i="1"/>
  <c r="C547" i="1"/>
  <c r="C181" i="9"/>
  <c r="C703" i="1"/>
  <c r="C531" i="1"/>
  <c r="G531" i="1" s="1"/>
  <c r="C710" i="1"/>
  <c r="C213" i="9"/>
  <c r="C538" i="1"/>
  <c r="G538" i="1" s="1"/>
  <c r="H85" i="9"/>
  <c r="C687" i="1"/>
  <c r="C515" i="1"/>
  <c r="G181" i="9"/>
  <c r="C707" i="1"/>
  <c r="C535" i="1"/>
  <c r="G535" i="1" s="1"/>
  <c r="C699" i="1"/>
  <c r="C527" i="1"/>
  <c r="G527" i="1" s="1"/>
  <c r="F149" i="9"/>
  <c r="C554" i="1"/>
  <c r="E277" i="9"/>
  <c r="C634" i="1"/>
  <c r="C680" i="1"/>
  <c r="C508" i="1"/>
  <c r="H53" i="9"/>
  <c r="H117" i="9"/>
  <c r="C522" i="1"/>
  <c r="C694" i="1"/>
  <c r="C697" i="1"/>
  <c r="C525" i="1"/>
  <c r="G525" i="1" s="1"/>
  <c r="D149" i="9"/>
  <c r="C505" i="1"/>
  <c r="C677" i="1"/>
  <c r="E53" i="9"/>
  <c r="C507" i="1"/>
  <c r="C679" i="1"/>
  <c r="G53" i="9"/>
  <c r="G149" i="9"/>
  <c r="C528" i="1"/>
  <c r="C700" i="1"/>
  <c r="C518" i="1"/>
  <c r="C690" i="1"/>
  <c r="D117" i="9"/>
  <c r="C529" i="1"/>
  <c r="G529" i="1" s="1"/>
  <c r="C701" i="1"/>
  <c r="H149" i="9"/>
  <c r="C526" i="1"/>
  <c r="E149" i="9"/>
  <c r="C698" i="1"/>
  <c r="E85" i="9"/>
  <c r="C684" i="1"/>
  <c r="C512" i="1"/>
  <c r="C689" i="1"/>
  <c r="C117" i="9"/>
  <c r="C517" i="1"/>
  <c r="D615" i="1"/>
  <c r="I364" i="9"/>
  <c r="CE71" i="1"/>
  <c r="C428" i="1"/>
  <c r="C441" i="1" s="1"/>
  <c r="H514" i="1"/>
  <c r="G550" i="1"/>
  <c r="H550" i="1" s="1"/>
  <c r="C496" i="1"/>
  <c r="G496" i="1" s="1"/>
  <c r="C668" i="1"/>
  <c r="C21" i="9"/>
  <c r="D715" i="10"/>
  <c r="E623" i="10"/>
  <c r="E612" i="10"/>
  <c r="F496" i="1"/>
  <c r="H545" i="1"/>
  <c r="F545" i="1"/>
  <c r="H525" i="1"/>
  <c r="F525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 s="1"/>
  <c r="F531" i="1"/>
  <c r="H531" i="1"/>
  <c r="H529" i="1" l="1"/>
  <c r="C648" i="1"/>
  <c r="M716" i="1" s="1"/>
  <c r="G505" i="1"/>
  <c r="H505" i="1" s="1"/>
  <c r="G508" i="1"/>
  <c r="H508" i="1" s="1"/>
  <c r="G498" i="1"/>
  <c r="H498" i="1" s="1"/>
  <c r="G528" i="1"/>
  <c r="H528" i="1" s="1"/>
  <c r="G507" i="1"/>
  <c r="H507" i="1"/>
  <c r="G522" i="1"/>
  <c r="H522" i="1" s="1"/>
  <c r="G511" i="1"/>
  <c r="H511" i="1" s="1"/>
  <c r="G518" i="1"/>
  <c r="H518" i="1" s="1"/>
  <c r="G515" i="1"/>
  <c r="H515" i="1"/>
  <c r="G526" i="1"/>
  <c r="H526" i="1" s="1"/>
  <c r="G512" i="1"/>
  <c r="H512" i="1"/>
  <c r="G517" i="1"/>
  <c r="H517" i="1" s="1"/>
  <c r="H496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72" i="1"/>
  <c r="D626" i="1"/>
  <c r="D680" i="1"/>
  <c r="D646" i="1"/>
  <c r="D695" i="1"/>
  <c r="D683" i="1"/>
  <c r="D679" i="1"/>
  <c r="D693" i="1"/>
  <c r="D625" i="1"/>
  <c r="D681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710" i="1"/>
  <c r="D641" i="1"/>
  <c r="D633" i="1"/>
  <c r="D619" i="1"/>
  <c r="D688" i="1"/>
  <c r="D618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68" i="1"/>
  <c r="D643" i="1"/>
  <c r="D708" i="1"/>
  <c r="D624" i="1"/>
  <c r="C716" i="1"/>
  <c r="I373" i="9"/>
  <c r="C715" i="1"/>
  <c r="E716" i="10"/>
  <c r="E707" i="10"/>
  <c r="E699" i="10"/>
  <c r="E691" i="10"/>
  <c r="E683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712" i="10"/>
  <c r="E704" i="10"/>
  <c r="E696" i="10"/>
  <c r="E688" i="10"/>
  <c r="E680" i="10"/>
  <c r="E672" i="10"/>
  <c r="E709" i="10"/>
  <c r="E701" i="10"/>
  <c r="E693" i="10"/>
  <c r="E685" i="10"/>
  <c r="E677" i="10"/>
  <c r="E669" i="10"/>
  <c r="E706" i="10"/>
  <c r="E698" i="10"/>
  <c r="E690" i="10"/>
  <c r="E682" i="10"/>
  <c r="E674" i="10"/>
  <c r="E708" i="10"/>
  <c r="E700" i="10"/>
  <c r="E692" i="10"/>
  <c r="E684" i="10"/>
  <c r="E676" i="10"/>
  <c r="E668" i="10"/>
  <c r="E702" i="10"/>
  <c r="E647" i="10"/>
  <c r="E630" i="10"/>
  <c r="E694" i="10"/>
  <c r="E627" i="10"/>
  <c r="E713" i="10"/>
  <c r="E711" i="10"/>
  <c r="E686" i="10"/>
  <c r="E631" i="10"/>
  <c r="E705" i="10"/>
  <c r="E703" i="10"/>
  <c r="E678" i="10"/>
  <c r="E646" i="10"/>
  <c r="E625" i="10"/>
  <c r="E689" i="10"/>
  <c r="E687" i="10"/>
  <c r="E632" i="10"/>
  <c r="E710" i="10"/>
  <c r="E673" i="10"/>
  <c r="E626" i="10"/>
  <c r="E697" i="10"/>
  <c r="E681" i="10"/>
  <c r="E671" i="10"/>
  <c r="E645" i="10"/>
  <c r="E629" i="10"/>
  <c r="E670" i="10"/>
  <c r="E628" i="10"/>
  <c r="E624" i="10"/>
  <c r="E695" i="10"/>
  <c r="E679" i="10"/>
  <c r="E623" i="1" l="1"/>
  <c r="E612" i="1"/>
  <c r="D715" i="1"/>
  <c r="E715" i="10"/>
  <c r="F624" i="10"/>
  <c r="E716" i="1" l="1"/>
  <c r="E631" i="1"/>
  <c r="E701" i="1"/>
  <c r="E624" i="1"/>
  <c r="E707" i="1"/>
  <c r="E673" i="1"/>
  <c r="E695" i="1"/>
  <c r="E672" i="1"/>
  <c r="E706" i="1"/>
  <c r="E626" i="1"/>
  <c r="E705" i="1"/>
  <c r="E688" i="1"/>
  <c r="E698" i="1"/>
  <c r="E693" i="1"/>
  <c r="E628" i="1"/>
  <c r="E703" i="1"/>
  <c r="E644" i="1"/>
  <c r="E689" i="1"/>
  <c r="E700" i="1"/>
  <c r="E645" i="1"/>
  <c r="E711" i="1"/>
  <c r="E627" i="1"/>
  <c r="E635" i="1"/>
  <c r="E679" i="1"/>
  <c r="E692" i="1"/>
  <c r="E685" i="1"/>
  <c r="E704" i="1"/>
  <c r="E696" i="1"/>
  <c r="E681" i="1"/>
  <c r="E686" i="1"/>
  <c r="E691" i="1"/>
  <c r="E680" i="1"/>
  <c r="E629" i="1"/>
  <c r="E668" i="1"/>
  <c r="E625" i="1"/>
  <c r="E699" i="1"/>
  <c r="E678" i="1"/>
  <c r="E642" i="1"/>
  <c r="E712" i="1"/>
  <c r="E646" i="1"/>
  <c r="E633" i="1"/>
  <c r="E708" i="1"/>
  <c r="E674" i="1"/>
  <c r="E710" i="1"/>
  <c r="E713" i="1"/>
  <c r="E671" i="1"/>
  <c r="E675" i="1"/>
  <c r="E687" i="1"/>
  <c r="E632" i="1"/>
  <c r="E709" i="1"/>
  <c r="E670" i="1"/>
  <c r="E682" i="1"/>
  <c r="E676" i="1"/>
  <c r="E697" i="1"/>
  <c r="E630" i="1"/>
  <c r="E643" i="1"/>
  <c r="E640" i="1"/>
  <c r="E684" i="1"/>
  <c r="E694" i="1"/>
  <c r="E690" i="1"/>
  <c r="E638" i="1"/>
  <c r="E641" i="1"/>
  <c r="E647" i="1"/>
  <c r="E683" i="1"/>
  <c r="E669" i="1"/>
  <c r="E702" i="1"/>
  <c r="E677" i="1"/>
  <c r="E636" i="1"/>
  <c r="E639" i="1"/>
  <c r="E634" i="1"/>
  <c r="E637" i="1"/>
  <c r="F712" i="10"/>
  <c r="F704" i="10"/>
  <c r="F696" i="10"/>
  <c r="F688" i="10"/>
  <c r="F680" i="10"/>
  <c r="F672" i="10"/>
  <c r="F709" i="10"/>
  <c r="F701" i="10"/>
  <c r="F693" i="10"/>
  <c r="F685" i="10"/>
  <c r="F677" i="10"/>
  <c r="F669" i="10"/>
  <c r="F706" i="10"/>
  <c r="F698" i="10"/>
  <c r="F690" i="10"/>
  <c r="F682" i="10"/>
  <c r="F674" i="10"/>
  <c r="F711" i="10"/>
  <c r="F703" i="10"/>
  <c r="F695" i="10"/>
  <c r="F687" i="10"/>
  <c r="F679" i="10"/>
  <c r="F671" i="10"/>
  <c r="F713" i="10"/>
  <c r="F705" i="10"/>
  <c r="F697" i="10"/>
  <c r="F689" i="10"/>
  <c r="F681" i="10"/>
  <c r="F673" i="10"/>
  <c r="F694" i="10"/>
  <c r="F692" i="10"/>
  <c r="F639" i="10"/>
  <c r="F637" i="10"/>
  <c r="F635" i="10"/>
  <c r="F633" i="10"/>
  <c r="F627" i="10"/>
  <c r="F686" i="10"/>
  <c r="F684" i="10"/>
  <c r="F644" i="10"/>
  <c r="F631" i="10"/>
  <c r="F716" i="10"/>
  <c r="F678" i="10"/>
  <c r="F676" i="10"/>
  <c r="F646" i="10"/>
  <c r="F641" i="10"/>
  <c r="F625" i="10"/>
  <c r="F707" i="10"/>
  <c r="F670" i="10"/>
  <c r="F668" i="10"/>
  <c r="F628" i="10"/>
  <c r="F691" i="10"/>
  <c r="F645" i="10"/>
  <c r="F640" i="10"/>
  <c r="F629" i="10"/>
  <c r="F626" i="10"/>
  <c r="F699" i="10"/>
  <c r="F642" i="10"/>
  <c r="F683" i="10"/>
  <c r="F708" i="10"/>
  <c r="F647" i="10"/>
  <c r="F634" i="10"/>
  <c r="F630" i="10"/>
  <c r="F632" i="10"/>
  <c r="F702" i="10"/>
  <c r="F638" i="10"/>
  <c r="F710" i="10"/>
  <c r="F675" i="10"/>
  <c r="F643" i="10"/>
  <c r="F700" i="10"/>
  <c r="F636" i="10"/>
  <c r="F624" i="1" l="1"/>
  <c r="E715" i="1"/>
  <c r="F715" i="10"/>
  <c r="G625" i="10"/>
  <c r="F712" i="1" l="1"/>
  <c r="F709" i="1"/>
  <c r="F692" i="1"/>
  <c r="F682" i="1"/>
  <c r="F672" i="1"/>
  <c r="F710" i="1"/>
  <c r="F632" i="1"/>
  <c r="F673" i="1"/>
  <c r="F678" i="1"/>
  <c r="F711" i="1"/>
  <c r="F675" i="1"/>
  <c r="F643" i="1"/>
  <c r="F688" i="1"/>
  <c r="F677" i="1"/>
  <c r="F687" i="1"/>
  <c r="F705" i="1"/>
  <c r="F691" i="1"/>
  <c r="F642" i="1"/>
  <c r="F636" i="1"/>
  <c r="F708" i="1"/>
  <c r="F637" i="1"/>
  <c r="F674" i="1"/>
  <c r="F638" i="1"/>
  <c r="F641" i="1"/>
  <c r="F699" i="1"/>
  <c r="F669" i="1"/>
  <c r="F627" i="1"/>
  <c r="F694" i="1"/>
  <c r="F684" i="1"/>
  <c r="F668" i="1"/>
  <c r="F701" i="1"/>
  <c r="F690" i="1"/>
  <c r="F680" i="1"/>
  <c r="F640" i="1"/>
  <c r="F696" i="1"/>
  <c r="F695" i="1"/>
  <c r="F679" i="1"/>
  <c r="F686" i="1"/>
  <c r="F700" i="1"/>
  <c r="F626" i="1"/>
  <c r="F646" i="1"/>
  <c r="F693" i="1"/>
  <c r="F681" i="1"/>
  <c r="F634" i="1"/>
  <c r="F706" i="1"/>
  <c r="F698" i="1"/>
  <c r="F647" i="1"/>
  <c r="F703" i="1"/>
  <c r="F644" i="1"/>
  <c r="F697" i="1"/>
  <c r="F704" i="1"/>
  <c r="F671" i="1"/>
  <c r="F645" i="1"/>
  <c r="F670" i="1"/>
  <c r="F683" i="1"/>
  <c r="F633" i="1"/>
  <c r="F629" i="1"/>
  <c r="F625" i="1"/>
  <c r="F630" i="1"/>
  <c r="F628" i="1"/>
  <c r="F716" i="1"/>
  <c r="F676" i="1"/>
  <c r="F689" i="1"/>
  <c r="F635" i="1"/>
  <c r="F707" i="1"/>
  <c r="F713" i="1"/>
  <c r="F631" i="1"/>
  <c r="F702" i="1"/>
  <c r="F639" i="1"/>
  <c r="F685" i="1"/>
  <c r="G709" i="10"/>
  <c r="G701" i="10"/>
  <c r="G693" i="10"/>
  <c r="G685" i="10"/>
  <c r="G677" i="10"/>
  <c r="G669" i="10"/>
  <c r="G706" i="10"/>
  <c r="G698" i="10"/>
  <c r="G690" i="10"/>
  <c r="G682" i="10"/>
  <c r="G674" i="10"/>
  <c r="G711" i="10"/>
  <c r="G703" i="10"/>
  <c r="G695" i="10"/>
  <c r="G687" i="10"/>
  <c r="G679" i="10"/>
  <c r="G671" i="10"/>
  <c r="G708" i="10"/>
  <c r="G700" i="10"/>
  <c r="G692" i="10"/>
  <c r="G684" i="10"/>
  <c r="G676" i="10"/>
  <c r="G668" i="10"/>
  <c r="G710" i="10"/>
  <c r="G702" i="10"/>
  <c r="G694" i="10"/>
  <c r="G686" i="10"/>
  <c r="G678" i="10"/>
  <c r="G670" i="10"/>
  <c r="G647" i="10"/>
  <c r="G646" i="10"/>
  <c r="G645" i="10"/>
  <c r="G696" i="10"/>
  <c r="G644" i="10"/>
  <c r="G631" i="10"/>
  <c r="G716" i="10"/>
  <c r="G713" i="10"/>
  <c r="G688" i="10"/>
  <c r="G641" i="10"/>
  <c r="G707" i="10"/>
  <c r="G705" i="10"/>
  <c r="G680" i="10"/>
  <c r="G628" i="10"/>
  <c r="G699" i="10"/>
  <c r="G697" i="10"/>
  <c r="G672" i="10"/>
  <c r="G643" i="10"/>
  <c r="G638" i="10"/>
  <c r="G636" i="10"/>
  <c r="G634" i="10"/>
  <c r="G632" i="10"/>
  <c r="G683" i="10"/>
  <c r="G681" i="10"/>
  <c r="G673" i="10"/>
  <c r="G627" i="10"/>
  <c r="G704" i="10"/>
  <c r="G640" i="10"/>
  <c r="G635" i="10"/>
  <c r="G630" i="10"/>
  <c r="G626" i="10"/>
  <c r="G675" i="10"/>
  <c r="G639" i="10"/>
  <c r="G629" i="10"/>
  <c r="G712" i="10"/>
  <c r="G691" i="10"/>
  <c r="G633" i="10"/>
  <c r="G689" i="10"/>
  <c r="G642" i="10"/>
  <c r="G637" i="10"/>
  <c r="F715" i="1" l="1"/>
  <c r="G625" i="1"/>
  <c r="G715" i="10"/>
  <c r="H628" i="10"/>
  <c r="G712" i="1" l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27" i="1"/>
  <c r="G683" i="1"/>
  <c r="G647" i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41" i="1"/>
  <c r="G697" i="1"/>
  <c r="G708" i="1"/>
  <c r="G699" i="1"/>
  <c r="G688" i="1"/>
  <c r="G644" i="1"/>
  <c r="G711" i="1"/>
  <c r="G638" i="1"/>
  <c r="G690" i="1"/>
  <c r="G702" i="1"/>
  <c r="G695" i="1"/>
  <c r="G669" i="1"/>
  <c r="G710" i="1"/>
  <c r="G645" i="1"/>
  <c r="G646" i="1"/>
  <c r="G640" i="1"/>
  <c r="G636" i="1"/>
  <c r="G626" i="1"/>
  <c r="G634" i="1"/>
  <c r="G689" i="1"/>
  <c r="G706" i="1"/>
  <c r="G628" i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81" i="1"/>
  <c r="G672" i="1"/>
  <c r="H706" i="10"/>
  <c r="H698" i="10"/>
  <c r="H690" i="10"/>
  <c r="H682" i="10"/>
  <c r="H674" i="10"/>
  <c r="H711" i="10"/>
  <c r="H703" i="10"/>
  <c r="H695" i="10"/>
  <c r="H687" i="10"/>
  <c r="H679" i="10"/>
  <c r="H671" i="10"/>
  <c r="H708" i="10"/>
  <c r="H700" i="10"/>
  <c r="H692" i="10"/>
  <c r="H684" i="10"/>
  <c r="H676" i="10"/>
  <c r="H668" i="10"/>
  <c r="H713" i="10"/>
  <c r="H705" i="10"/>
  <c r="H697" i="10"/>
  <c r="H689" i="10"/>
  <c r="H681" i="10"/>
  <c r="H673" i="10"/>
  <c r="H716" i="10"/>
  <c r="H707" i="10"/>
  <c r="H699" i="10"/>
  <c r="H691" i="10"/>
  <c r="H683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88" i="10"/>
  <c r="H686" i="10"/>
  <c r="H680" i="10"/>
  <c r="H678" i="10"/>
  <c r="H646" i="10"/>
  <c r="H709" i="10"/>
  <c r="H672" i="10"/>
  <c r="H670" i="10"/>
  <c r="H701" i="10"/>
  <c r="H629" i="10"/>
  <c r="H712" i="10"/>
  <c r="H710" i="10"/>
  <c r="H685" i="10"/>
  <c r="H704" i="10"/>
  <c r="H694" i="10"/>
  <c r="H693" i="10"/>
  <c r="H647" i="10"/>
  <c r="H677" i="10"/>
  <c r="H696" i="10"/>
  <c r="H702" i="10"/>
  <c r="H645" i="10"/>
  <c r="H669" i="10"/>
  <c r="H628" i="1" l="1"/>
  <c r="H683" i="1"/>
  <c r="H712" i="1"/>
  <c r="H633" i="1"/>
  <c r="H636" i="1"/>
  <c r="H680" i="1"/>
  <c r="H707" i="1"/>
  <c r="H675" i="1"/>
  <c r="H698" i="1"/>
  <c r="H684" i="1"/>
  <c r="H699" i="1"/>
  <c r="H705" i="1"/>
  <c r="H701" i="1"/>
  <c r="H690" i="1"/>
  <c r="H670" i="1"/>
  <c r="H637" i="1"/>
  <c r="H639" i="1"/>
  <c r="H688" i="1"/>
  <c r="H702" i="1"/>
  <c r="H711" i="1"/>
  <c r="H695" i="1"/>
  <c r="H704" i="1"/>
  <c r="H644" i="1"/>
  <c r="H635" i="1"/>
  <c r="H709" i="1"/>
  <c r="H673" i="1"/>
  <c r="H645" i="1"/>
  <c r="H643" i="1"/>
  <c r="H678" i="1"/>
  <c r="H679" i="1"/>
  <c r="H686" i="1"/>
  <c r="H632" i="1"/>
  <c r="H629" i="1"/>
  <c r="H716" i="1"/>
  <c r="H668" i="1"/>
  <c r="H640" i="1"/>
  <c r="H669" i="1"/>
  <c r="H700" i="1"/>
  <c r="H646" i="1"/>
  <c r="H677" i="1"/>
  <c r="H630" i="1"/>
  <c r="H672" i="1"/>
  <c r="H697" i="1"/>
  <c r="H694" i="1"/>
  <c r="H687" i="1"/>
  <c r="H676" i="1"/>
  <c r="H647" i="1"/>
  <c r="H685" i="1"/>
  <c r="H682" i="1"/>
  <c r="H634" i="1"/>
  <c r="H638" i="1"/>
  <c r="H689" i="1"/>
  <c r="H703" i="1"/>
  <c r="H706" i="1"/>
  <c r="H681" i="1"/>
  <c r="H708" i="1"/>
  <c r="H693" i="1"/>
  <c r="H692" i="1"/>
  <c r="H674" i="1"/>
  <c r="H631" i="1"/>
  <c r="H710" i="1"/>
  <c r="H713" i="1"/>
  <c r="H691" i="1"/>
  <c r="H641" i="1"/>
  <c r="H642" i="1"/>
  <c r="H671" i="1"/>
  <c r="H696" i="1"/>
  <c r="G715" i="1"/>
  <c r="H715" i="10"/>
  <c r="I629" i="10"/>
  <c r="H715" i="1" l="1"/>
  <c r="I629" i="1"/>
  <c r="I711" i="10"/>
  <c r="I703" i="10"/>
  <c r="I695" i="10"/>
  <c r="I687" i="10"/>
  <c r="I679" i="10"/>
  <c r="I671" i="10"/>
  <c r="I708" i="10"/>
  <c r="I700" i="10"/>
  <c r="I692" i="10"/>
  <c r="I684" i="10"/>
  <c r="I676" i="10"/>
  <c r="I668" i="10"/>
  <c r="I713" i="10"/>
  <c r="I705" i="10"/>
  <c r="I697" i="10"/>
  <c r="I689" i="10"/>
  <c r="I681" i="10"/>
  <c r="I673" i="10"/>
  <c r="I710" i="10"/>
  <c r="I702" i="10"/>
  <c r="I694" i="10"/>
  <c r="I686" i="10"/>
  <c r="I678" i="10"/>
  <c r="I670" i="10"/>
  <c r="I647" i="10"/>
  <c r="I646" i="10"/>
  <c r="I645" i="10"/>
  <c r="I712" i="10"/>
  <c r="I704" i="10"/>
  <c r="I696" i="10"/>
  <c r="I688" i="10"/>
  <c r="I680" i="10"/>
  <c r="I672" i="10"/>
  <c r="I716" i="10"/>
  <c r="I690" i="10"/>
  <c r="I641" i="10"/>
  <c r="I709" i="10"/>
  <c r="I707" i="10"/>
  <c r="I682" i="10"/>
  <c r="I701" i="10"/>
  <c r="I699" i="10"/>
  <c r="I674" i="10"/>
  <c r="I643" i="10"/>
  <c r="I638" i="10"/>
  <c r="I636" i="10"/>
  <c r="I634" i="10"/>
  <c r="I632" i="10"/>
  <c r="I693" i="10"/>
  <c r="I691" i="10"/>
  <c r="I640" i="10"/>
  <c r="I677" i="10"/>
  <c r="I675" i="10"/>
  <c r="I642" i="10"/>
  <c r="I630" i="10"/>
  <c r="I683" i="10"/>
  <c r="I635" i="10"/>
  <c r="I698" i="10"/>
  <c r="I639" i="10"/>
  <c r="I685" i="10"/>
  <c r="I644" i="10"/>
  <c r="I633" i="10"/>
  <c r="I706" i="10"/>
  <c r="I637" i="10"/>
  <c r="I669" i="10"/>
  <c r="I631" i="10"/>
  <c r="I635" i="1" l="1"/>
  <c r="I668" i="1"/>
  <c r="I696" i="1"/>
  <c r="I703" i="1"/>
  <c r="I644" i="1"/>
  <c r="I682" i="1"/>
  <c r="I680" i="1"/>
  <c r="I687" i="1"/>
  <c r="I695" i="1"/>
  <c r="I710" i="1"/>
  <c r="I713" i="1"/>
  <c r="I671" i="1"/>
  <c r="I643" i="1"/>
  <c r="I706" i="1"/>
  <c r="I678" i="1"/>
  <c r="I707" i="1"/>
  <c r="I633" i="1"/>
  <c r="I645" i="1"/>
  <c r="I637" i="1"/>
  <c r="I670" i="1"/>
  <c r="I692" i="1"/>
  <c r="I642" i="1"/>
  <c r="I647" i="1"/>
  <c r="I681" i="1"/>
  <c r="I676" i="1"/>
  <c r="I684" i="1"/>
  <c r="I672" i="1"/>
  <c r="I711" i="1"/>
  <c r="I640" i="1"/>
  <c r="I693" i="1"/>
  <c r="I709" i="1"/>
  <c r="I634" i="1"/>
  <c r="I630" i="1"/>
  <c r="I636" i="1"/>
  <c r="I669" i="1"/>
  <c r="I716" i="1"/>
  <c r="I705" i="1"/>
  <c r="I677" i="1"/>
  <c r="I674" i="1"/>
  <c r="I683" i="1"/>
  <c r="I689" i="1"/>
  <c r="I697" i="1"/>
  <c r="I641" i="1"/>
  <c r="I704" i="1"/>
  <c r="I694" i="1"/>
  <c r="I712" i="1"/>
  <c r="I702" i="1"/>
  <c r="I708" i="1"/>
  <c r="I673" i="1"/>
  <c r="I646" i="1"/>
  <c r="I700" i="1"/>
  <c r="I685" i="1"/>
  <c r="I699" i="1"/>
  <c r="I675" i="1"/>
  <c r="I691" i="1"/>
  <c r="I690" i="1"/>
  <c r="I688" i="1"/>
  <c r="I686" i="1"/>
  <c r="I698" i="1"/>
  <c r="I639" i="1"/>
  <c r="I638" i="1"/>
  <c r="I701" i="1"/>
  <c r="I632" i="1"/>
  <c r="I631" i="1"/>
  <c r="I679" i="1"/>
  <c r="I715" i="10"/>
  <c r="J630" i="10"/>
  <c r="I715" i="1" l="1"/>
  <c r="J630" i="1"/>
  <c r="J708" i="10"/>
  <c r="J700" i="10"/>
  <c r="J692" i="10"/>
  <c r="J684" i="10"/>
  <c r="J676" i="10"/>
  <c r="J668" i="10"/>
  <c r="J713" i="10"/>
  <c r="J705" i="10"/>
  <c r="J697" i="10"/>
  <c r="J689" i="10"/>
  <c r="J681" i="10"/>
  <c r="J673" i="10"/>
  <c r="J710" i="10"/>
  <c r="J702" i="10"/>
  <c r="J694" i="10"/>
  <c r="J686" i="10"/>
  <c r="J678" i="10"/>
  <c r="J670" i="10"/>
  <c r="J647" i="10"/>
  <c r="J646" i="10"/>
  <c r="J645" i="10"/>
  <c r="J716" i="10"/>
  <c r="J707" i="10"/>
  <c r="J699" i="10"/>
  <c r="J691" i="10"/>
  <c r="J683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09" i="10"/>
  <c r="J701" i="10"/>
  <c r="J693" i="10"/>
  <c r="J685" i="10"/>
  <c r="J677" i="10"/>
  <c r="J669" i="10"/>
  <c r="J682" i="10"/>
  <c r="J680" i="10"/>
  <c r="J711" i="10"/>
  <c r="J674" i="10"/>
  <c r="J672" i="10"/>
  <c r="J703" i="10"/>
  <c r="J695" i="10"/>
  <c r="J706" i="10"/>
  <c r="J704" i="10"/>
  <c r="J679" i="10"/>
  <c r="J698" i="10"/>
  <c r="J688" i="10"/>
  <c r="J687" i="10"/>
  <c r="J712" i="10"/>
  <c r="J671" i="10"/>
  <c r="J696" i="10"/>
  <c r="J690" i="10"/>
  <c r="J639" i="1" l="1"/>
  <c r="J632" i="1"/>
  <c r="J701" i="1"/>
  <c r="J687" i="1"/>
  <c r="J670" i="1"/>
  <c r="J699" i="1"/>
  <c r="J716" i="1"/>
  <c r="J696" i="1"/>
  <c r="J692" i="1"/>
  <c r="J645" i="1"/>
  <c r="J688" i="1"/>
  <c r="J637" i="1"/>
  <c r="J681" i="1"/>
  <c r="J693" i="1"/>
  <c r="J700" i="1"/>
  <c r="J708" i="1"/>
  <c r="J669" i="1"/>
  <c r="J682" i="1"/>
  <c r="J709" i="1"/>
  <c r="J636" i="1"/>
  <c r="J644" i="1"/>
  <c r="J704" i="1"/>
  <c r="J680" i="1"/>
  <c r="J673" i="1"/>
  <c r="J683" i="1"/>
  <c r="J684" i="1"/>
  <c r="J672" i="1"/>
  <c r="J677" i="1"/>
  <c r="J633" i="1"/>
  <c r="J642" i="1"/>
  <c r="J694" i="1"/>
  <c r="J646" i="1"/>
  <c r="J675" i="1"/>
  <c r="J691" i="1"/>
  <c r="J685" i="1"/>
  <c r="J678" i="1"/>
  <c r="J676" i="1"/>
  <c r="J698" i="1"/>
  <c r="J712" i="1"/>
  <c r="J635" i="1"/>
  <c r="J641" i="1"/>
  <c r="J689" i="1"/>
  <c r="J711" i="1"/>
  <c r="J640" i="1"/>
  <c r="J631" i="1"/>
  <c r="J697" i="1"/>
  <c r="J643" i="1"/>
  <c r="J707" i="1"/>
  <c r="J638" i="1"/>
  <c r="J706" i="1"/>
  <c r="J674" i="1"/>
  <c r="J695" i="1"/>
  <c r="J634" i="1"/>
  <c r="J668" i="1"/>
  <c r="J705" i="1"/>
  <c r="J690" i="1"/>
  <c r="J679" i="1"/>
  <c r="J647" i="1"/>
  <c r="J710" i="1"/>
  <c r="J702" i="1"/>
  <c r="J671" i="1"/>
  <c r="J686" i="1"/>
  <c r="J713" i="1"/>
  <c r="J703" i="1"/>
  <c r="K644" i="10"/>
  <c r="L647" i="10"/>
  <c r="J715" i="10"/>
  <c r="L647" i="1" l="1"/>
  <c r="K644" i="1"/>
  <c r="K716" i="1" s="1"/>
  <c r="L675" i="1"/>
  <c r="L710" i="1"/>
  <c r="L680" i="1"/>
  <c r="L678" i="1"/>
  <c r="L693" i="1"/>
  <c r="L691" i="1"/>
  <c r="L713" i="1"/>
  <c r="L669" i="1"/>
  <c r="L670" i="1"/>
  <c r="L683" i="1"/>
  <c r="L695" i="1"/>
  <c r="L705" i="1"/>
  <c r="L679" i="1"/>
  <c r="L716" i="1"/>
  <c r="L673" i="1"/>
  <c r="L702" i="1"/>
  <c r="L711" i="1"/>
  <c r="L688" i="1"/>
  <c r="L674" i="1"/>
  <c r="L709" i="1"/>
  <c r="L676" i="1"/>
  <c r="L689" i="1"/>
  <c r="L692" i="1"/>
  <c r="L672" i="1"/>
  <c r="L685" i="1"/>
  <c r="L686" i="1"/>
  <c r="L701" i="1"/>
  <c r="L706" i="1"/>
  <c r="L696" i="1"/>
  <c r="L697" i="1"/>
  <c r="L681" i="1"/>
  <c r="L687" i="1"/>
  <c r="L671" i="1"/>
  <c r="L677" i="1"/>
  <c r="L708" i="1"/>
  <c r="L704" i="1"/>
  <c r="L712" i="1"/>
  <c r="L684" i="1"/>
  <c r="L698" i="1"/>
  <c r="L694" i="1"/>
  <c r="L668" i="1"/>
  <c r="L700" i="1"/>
  <c r="L690" i="1"/>
  <c r="L707" i="1"/>
  <c r="L682" i="1"/>
  <c r="L703" i="1"/>
  <c r="L699" i="1"/>
  <c r="J715" i="1"/>
  <c r="K696" i="1"/>
  <c r="K698" i="1"/>
  <c r="K679" i="1"/>
  <c r="K713" i="1"/>
  <c r="K681" i="1"/>
  <c r="L710" i="10"/>
  <c r="L702" i="10"/>
  <c r="L694" i="10"/>
  <c r="L686" i="10"/>
  <c r="L678" i="10"/>
  <c r="L670" i="10"/>
  <c r="L716" i="10"/>
  <c r="L707" i="10"/>
  <c r="L699" i="10"/>
  <c r="L691" i="10"/>
  <c r="L683" i="10"/>
  <c r="L675" i="10"/>
  <c r="L712" i="10"/>
  <c r="L704" i="10"/>
  <c r="L696" i="10"/>
  <c r="L688" i="10"/>
  <c r="L680" i="10"/>
  <c r="L672" i="10"/>
  <c r="L709" i="10"/>
  <c r="L701" i="10"/>
  <c r="L693" i="10"/>
  <c r="L685" i="10"/>
  <c r="L677" i="10"/>
  <c r="L669" i="10"/>
  <c r="L711" i="10"/>
  <c r="L703" i="10"/>
  <c r="L695" i="10"/>
  <c r="L687" i="10"/>
  <c r="L679" i="10"/>
  <c r="L671" i="10"/>
  <c r="L713" i="10"/>
  <c r="L676" i="10"/>
  <c r="L674" i="10"/>
  <c r="L705" i="10"/>
  <c r="L668" i="10"/>
  <c r="L697" i="10"/>
  <c r="L689" i="10"/>
  <c r="L700" i="10"/>
  <c r="L698" i="10"/>
  <c r="L673" i="10"/>
  <c r="L708" i="10"/>
  <c r="L692" i="10"/>
  <c r="L682" i="10"/>
  <c r="L681" i="10"/>
  <c r="L706" i="10"/>
  <c r="L690" i="10"/>
  <c r="L684" i="10"/>
  <c r="K713" i="10"/>
  <c r="K705" i="10"/>
  <c r="K697" i="10"/>
  <c r="K689" i="10"/>
  <c r="K681" i="10"/>
  <c r="K673" i="10"/>
  <c r="K710" i="10"/>
  <c r="K702" i="10"/>
  <c r="K694" i="10"/>
  <c r="K686" i="10"/>
  <c r="K678" i="10"/>
  <c r="K670" i="10"/>
  <c r="K716" i="10"/>
  <c r="K707" i="10"/>
  <c r="K699" i="10"/>
  <c r="K691" i="10"/>
  <c r="K683" i="10"/>
  <c r="K675" i="10"/>
  <c r="K712" i="10"/>
  <c r="K704" i="10"/>
  <c r="K696" i="10"/>
  <c r="K688" i="10"/>
  <c r="K680" i="10"/>
  <c r="K672" i="10"/>
  <c r="K706" i="10"/>
  <c r="K698" i="10"/>
  <c r="K690" i="10"/>
  <c r="K682" i="10"/>
  <c r="K674" i="10"/>
  <c r="K711" i="10"/>
  <c r="K709" i="10"/>
  <c r="K684" i="10"/>
  <c r="K703" i="10"/>
  <c r="K701" i="10"/>
  <c r="K676" i="10"/>
  <c r="K695" i="10"/>
  <c r="K693" i="10"/>
  <c r="K668" i="10"/>
  <c r="K687" i="10"/>
  <c r="K685" i="10"/>
  <c r="K708" i="10"/>
  <c r="K671" i="10"/>
  <c r="K669" i="10"/>
  <c r="K677" i="10"/>
  <c r="K692" i="10"/>
  <c r="K700" i="10"/>
  <c r="K679" i="10"/>
  <c r="M673" i="10" l="1"/>
  <c r="M697" i="10"/>
  <c r="M676" i="10"/>
  <c r="M669" i="10"/>
  <c r="M701" i="10"/>
  <c r="M688" i="10"/>
  <c r="M675" i="10"/>
  <c r="M707" i="10"/>
  <c r="M686" i="10"/>
  <c r="K707" i="1"/>
  <c r="K694" i="1"/>
  <c r="K700" i="1"/>
  <c r="K672" i="1"/>
  <c r="M672" i="1" s="1"/>
  <c r="G23" i="9" s="1"/>
  <c r="K709" i="1"/>
  <c r="M709" i="1" s="1"/>
  <c r="K706" i="1"/>
  <c r="K687" i="1"/>
  <c r="M687" i="1" s="1"/>
  <c r="H87" i="9" s="1"/>
  <c r="K680" i="1"/>
  <c r="M680" i="1" s="1"/>
  <c r="K676" i="1"/>
  <c r="K708" i="1"/>
  <c r="K703" i="1"/>
  <c r="K670" i="1"/>
  <c r="M670" i="1" s="1"/>
  <c r="K677" i="1"/>
  <c r="M677" i="1" s="1"/>
  <c r="K689" i="1"/>
  <c r="K695" i="1"/>
  <c r="M695" i="1" s="1"/>
  <c r="I119" i="9" s="1"/>
  <c r="K692" i="1"/>
  <c r="M692" i="1" s="1"/>
  <c r="K699" i="1"/>
  <c r="M699" i="1" s="1"/>
  <c r="K711" i="1"/>
  <c r="K671" i="1"/>
  <c r="K673" i="1"/>
  <c r="M673" i="1" s="1"/>
  <c r="K701" i="1"/>
  <c r="M701" i="1" s="1"/>
  <c r="K678" i="1"/>
  <c r="K712" i="1"/>
  <c r="M712" i="1" s="1"/>
  <c r="E215" i="9" s="1"/>
  <c r="K685" i="1"/>
  <c r="M685" i="1" s="1"/>
  <c r="K683" i="1"/>
  <c r="M683" i="1" s="1"/>
  <c r="K710" i="1"/>
  <c r="K668" i="1"/>
  <c r="K669" i="1"/>
  <c r="K684" i="1"/>
  <c r="M684" i="1" s="1"/>
  <c r="K674" i="1"/>
  <c r="K690" i="1"/>
  <c r="M690" i="1" s="1"/>
  <c r="K693" i="1"/>
  <c r="M693" i="1" s="1"/>
  <c r="K691" i="1"/>
  <c r="M691" i="1" s="1"/>
  <c r="K702" i="1"/>
  <c r="K697" i="1"/>
  <c r="K705" i="1"/>
  <c r="M705" i="1" s="1"/>
  <c r="E183" i="9" s="1"/>
  <c r="K682" i="1"/>
  <c r="M682" i="1" s="1"/>
  <c r="K675" i="1"/>
  <c r="K704" i="1"/>
  <c r="M704" i="1" s="1"/>
  <c r="D183" i="9" s="1"/>
  <c r="K686" i="1"/>
  <c r="M686" i="1" s="1"/>
  <c r="K688" i="1"/>
  <c r="M688" i="1" s="1"/>
  <c r="M698" i="1"/>
  <c r="M708" i="1"/>
  <c r="M681" i="1"/>
  <c r="M674" i="1"/>
  <c r="M713" i="1"/>
  <c r="F215" i="9" s="1"/>
  <c r="M703" i="1"/>
  <c r="M700" i="1"/>
  <c r="M697" i="1"/>
  <c r="M689" i="1"/>
  <c r="M710" i="1"/>
  <c r="M671" i="1"/>
  <c r="M696" i="1"/>
  <c r="C151" i="9" s="1"/>
  <c r="M711" i="1"/>
  <c r="M679" i="1"/>
  <c r="M675" i="1"/>
  <c r="M707" i="1"/>
  <c r="M694" i="1"/>
  <c r="M706" i="1"/>
  <c r="F183" i="9" s="1"/>
  <c r="M702" i="1"/>
  <c r="M669" i="1"/>
  <c r="D23" i="9" s="1"/>
  <c r="M678" i="1"/>
  <c r="F55" i="9" s="1"/>
  <c r="E151" i="9"/>
  <c r="I55" i="9"/>
  <c r="G151" i="9"/>
  <c r="D151" i="9"/>
  <c r="L715" i="1"/>
  <c r="M668" i="1"/>
  <c r="F23" i="9"/>
  <c r="D215" i="9"/>
  <c r="C55" i="9"/>
  <c r="M698" i="10"/>
  <c r="M677" i="10"/>
  <c r="M696" i="10"/>
  <c r="M690" i="10"/>
  <c r="M700" i="10"/>
  <c r="M705" i="10"/>
  <c r="M671" i="10"/>
  <c r="M704" i="10"/>
  <c r="M670" i="10"/>
  <c r="M689" i="10"/>
  <c r="M693" i="10"/>
  <c r="M712" i="10"/>
  <c r="M678" i="10"/>
  <c r="M679" i="10"/>
  <c r="M681" i="10"/>
  <c r="M687" i="10"/>
  <c r="M682" i="10"/>
  <c r="L715" i="10"/>
  <c r="M668" i="10"/>
  <c r="M695" i="10"/>
  <c r="M709" i="10"/>
  <c r="M683" i="10"/>
  <c r="M694" i="10"/>
  <c r="K715" i="10"/>
  <c r="M692" i="10"/>
  <c r="M703" i="10"/>
  <c r="M672" i="10"/>
  <c r="M691" i="10"/>
  <c r="M702" i="10"/>
  <c r="M684" i="10"/>
  <c r="M713" i="10"/>
  <c r="M685" i="10"/>
  <c r="M706" i="10"/>
  <c r="M708" i="10"/>
  <c r="M674" i="10"/>
  <c r="M711" i="10"/>
  <c r="M680" i="10"/>
  <c r="M699" i="10"/>
  <c r="M710" i="10"/>
  <c r="G87" i="9" l="1"/>
  <c r="I151" i="9"/>
  <c r="H23" i="9"/>
  <c r="D119" i="9"/>
  <c r="G119" i="9"/>
  <c r="F119" i="9"/>
  <c r="E23" i="9"/>
  <c r="F87" i="9"/>
  <c r="C183" i="9"/>
  <c r="K715" i="1"/>
  <c r="E119" i="9"/>
  <c r="H151" i="9"/>
  <c r="I87" i="9"/>
  <c r="D87" i="9"/>
  <c r="E55" i="9"/>
  <c r="C87" i="9"/>
  <c r="F151" i="9"/>
  <c r="H183" i="9"/>
  <c r="M676" i="1"/>
  <c r="M715" i="1" s="1"/>
  <c r="H119" i="9"/>
  <c r="I183" i="9"/>
  <c r="G55" i="9"/>
  <c r="E87" i="9"/>
  <c r="I23" i="9"/>
  <c r="G183" i="9"/>
  <c r="C119" i="9"/>
  <c r="H55" i="9"/>
  <c r="C215" i="9"/>
  <c r="C23" i="9"/>
  <c r="M715" i="10"/>
  <c r="D55" i="9" l="1"/>
</calcChain>
</file>

<file path=xl/sharedStrings.xml><?xml version="1.0" encoding="utf-8"?>
<sst xmlns="http://schemas.openxmlformats.org/spreadsheetml/2006/main" count="4403" uniqueCount="1018">
  <si>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</si>
  <si>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</si>
  <si>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The operating expenses, the units of measure and the operating expenses per unit of measure are stated on line 496 thru line 575 in columns</t>
  </si>
  <si>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</si>
  <si>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</si>
  <si>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Your hospital license number and fiscal year end have already been entered. These items need to be in alpha format rather</t>
  </si>
  <si>
    <t>than numeric format in order to pick up correctly for upload to the year end report database.</t>
  </si>
  <si>
    <t>If you want to review what you reported for the prior year you can click on the tab titled prior year.</t>
  </si>
  <si>
    <t>If you have any questions or concerns please call Communty Health Systems at 360-236-4210 or send an e-mail to</t>
  </si>
  <si>
    <t>hos@doh.wa.gov.</t>
  </si>
  <si>
    <t>To submit your report by electronic mail, please send to:</t>
  </si>
  <si>
    <t>Please remember to send a signed certification page and an audited financial statement by regular mail when they are available.</t>
  </si>
  <si>
    <t>It is only necessary to enter data on this page. Items will automatically transfer from this page to the report pages.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</si>
  <si>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</si>
  <si>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</si>
  <si>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</si>
  <si>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C47..CC47.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</si>
  <si>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</si>
  <si>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</si>
  <si>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</si>
  <si>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</si>
  <si>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C51..CC51.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</si>
  <si>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</si>
  <si>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</si>
  <si>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</si>
  <si>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</si>
  <si>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</si>
  <si>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</si>
  <si>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</si>
  <si>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</si>
  <si>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</si>
  <si>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</si>
  <si>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</si>
  <si>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</si>
  <si>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</si>
  <si>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</si>
  <si>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</si>
  <si>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</si>
  <si>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</si>
  <si>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</si>
  <si>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</si>
  <si>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</si>
  <si>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</si>
  <si>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</si>
  <si>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</si>
  <si>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</si>
  <si>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</si>
  <si>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</si>
  <si>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</si>
  <si>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</si>
  <si>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</si>
  <si>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</si>
  <si>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</si>
  <si>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</si>
  <si>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</si>
  <si>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</si>
  <si>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</si>
  <si>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</si>
  <si>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</si>
  <si>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</si>
  <si>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</si>
  <si>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</si>
  <si>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</si>
  <si>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</si>
  <si>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</si>
  <si>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</si>
  <si>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</si>
  <si>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</si>
  <si>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</si>
  <si>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</si>
  <si>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</si>
  <si>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</si>
  <si>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</si>
  <si>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</si>
  <si>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</si>
  <si>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</si>
  <si>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</si>
  <si>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</si>
  <si>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</si>
  <si>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</si>
  <si>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</si>
  <si>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</si>
  <si>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</si>
  <si>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</si>
  <si>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</si>
  <si>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</si>
  <si>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</si>
  <si>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</si>
  <si>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</si>
  <si>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</si>
  <si>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</si>
  <si>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</si>
  <si>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</si>
  <si>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</si>
  <si>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</si>
  <si>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</si>
  <si>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</si>
  <si>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</si>
  <si>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</si>
  <si>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</si>
  <si>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</si>
  <si>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</si>
  <si>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</si>
  <si>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</si>
  <si>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</si>
  <si>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</si>
  <si>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</si>
  <si>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</si>
  <si>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</si>
  <si>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</si>
  <si>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</si>
  <si>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</si>
  <si>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</si>
  <si>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</si>
  <si>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</si>
  <si>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</si>
  <si>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</si>
  <si>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</si>
  <si>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</si>
  <si>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</si>
  <si>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</si>
  <si>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</si>
  <si>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</si>
  <si>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</si>
  <si>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</si>
  <si>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</si>
  <si>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</si>
  <si>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</si>
  <si>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</si>
  <si>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</si>
  <si>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</si>
  <si>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</si>
  <si>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</si>
  <si>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</si>
  <si>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</si>
  <si>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</si>
  <si>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</si>
  <si>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</si>
  <si>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</si>
  <si>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</si>
  <si>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</si>
  <si>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</si>
  <si>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</si>
  <si>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</si>
  <si>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</si>
  <si>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</si>
  <si>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</si>
  <si>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</si>
  <si>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</si>
  <si>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</si>
  <si>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</si>
  <si>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</si>
  <si>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</si>
  <si>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</si>
  <si>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</si>
  <si>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</si>
  <si>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</si>
  <si>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</si>
  <si>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</si>
  <si>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</si>
  <si>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</si>
  <si>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</si>
  <si>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</si>
  <si>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</si>
  <si>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</si>
  <si>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</si>
  <si>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</si>
  <si>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</si>
  <si>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</si>
  <si>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</si>
  <si>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</si>
  <si>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</si>
  <si>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</si>
  <si>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</si>
  <si>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</si>
  <si>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</si>
  <si>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</si>
  <si>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</si>
  <si>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</si>
  <si>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</si>
  <si>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</si>
  <si>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</si>
  <si>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</si>
  <si>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</si>
  <si>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</si>
  <si>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</si>
  <si>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</si>
  <si>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</si>
  <si>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</si>
  <si>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</si>
  <si>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</si>
  <si>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</si>
  <si>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</si>
  <si>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</si>
  <si>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</si>
  <si>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</si>
  <si>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</si>
  <si>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</si>
  <si>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</si>
  <si>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</si>
  <si>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</si>
  <si>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</si>
  <si>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</si>
  <si>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</si>
  <si>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</si>
  <si>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</si>
  <si>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</si>
  <si>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</si>
  <si>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</si>
  <si>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</si>
  <si>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</si>
  <si>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</si>
  <si>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</si>
  <si>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</si>
  <si>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</si>
  <si>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</si>
  <si>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</si>
  <si>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</si>
  <si>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</si>
  <si>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</si>
  <si>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</si>
  <si>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</si>
  <si>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</si>
  <si>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</si>
  <si>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</si>
  <si>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</si>
  <si>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</si>
  <si>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</si>
  <si>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</si>
  <si>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</si>
  <si>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</si>
  <si>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</si>
  <si>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</si>
  <si>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</si>
  <si>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</si>
  <si>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</si>
  <si>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</si>
  <si>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</si>
  <si>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</si>
  <si>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</si>
  <si>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</si>
  <si>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</si>
  <si>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</si>
  <si>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</si>
  <si>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</si>
  <si>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</si>
  <si>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</si>
  <si>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</si>
  <si>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</si>
  <si>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</si>
  <si>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</si>
  <si>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</si>
  <si>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</si>
  <si>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</si>
  <si>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</si>
  <si>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</si>
  <si>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</si>
  <si>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</si>
  <si>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</si>
  <si>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</si>
  <si>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</si>
  <si>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</si>
  <si>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</si>
  <si>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</si>
  <si>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</si>
  <si>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</si>
  <si>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</si>
  <si>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</si>
  <si>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</si>
  <si>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</si>
  <si>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</si>
  <si>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</si>
  <si>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12/31/2019</t>
  </si>
  <si>
    <t>License Number</t>
  </si>
  <si>
    <t>:</t>
  </si>
  <si>
    <t>085</t>
  </si>
  <si>
    <t>Hospital Name</t>
  </si>
  <si>
    <t>Jefferson County Public Hospital District No 2</t>
  </si>
  <si>
    <t>Street Address</t>
  </si>
  <si>
    <t>834 Sheridan Street</t>
  </si>
  <si>
    <t>Mailing Address</t>
  </si>
  <si>
    <t>City, State, Zip</t>
  </si>
  <si>
    <t>Port Townsend, WA 98368</t>
  </si>
  <si>
    <t>County</t>
  </si>
  <si>
    <t>Jefferson County</t>
  </si>
  <si>
    <t>Chief Executive Officer</t>
  </si>
  <si>
    <t>Mike Glenn</t>
  </si>
  <si>
    <t>Chief Financial Officer</t>
  </si>
  <si>
    <t>Hilary Whittington</t>
  </si>
  <si>
    <t>Chair of Governing Board</t>
  </si>
  <si>
    <t>Jill Rienstra</t>
  </si>
  <si>
    <t>Telephone Number</t>
  </si>
  <si>
    <t>360-385-2200</t>
  </si>
  <si>
    <t>Facsimile Number</t>
  </si>
  <si>
    <t>360-379-2242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</si>
  <si>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</si>
  <si>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</si>
  <si>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</si>
  <si>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</si>
  <si>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</si>
  <si>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</si>
  <si>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</si>
  <si>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</si>
  <si>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</si>
  <si>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</si>
  <si>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</si>
  <si>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</si>
  <si>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</si>
  <si>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</si>
  <si>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</si>
  <si>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</si>
  <si>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</si>
  <si>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</si>
  <si>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</si>
  <si>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</si>
  <si>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</si>
  <si>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</si>
  <si>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</si>
  <si>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</si>
  <si>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</si>
  <si>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</si>
  <si>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</si>
  <si>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</si>
  <si>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</si>
  <si>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</si>
  <si>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</si>
  <si>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</si>
  <si>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</si>
  <si>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</si>
  <si>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</si>
  <si>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</si>
  <si>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</si>
  <si>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</si>
  <si>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</si>
  <si>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</si>
  <si>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</si>
  <si>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</si>
  <si>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</si>
  <si>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</si>
  <si>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</si>
  <si>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</si>
  <si>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</si>
  <si>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</si>
  <si>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</si>
  <si>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</si>
  <si>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</si>
  <si>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</si>
  <si>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</si>
  <si>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</si>
  <si>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</si>
  <si>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</si>
  <si>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</si>
  <si>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</si>
  <si>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</si>
  <si>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</si>
  <si>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</si>
  <si>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</si>
  <si>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</si>
  <si>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</si>
  <si>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</si>
  <si>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</si>
  <si>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</si>
  <si>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</si>
  <si>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</si>
  <si>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</si>
  <si>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</si>
  <si>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</si>
  <si>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</si>
  <si>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</si>
  <si>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</si>
  <si>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</si>
  <si>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</si>
  <si>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</si>
  <si>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</si>
  <si>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</si>
  <si>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</si>
  <si>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</si>
  <si>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</si>
  <si>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</si>
  <si>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</si>
  <si>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</si>
  <si>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</si>
  <si>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</si>
  <si>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</si>
  <si>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</si>
  <si>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</si>
  <si>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</si>
  <si>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</si>
  <si>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</si>
  <si>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</si>
  <si>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</si>
  <si>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</si>
  <si>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</si>
  <si>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</si>
  <si>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</si>
  <si>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</si>
  <si>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</si>
  <si>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</si>
  <si>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</si>
  <si>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</si>
  <si>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</si>
  <si>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</si>
  <si>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</si>
  <si>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</si>
  <si>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</si>
  <si>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</si>
  <si>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</si>
  <si>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</si>
  <si>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</si>
  <si>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</si>
  <si>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</si>
  <si>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</si>
  <si>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</si>
  <si>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</si>
  <si>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</si>
  <si>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</si>
  <si>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</si>
  <si>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</si>
  <si>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</si>
  <si>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</si>
  <si>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</si>
  <si>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</si>
  <si>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</si>
  <si>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</si>
  <si>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</si>
  <si>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</si>
  <si>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</si>
  <si>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</si>
  <si>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</si>
  <si>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</si>
  <si>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</si>
  <si>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</si>
  <si>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</si>
  <si>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</si>
  <si>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</si>
  <si>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</si>
  <si>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</si>
  <si>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</si>
  <si>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</si>
  <si>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</si>
  <si>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</si>
  <si>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</si>
  <si>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</si>
  <si>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</si>
  <si>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</si>
  <si>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</si>
  <si>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</si>
  <si>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</si>
  <si>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</si>
  <si>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</si>
  <si>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</si>
  <si>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</si>
  <si>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</si>
  <si>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</si>
  <si>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</si>
  <si>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</si>
  <si>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</si>
  <si>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</si>
  <si>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</si>
  <si>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</si>
  <si>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</si>
  <si>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</si>
  <si>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</si>
  <si>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</si>
  <si>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</si>
  <si>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</si>
  <si>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</si>
  <si>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</si>
  <si>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</si>
  <si>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</si>
  <si>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</si>
  <si>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</si>
  <si>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</si>
  <si>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</si>
  <si>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</si>
  <si>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</si>
  <si>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</si>
  <si>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</si>
  <si>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</si>
  <si>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</si>
  <si>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</si>
  <si>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</si>
  <si>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</si>
  <si>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</si>
  <si>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</si>
  <si>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</si>
  <si>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</si>
  <si>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</si>
  <si>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</si>
  <si>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</si>
  <si>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</si>
  <si>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</si>
  <si>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</si>
  <si>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</si>
  <si>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</si>
  <si>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</si>
  <si>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</si>
  <si>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</si>
  <si>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</si>
  <si>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Payer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</si>
  <si>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</si>
  <si>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</si>
  <si>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</si>
  <si>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</si>
  <si>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</si>
  <si>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</si>
  <si>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</si>
  <si>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</si>
  <si>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Newborn Patient Days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</si>
  <si>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</si>
  <si>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</si>
  <si>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</si>
  <si>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</si>
  <si>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</si>
  <si>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</si>
  <si>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</si>
  <si>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</si>
  <si>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</si>
  <si>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</si>
  <si>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</si>
  <si>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Bad Debt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</si>
  <si>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</si>
  <si>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</si>
  <si>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</si>
  <si>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</si>
  <si>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</si>
  <si>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</si>
  <si>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</si>
  <si>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</si>
  <si>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PAYER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</si>
  <si>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</si>
  <si>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</si>
  <si>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</si>
  <si>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</si>
  <si>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</si>
  <si>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</si>
  <si>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</si>
  <si>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</si>
  <si>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</si>
  <si>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</si>
  <si>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</si>
  <si>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</si>
  <si>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</si>
  <si>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</si>
  <si>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</si>
  <si>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</si>
  <si>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</si>
  <si>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</si>
  <si>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</si>
  <si>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</si>
  <si>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</si>
  <si>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</si>
  <si>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</si>
  <si>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</si>
  <si>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</si>
  <si>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</si>
  <si>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</si>
  <si>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</si>
  <si>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</si>
  <si>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</si>
  <si>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</si>
  <si>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</si>
  <si>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Patient days have gone up and depreciation expense went down.</t>
  </si>
  <si>
    <t>6330  Hospice Inpatient</t>
  </si>
  <si>
    <t>6400  Other Daily Services</t>
  </si>
  <si>
    <t>7010  Labor  Delivery</t>
  </si>
  <si>
    <t>7020  Surgical Services</t>
  </si>
  <si>
    <t>7030  Recovery Room</t>
  </si>
  <si>
    <t>Staffing model changed and salaries are now expensed in the surgical services department.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</si>
  <si>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</si>
  <si>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</si>
  <si>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</si>
  <si>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</si>
  <si>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</si>
  <si>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</si>
  <si>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</si>
  <si>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</si>
  <si>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</si>
  <si>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</si>
  <si>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</si>
  <si>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</si>
  <si>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</si>
  <si>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</si>
  <si>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</si>
  <si>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</si>
  <si>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</si>
  <si>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</si>
  <si>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</si>
  <si>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</si>
  <si>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</si>
  <si>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</si>
  <si>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</si>
  <si>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</si>
  <si>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</si>
  <si>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</si>
  <si>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</si>
  <si>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</si>
  <si>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</si>
  <si>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</si>
  <si>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</si>
  <si>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</si>
  <si>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</si>
  <si>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</si>
  <si>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</si>
  <si>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</si>
  <si>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</si>
  <si>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</si>
  <si>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</si>
  <si>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</si>
  <si>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</si>
  <si>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</si>
  <si>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</si>
  <si>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</si>
  <si>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</si>
  <si>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</si>
  <si>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</si>
  <si>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</si>
  <si>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</si>
  <si>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</si>
  <si>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</si>
  <si>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</si>
  <si>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</si>
  <si>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</si>
  <si>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</si>
  <si>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</si>
  <si>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</si>
  <si>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</si>
  <si>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</si>
  <si>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</si>
  <si>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</si>
  <si>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</si>
  <si>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</si>
  <si>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</si>
  <si>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</si>
  <si>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</si>
  <si>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</si>
  <si>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</si>
  <si>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</si>
  <si>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</si>
  <si>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</si>
  <si>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</si>
  <si>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</si>
  <si>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</si>
  <si>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</si>
  <si>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</si>
  <si>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</si>
  <si>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</si>
  <si>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</si>
  <si>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</si>
  <si>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</si>
  <si>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</si>
  <si>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</si>
  <si>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</si>
  <si>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</si>
  <si>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</si>
  <si>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</si>
  <si>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</si>
  <si>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</si>
  <si>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</si>
  <si>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</si>
  <si>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</si>
  <si>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</si>
  <si>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</si>
  <si>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</si>
  <si>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</si>
  <si>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</si>
  <si>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</si>
  <si>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</si>
  <si>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</si>
  <si>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</si>
  <si>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</si>
  <si>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</si>
  <si>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</si>
  <si>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</si>
  <si>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</si>
  <si>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</si>
  <si>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</si>
  <si>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</si>
  <si>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</si>
  <si>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</si>
  <si>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</si>
  <si>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</si>
  <si>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</si>
  <si>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</si>
  <si>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</si>
  <si>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</si>
  <si>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</si>
  <si>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</si>
  <si>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</si>
  <si>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</si>
  <si>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</si>
  <si>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</si>
  <si>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</si>
  <si>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</si>
  <si>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</si>
  <si>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</si>
  <si>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</si>
  <si>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</si>
  <si>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</si>
  <si>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</si>
  <si>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</si>
  <si>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</si>
  <si>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</si>
  <si>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</si>
  <si>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</si>
  <si>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</si>
  <si>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</si>
  <si>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</si>
  <si>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</si>
  <si>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</si>
  <si>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</si>
  <si>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</si>
  <si>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</si>
  <si>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</si>
  <si>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</si>
  <si>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</si>
  <si>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</si>
  <si>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</si>
  <si>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</si>
  <si>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</si>
  <si>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</si>
  <si>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</si>
  <si>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</si>
  <si>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</si>
  <si>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</si>
  <si>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</si>
  <si>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</si>
  <si>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</si>
  <si>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</si>
  <si>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</si>
  <si>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</si>
  <si>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</si>
  <si>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</si>
  <si>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</si>
  <si>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</si>
  <si>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</si>
  <si>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</si>
  <si>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</si>
  <si>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</si>
  <si>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</si>
  <si>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</si>
  <si>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</si>
  <si>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</si>
  <si>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</si>
  <si>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</si>
  <si>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</si>
  <si>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</si>
  <si>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</si>
  <si>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</si>
  <si>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</si>
  <si>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</si>
  <si>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</si>
  <si>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</si>
  <si>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</si>
  <si>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</si>
  <si>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</si>
  <si>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</si>
  <si>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</si>
  <si>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</si>
  <si>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</si>
  <si>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</si>
  <si>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</si>
  <si>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</si>
  <si>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</si>
  <si>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</si>
  <si>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</si>
  <si>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</si>
  <si>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</si>
  <si>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</si>
  <si>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</si>
  <si>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</si>
  <si>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</si>
  <si>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</si>
  <si>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</si>
  <si>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</si>
  <si>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</si>
  <si>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</si>
  <si>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</si>
  <si>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</si>
  <si>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</si>
  <si>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</si>
  <si>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</si>
  <si>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</si>
  <si>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</si>
  <si>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</si>
  <si>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</si>
  <si>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</si>
  <si>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</si>
  <si>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</si>
  <si>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</si>
  <si>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</si>
  <si>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</si>
  <si>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</si>
  <si>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</si>
  <si>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DOH FORM 689-182 (Rev 12/05/2017)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</si>
  <si>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</si>
  <si>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</si>
  <si>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</si>
  <si>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</si>
  <si>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</si>
  <si>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</si>
  <si>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</si>
  <si>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</si>
  <si>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</si>
  <si>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</si>
  <si>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</si>
  <si>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</si>
  <si>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</si>
  <si>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</si>
  <si>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</si>
  <si>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</si>
  <si>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</si>
  <si>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</si>
  <si>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</si>
  <si>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</si>
  <si>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</si>
  <si>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</si>
  <si>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</si>
  <si>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</si>
  <si>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</si>
  <si>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</si>
  <si>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</si>
  <si>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</si>
  <si>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</si>
  <si>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</si>
  <si>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</si>
  <si>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</si>
  <si>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</si>
  <si>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</si>
  <si>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</si>
  <si>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</si>
  <si>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</si>
  <si>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</si>
  <si>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</si>
  <si>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</si>
  <si>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</si>
  <si>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</si>
  <si>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</si>
  <si>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</si>
  <si>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</si>
  <si>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</si>
  <si>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</si>
  <si>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</si>
  <si>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</si>
  <si>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</si>
  <si>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</si>
  <si>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</si>
  <si>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</si>
  <si>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</si>
  <si>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</si>
  <si>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</si>
  <si>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</si>
  <si>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</si>
  <si>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</si>
  <si>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</si>
  <si>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</si>
  <si>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</si>
  <si>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</si>
  <si>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</si>
  <si>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</si>
  <si>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</si>
  <si>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</si>
  <si>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</si>
  <si>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</si>
  <si>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</si>
  <si>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</si>
  <si>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</si>
  <si>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</si>
  <si>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</si>
  <si>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</si>
  <si>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</si>
  <si>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</si>
  <si>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</si>
  <si>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</si>
  <si>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</si>
  <si>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</si>
  <si>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</si>
  <si>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</si>
  <si>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</si>
  <si>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</si>
  <si>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</si>
  <si>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</si>
  <si>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</si>
  <si>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</si>
  <si>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</si>
  <si>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</si>
  <si>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</si>
  <si>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</si>
  <si>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</si>
  <si>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</si>
  <si>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</si>
  <si>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</si>
  <si>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</si>
  <si>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</si>
  <si>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</si>
  <si>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</si>
  <si>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</si>
  <si>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</si>
  <si>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</si>
  <si>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</si>
  <si>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</si>
  <si>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</si>
  <si>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</si>
  <si>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</si>
  <si>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</si>
  <si>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</si>
  <si>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</si>
  <si>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</si>
  <si>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</si>
  <si>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</si>
  <si>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</si>
  <si>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</si>
  <si>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</si>
  <si>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</si>
  <si>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</si>
  <si>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</si>
  <si>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</si>
  <si>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</si>
  <si>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</si>
  <si>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</si>
  <si>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</si>
  <si>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</si>
  <si>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</si>
  <si>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</si>
  <si>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</si>
  <si>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</si>
  <si>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</si>
  <si>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</si>
  <si>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</si>
  <si>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</si>
  <si>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</si>
  <si>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</si>
  <si>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</si>
  <si>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</si>
  <si>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</si>
  <si>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</si>
  <si>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</si>
  <si>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</si>
  <si>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</si>
  <si>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</si>
  <si>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</si>
  <si>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</si>
  <si>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</si>
  <si>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</si>
  <si>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</si>
  <si>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</si>
  <si>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</si>
  <si>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</si>
  <si>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</si>
  <si>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</si>
  <si>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</si>
  <si>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</si>
  <si>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</si>
  <si>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</si>
  <si>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</si>
  <si>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</si>
  <si>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</si>
  <si>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</si>
  <si>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</si>
  <si>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</si>
  <si>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</si>
  <si>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</si>
  <si>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</si>
  <si>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</si>
  <si>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</si>
  <si>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</si>
  <si>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</si>
  <si>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</si>
  <si>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</si>
  <si>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</si>
  <si>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</si>
  <si>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</si>
  <si>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</si>
  <si>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</si>
  <si>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</si>
  <si>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</si>
  <si>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</si>
  <si>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</si>
  <si>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</si>
  <si>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</si>
  <si>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</si>
  <si>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</si>
  <si>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</si>
  <si>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</si>
  <si>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</si>
  <si>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</si>
  <si>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</si>
  <si>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</si>
  <si>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</si>
  <si>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</si>
  <si>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</si>
  <si>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</si>
  <si>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</si>
  <si>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</si>
  <si>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</si>
  <si>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</si>
  <si>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</si>
  <si>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</si>
  <si>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</si>
  <si>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</si>
  <si>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</si>
  <si>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</si>
  <si>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</si>
  <si>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</si>
  <si>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</si>
  <si>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</si>
  <si>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</si>
  <si>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</si>
  <si>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</si>
  <si>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</si>
  <si>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</si>
  <si>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</si>
  <si>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</si>
  <si>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12/31/2018</t>
  </si>
  <si>
    <t>835 Sheridan Street</t>
  </si>
  <si>
    <t>2017</t>
  </si>
  <si>
    <t>We have managed our telemetry patients better and are seeing less patients in the ICU.</t>
  </si>
  <si>
    <t>Orthopedic patients are recovering quickly and not utilizing our swing bed unit.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</si>
</sst>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2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16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43" fontId="2" fillId="0" borderId="0" applyFont="0" applyFill="0" applyBorder="0" applyAlignment="0" applyProtection="0"/>
    <xf numFmtId="37" fontId="16" fillId="0" borderId="0"/>
    <xf numFmtId="0" fontId="1" fillId="0" borderId="0"/>
  </cellStyleXfs>
  <cellXfs count="279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8" fontId="11" fillId="4" borderId="1" xfId="0" applyNumberFormat="1" applyFont="1" applyFill="1" applyBorder="1" applyAlignment="1" applyProtection="1">
      <alignment horizontal="center"/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49" fontId="11" fillId="4" borderId="1" xfId="0" quotePrefix="1" applyNumberFormat="1" applyFont="1" applyFill="1" applyBorder="1" applyAlignment="1" applyProtection="1">
      <alignment horizontal="left"/>
      <protection locked="0"/>
    </xf>
    <xf numFmtId="0" fontId="1" fillId="0" borderId="0" xfId="11"/>
    <xf numFmtId="43" fontId="11" fillId="0" borderId="1" xfId="1" quotePrefix="1" applyNumberFormat="1" applyFont="1" applyBorder="1" applyProtection="1">
      <protection locked="0"/>
    </xf>
    <xf numFmtId="37" fontId="11" fillId="0" borderId="1" xfId="0" quotePrefix="1" applyNumberFormat="1" applyFont="1" applyFill="1" applyBorder="1" applyProtection="1">
      <protection locked="0"/>
    </xf>
    <xf numFmtId="38" fontId="11" fillId="0" borderId="1" xfId="0" applyNumberFormat="1" applyFont="1" applyFill="1" applyBorder="1" applyProtection="1">
      <protection locked="0"/>
    </xf>
    <xf numFmtId="37" fontId="11" fillId="3" borderId="0" xfId="0" applyFont="1" applyFill="1" applyAlignment="1" applyProtection="1">
      <alignment horizontal="center" vertical="center"/>
    </xf>
  </cellXfs>
  <cellStyles count="12">
    <cellStyle name="Comma" xfId="1" builtinId="3"/>
    <cellStyle name="Comma 10 10" xfId="9"/>
    <cellStyle name="Hyperlink" xfId="2" builtinId="8"/>
    <cellStyle name="Normal" xfId="0" builtinId="0"/>
    <cellStyle name="Normal 11" xfId="4"/>
    <cellStyle name="Normal 2" xfId="11"/>
    <cellStyle name="Normal 557" xfId="6"/>
    <cellStyle name="Normal 561" xfId="7"/>
    <cellStyle name="Normal 568" xfId="8"/>
    <cellStyle name="Normal 576" xfId="10"/>
    <cellStyle name="Percent" xfId="3" builtinId="5"/>
    <cellStyle name="Percent 460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6" width="11.75" style="180"/>
    <col min="7" max="7" width="16" style="180" bestFit="1" customWidth="1"/>
    <col min="8" max="16384" width="11.75" style="180"/>
  </cols>
  <sheetData>
    <row r="1" spans="1:6" ht="12.75" customHeight="1" x14ac:dyDescent="0.25">
      <c r="A1" s="227" t="s">
        <v>0</v>
      </c>
      <c r="B1" s="228"/>
      <c r="C1" s="228"/>
      <c r="D1" s="228"/>
      <c r="E1" s="228"/>
      <c r="F1" s="228"/>
    </row>
    <row r="2" spans="1:6" ht="12.75" customHeight="1" x14ac:dyDescent="0.25">
      <c r="A2" s="228" t="s">
        <v>1</v>
      </c>
      <c r="B2" s="228"/>
      <c r="C2" s="229"/>
      <c r="D2" s="228"/>
      <c r="E2" s="228"/>
      <c r="F2" s="228"/>
    </row>
    <row r="3" spans="1:6" ht="12.75" customHeight="1" x14ac:dyDescent="0.25">
      <c r="A3" s="199"/>
      <c r="C3" s="230"/>
    </row>
    <row r="4" spans="1:6" ht="12.75" customHeight="1" x14ac:dyDescent="0.25">
      <c r="C4" s="230"/>
    </row>
    <row r="5" spans="1:6" ht="12.75" customHeight="1" x14ac:dyDescent="0.25">
      <c r="A5" s="199" t="s">
        <v>2</v>
      </c>
      <c r="C5" s="230"/>
    </row>
    <row r="6" spans="1:6" ht="12.75" customHeight="1" x14ac:dyDescent="0.25">
      <c r="A6" s="199" t="s">
        <v>3</v>
      </c>
      <c r="C6" s="230"/>
    </row>
    <row r="7" spans="1:6" ht="12.75" customHeight="1" x14ac:dyDescent="0.25">
      <c r="A7" s="199" t="s">
        <v>4</v>
      </c>
      <c r="C7" s="230"/>
    </row>
    <row r="8" spans="1:6" ht="12.75" customHeight="1" x14ac:dyDescent="0.25">
      <c r="C8" s="230"/>
    </row>
    <row r="9" spans="1:6" ht="12.75" customHeight="1" x14ac:dyDescent="0.25">
      <c r="C9" s="230"/>
    </row>
    <row r="10" spans="1:6" ht="12.75" customHeight="1" x14ac:dyDescent="0.25">
      <c r="A10" s="198" t="s">
        <v>5</v>
      </c>
      <c r="C10" s="230"/>
    </row>
    <row r="11" spans="1:6" ht="12.75" customHeight="1" x14ac:dyDescent="0.25">
      <c r="A11" s="198" t="s">
        <v>6</v>
      </c>
      <c r="C11" s="230"/>
    </row>
    <row r="12" spans="1:6" ht="12.75" customHeight="1" x14ac:dyDescent="0.25">
      <c r="C12" s="230"/>
    </row>
    <row r="13" spans="1:6" ht="12.75" customHeight="1" x14ac:dyDescent="0.25">
      <c r="C13" s="230"/>
    </row>
    <row r="14" spans="1:6" ht="12.75" customHeight="1" x14ac:dyDescent="0.25">
      <c r="A14" s="199" t="s">
        <v>7</v>
      </c>
      <c r="C14" s="230"/>
    </row>
    <row r="15" spans="1:6" ht="12.75" customHeight="1" x14ac:dyDescent="0.25">
      <c r="A15" s="199"/>
      <c r="C15" s="230"/>
    </row>
    <row r="16" spans="1:6" ht="12.75" customHeight="1" x14ac:dyDescent="0.25">
      <c r="A16" s="180" t="s">
        <v>8</v>
      </c>
      <c r="C16" s="230"/>
      <c r="F16" s="270" t="s">
        <v>9</v>
      </c>
    </row>
    <row r="17" spans="1:6" ht="12.75" customHeight="1" x14ac:dyDescent="0.25">
      <c r="A17" s="180" t="s">
        <v>10</v>
      </c>
      <c r="C17" s="270" t="s">
        <v>9</v>
      </c>
    </row>
    <row r="18" spans="1:6" ht="12.75" customHeight="1" x14ac:dyDescent="0.25">
      <c r="A18" s="222"/>
      <c r="C18" s="230"/>
    </row>
    <row r="19" spans="1:6" ht="12.75" customHeight="1" x14ac:dyDescent="0.25">
      <c r="C19" s="230"/>
    </row>
    <row r="20" spans="1:6" ht="12.75" customHeight="1" x14ac:dyDescent="0.25">
      <c r="A20" s="266" t="s">
        <v>11</v>
      </c>
      <c r="B20" s="266"/>
      <c r="C20" s="271"/>
      <c r="D20" s="266"/>
      <c r="E20" s="266"/>
      <c r="F20" s="266"/>
    </row>
    <row r="21" spans="1:6" ht="22.5" customHeight="1" x14ac:dyDescent="0.25">
      <c r="A21" s="199"/>
      <c r="C21" s="230"/>
    </row>
    <row r="22" spans="1:6" ht="12.6" customHeight="1" x14ac:dyDescent="0.25">
      <c r="A22" s="231" t="s">
        <v>12</v>
      </c>
      <c r="B22" s="232"/>
      <c r="C22" s="233"/>
      <c r="D22" s="231"/>
      <c r="E22" s="231"/>
    </row>
    <row r="23" spans="1:6" ht="12.6" customHeight="1" x14ac:dyDescent="0.25">
      <c r="B23" s="199"/>
      <c r="C23" s="230"/>
    </row>
    <row r="24" spans="1:6" ht="12.6" customHeight="1" x14ac:dyDescent="0.25">
      <c r="A24" s="234" t="s">
        <v>13</v>
      </c>
      <c r="C24" s="230"/>
    </row>
    <row r="25" spans="1:6" ht="12.6" customHeight="1" x14ac:dyDescent="0.25">
      <c r="A25" s="198" t="s">
        <v>14</v>
      </c>
      <c r="C25" s="230"/>
    </row>
    <row r="26" spans="1:6" ht="12.6" customHeight="1" x14ac:dyDescent="0.25">
      <c r="A26" s="199" t="s">
        <v>15</v>
      </c>
      <c r="C26" s="230"/>
    </row>
    <row r="27" spans="1:6" ht="12.6" customHeight="1" x14ac:dyDescent="0.25">
      <c r="A27" s="198" t="s">
        <v>16</v>
      </c>
      <c r="C27" s="230"/>
    </row>
    <row r="28" spans="1:6" ht="12.6" customHeight="1" x14ac:dyDescent="0.25">
      <c r="A28" s="199" t="s">
        <v>17</v>
      </c>
      <c r="C28" s="230"/>
    </row>
    <row r="29" spans="1:6" ht="12.6" customHeight="1" x14ac:dyDescent="0.25">
      <c r="A29" s="198"/>
      <c r="C29" s="230"/>
    </row>
    <row r="30" spans="1:6" ht="12.6" customHeight="1" x14ac:dyDescent="0.25">
      <c r="A30" s="180" t="s">
        <v>18</v>
      </c>
      <c r="C30" s="230"/>
    </row>
    <row r="31" spans="1:6" ht="12.6" customHeight="1" x14ac:dyDescent="0.25">
      <c r="A31" s="199" t="s">
        <v>19</v>
      </c>
      <c r="C31" s="230"/>
    </row>
    <row r="32" spans="1:6" ht="12.6" customHeight="1" x14ac:dyDescent="0.25">
      <c r="A32" s="199" t="s">
        <v>20</v>
      </c>
      <c r="C32" s="230"/>
    </row>
    <row r="33" spans="1:83" ht="12.6" customHeight="1" x14ac:dyDescent="0.25">
      <c r="A33" s="198" t="s">
        <v>21</v>
      </c>
      <c r="C33" s="230"/>
    </row>
    <row r="34" spans="1:83" ht="12.6" customHeight="1" x14ac:dyDescent="0.25">
      <c r="A34" s="199" t="s">
        <v>22</v>
      </c>
      <c r="C34" s="230"/>
    </row>
    <row r="35" spans="1:83" ht="12.6" customHeight="1" x14ac:dyDescent="0.25">
      <c r="A35" s="199"/>
      <c r="C35" s="230"/>
    </row>
    <row r="36" spans="1:83" ht="12.6" customHeight="1" x14ac:dyDescent="0.25">
      <c r="A36" s="198" t="s">
        <v>23</v>
      </c>
      <c r="C36" s="230"/>
    </row>
    <row r="37" spans="1:83" ht="12.6" customHeight="1" x14ac:dyDescent="0.25">
      <c r="A37" s="199" t="s">
        <v>24</v>
      </c>
      <c r="C37" s="230"/>
    </row>
    <row r="38" spans="1:83" ht="12" customHeight="1" x14ac:dyDescent="0.25">
      <c r="A38" s="198"/>
      <c r="C38" s="230"/>
    </row>
    <row r="39" spans="1:83" ht="12.6" customHeight="1" x14ac:dyDescent="0.25">
      <c r="A39" s="199"/>
      <c r="C39" s="230"/>
    </row>
    <row r="40" spans="1:83" ht="12" customHeight="1" x14ac:dyDescent="0.25">
      <c r="A40" s="199"/>
      <c r="C40" s="230"/>
    </row>
    <row r="41" spans="1:83" ht="12" customHeight="1" x14ac:dyDescent="0.25">
      <c r="A41" s="199"/>
      <c r="C41" s="235"/>
      <c r="D41" s="236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  <c r="BF41" s="235"/>
      <c r="BG41" s="235"/>
      <c r="BH41" s="235"/>
      <c r="BI41" s="235"/>
      <c r="BJ41" s="235"/>
      <c r="BK41" s="235"/>
      <c r="BL41" s="235"/>
      <c r="BM41" s="235"/>
      <c r="BN41" s="235"/>
      <c r="BO41" s="235"/>
      <c r="BP41" s="235"/>
      <c r="BQ41" s="235"/>
      <c r="BR41" s="235"/>
      <c r="BS41" s="235"/>
      <c r="BT41" s="235"/>
      <c r="BU41" s="235"/>
      <c r="BV41" s="235"/>
      <c r="BW41" s="235"/>
      <c r="BX41" s="235"/>
      <c r="BY41" s="235"/>
      <c r="BZ41" s="235"/>
      <c r="CA41" s="235"/>
      <c r="CB41" s="235"/>
      <c r="CC41" s="235"/>
    </row>
    <row r="42" spans="1:83" ht="12" customHeight="1" x14ac:dyDescent="0.25">
      <c r="A42" s="199"/>
      <c r="C42" s="235"/>
      <c r="D42" s="236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  <c r="BF42" s="235"/>
      <c r="BG42" s="235"/>
      <c r="BH42" s="235"/>
      <c r="BI42" s="235"/>
      <c r="BJ42" s="235"/>
      <c r="BK42" s="235"/>
      <c r="BL42" s="235"/>
      <c r="BM42" s="235"/>
      <c r="BN42" s="235"/>
      <c r="BO42" s="235"/>
      <c r="BP42" s="235"/>
      <c r="BQ42" s="235"/>
      <c r="BR42" s="235"/>
      <c r="BS42" s="235"/>
      <c r="BT42" s="235"/>
      <c r="BU42" s="235"/>
      <c r="BV42" s="235"/>
      <c r="BW42" s="235"/>
      <c r="BX42" s="235"/>
      <c r="BY42" s="235"/>
      <c r="BZ42" s="235"/>
      <c r="CA42" s="235"/>
      <c r="CB42" s="235"/>
      <c r="CC42" s="235"/>
      <c r="CD42" s="237"/>
    </row>
    <row r="43" spans="1:83" ht="12" customHeight="1" x14ac:dyDescent="0.25">
      <c r="A43" s="199"/>
      <c r="C43" s="230"/>
      <c r="F43" s="181"/>
    </row>
    <row r="44" spans="1:83" ht="12" customHeight="1" x14ac:dyDescent="0.25">
      <c r="A44" s="175"/>
      <c r="B44" s="175"/>
      <c r="C44" s="182" t="s">
        <v>25</v>
      </c>
      <c r="D44" s="170" t="s">
        <v>26</v>
      </c>
      <c r="E44" s="170" t="s">
        <v>27</v>
      </c>
      <c r="F44" s="170" t="s">
        <v>28</v>
      </c>
      <c r="G44" s="170" t="s">
        <v>29</v>
      </c>
      <c r="H44" s="170" t="s">
        <v>30</v>
      </c>
      <c r="I44" s="170" t="s">
        <v>31</v>
      </c>
      <c r="J44" s="170" t="s">
        <v>32</v>
      </c>
      <c r="K44" s="170" t="s">
        <v>33</v>
      </c>
      <c r="L44" s="170" t="s">
        <v>34</v>
      </c>
      <c r="M44" s="170" t="s">
        <v>35</v>
      </c>
      <c r="N44" s="170" t="s">
        <v>36</v>
      </c>
      <c r="O44" s="170" t="s">
        <v>37</v>
      </c>
      <c r="P44" s="170" t="s">
        <v>38</v>
      </c>
      <c r="Q44" s="170" t="s">
        <v>39</v>
      </c>
      <c r="R44" s="170" t="s">
        <v>40</v>
      </c>
      <c r="S44" s="170" t="s">
        <v>41</v>
      </c>
      <c r="T44" s="170" t="s">
        <v>42</v>
      </c>
      <c r="U44" s="170" t="s">
        <v>43</v>
      </c>
      <c r="V44" s="170" t="s">
        <v>44</v>
      </c>
      <c r="W44" s="170" t="s">
        <v>45</v>
      </c>
      <c r="X44" s="170" t="s">
        <v>46</v>
      </c>
      <c r="Y44" s="170" t="s">
        <v>47</v>
      </c>
      <c r="Z44" s="170" t="s">
        <v>48</v>
      </c>
      <c r="AA44" s="170" t="s">
        <v>49</v>
      </c>
      <c r="AB44" s="170" t="s">
        <v>50</v>
      </c>
      <c r="AC44" s="170" t="s">
        <v>51</v>
      </c>
      <c r="AD44" s="170" t="s">
        <v>52</v>
      </c>
      <c r="AE44" s="170" t="s">
        <v>53</v>
      </c>
      <c r="AF44" s="170" t="s">
        <v>54</v>
      </c>
      <c r="AG44" s="170" t="s">
        <v>55</v>
      </c>
      <c r="AH44" s="170" t="s">
        <v>56</v>
      </c>
      <c r="AI44" s="170" t="s">
        <v>57</v>
      </c>
      <c r="AJ44" s="170" t="s">
        <v>58</v>
      </c>
      <c r="AK44" s="170" t="s">
        <v>59</v>
      </c>
      <c r="AL44" s="170" t="s">
        <v>60</v>
      </c>
      <c r="AM44" s="170" t="s">
        <v>61</v>
      </c>
      <c r="AN44" s="170" t="s">
        <v>62</v>
      </c>
      <c r="AO44" s="170" t="s">
        <v>63</v>
      </c>
      <c r="AP44" s="170" t="s">
        <v>64</v>
      </c>
      <c r="AQ44" s="170" t="s">
        <v>65</v>
      </c>
      <c r="AR44" s="170" t="s">
        <v>66</v>
      </c>
      <c r="AS44" s="170" t="s">
        <v>67</v>
      </c>
      <c r="AT44" s="170" t="s">
        <v>68</v>
      </c>
      <c r="AU44" s="170" t="s">
        <v>69</v>
      </c>
      <c r="AV44" s="170" t="s">
        <v>70</v>
      </c>
      <c r="AW44" s="170" t="s">
        <v>71</v>
      </c>
      <c r="AX44" s="170" t="s">
        <v>72</v>
      </c>
      <c r="AY44" s="170" t="s">
        <v>73</v>
      </c>
      <c r="AZ44" s="170" t="s">
        <v>74</v>
      </c>
      <c r="BA44" s="170" t="s">
        <v>75</v>
      </c>
      <c r="BB44" s="170" t="s">
        <v>76</v>
      </c>
      <c r="BC44" s="170" t="s">
        <v>77</v>
      </c>
      <c r="BD44" s="170" t="s">
        <v>78</v>
      </c>
      <c r="BE44" s="170" t="s">
        <v>79</v>
      </c>
      <c r="BF44" s="170" t="s">
        <v>80</v>
      </c>
      <c r="BG44" s="170" t="s">
        <v>81</v>
      </c>
      <c r="BH44" s="170" t="s">
        <v>82</v>
      </c>
      <c r="BI44" s="170" t="s">
        <v>83</v>
      </c>
      <c r="BJ44" s="170" t="s">
        <v>84</v>
      </c>
      <c r="BK44" s="170" t="s">
        <v>85</v>
      </c>
      <c r="BL44" s="170" t="s">
        <v>86</v>
      </c>
      <c r="BM44" s="170" t="s">
        <v>87</v>
      </c>
      <c r="BN44" s="170" t="s">
        <v>88</v>
      </c>
      <c r="BO44" s="170" t="s">
        <v>89</v>
      </c>
      <c r="BP44" s="170" t="s">
        <v>90</v>
      </c>
      <c r="BQ44" s="170" t="s">
        <v>91</v>
      </c>
      <c r="BR44" s="170" t="s">
        <v>92</v>
      </c>
      <c r="BS44" s="170" t="s">
        <v>93</v>
      </c>
      <c r="BT44" s="170" t="s">
        <v>94</v>
      </c>
      <c r="BU44" s="170" t="s">
        <v>95</v>
      </c>
      <c r="BV44" s="170" t="s">
        <v>96</v>
      </c>
      <c r="BW44" s="170" t="s">
        <v>97</v>
      </c>
      <c r="BX44" s="170" t="s">
        <v>98</v>
      </c>
      <c r="BY44" s="170" t="s">
        <v>99</v>
      </c>
      <c r="BZ44" s="170" t="s">
        <v>100</v>
      </c>
      <c r="CA44" s="170" t="s">
        <v>101</v>
      </c>
      <c r="CB44" s="170" t="s">
        <v>102</v>
      </c>
      <c r="CC44" s="170" t="s">
        <v>103</v>
      </c>
      <c r="CD44" s="170" t="s">
        <v>104</v>
      </c>
      <c r="CE44" s="170" t="s">
        <v>105</v>
      </c>
    </row>
    <row r="45" spans="1:83" ht="12" customHeight="1" x14ac:dyDescent="0.25">
      <c r="A45" s="175"/>
      <c r="B45" s="238" t="s">
        <v>106</v>
      </c>
      <c r="C45" s="182" t="s">
        <v>107</v>
      </c>
      <c r="D45" s="170" t="s">
        <v>108</v>
      </c>
      <c r="E45" s="170" t="s">
        <v>109</v>
      </c>
      <c r="F45" s="170" t="s">
        <v>110</v>
      </c>
      <c r="G45" s="170" t="s">
        <v>111</v>
      </c>
      <c r="H45" s="170" t="s">
        <v>112</v>
      </c>
      <c r="I45" s="170" t="s">
        <v>113</v>
      </c>
      <c r="J45" s="170" t="s">
        <v>114</v>
      </c>
      <c r="K45" s="170" t="s">
        <v>115</v>
      </c>
      <c r="L45" s="170" t="s">
        <v>116</v>
      </c>
      <c r="M45" s="170" t="s">
        <v>117</v>
      </c>
      <c r="N45" s="170" t="s">
        <v>118</v>
      </c>
      <c r="O45" s="170" t="s">
        <v>119</v>
      </c>
      <c r="P45" s="170" t="s">
        <v>120</v>
      </c>
      <c r="Q45" s="170" t="s">
        <v>121</v>
      </c>
      <c r="R45" s="170" t="s">
        <v>122</v>
      </c>
      <c r="S45" s="170" t="s">
        <v>123</v>
      </c>
      <c r="T45" s="170" t="s">
        <v>124</v>
      </c>
      <c r="U45" s="170" t="s">
        <v>125</v>
      </c>
      <c r="V45" s="170" t="s">
        <v>126</v>
      </c>
      <c r="W45" s="170" t="s">
        <v>127</v>
      </c>
      <c r="X45" s="170" t="s">
        <v>128</v>
      </c>
      <c r="Y45" s="170" t="s">
        <v>129</v>
      </c>
      <c r="Z45" s="170" t="s">
        <v>129</v>
      </c>
      <c r="AA45" s="170" t="s">
        <v>130</v>
      </c>
      <c r="AB45" s="170" t="s">
        <v>131</v>
      </c>
      <c r="AC45" s="170" t="s">
        <v>132</v>
      </c>
      <c r="AD45" s="170" t="s">
        <v>133</v>
      </c>
      <c r="AE45" s="170" t="s">
        <v>111</v>
      </c>
      <c r="AF45" s="170" t="s">
        <v>112</v>
      </c>
      <c r="AG45" s="170" t="s">
        <v>134</v>
      </c>
      <c r="AH45" s="170" t="s">
        <v>135</v>
      </c>
      <c r="AI45" s="170" t="s">
        <v>136</v>
      </c>
      <c r="AJ45" s="170" t="s">
        <v>137</v>
      </c>
      <c r="AK45" s="170" t="s">
        <v>138</v>
      </c>
      <c r="AL45" s="170" t="s">
        <v>139</v>
      </c>
      <c r="AM45" s="170" t="s">
        <v>140</v>
      </c>
      <c r="AN45" s="170" t="s">
        <v>126</v>
      </c>
      <c r="AO45" s="170" t="s">
        <v>141</v>
      </c>
      <c r="AP45" s="170" t="s">
        <v>142</v>
      </c>
      <c r="AQ45" s="170" t="s">
        <v>143</v>
      </c>
      <c r="AR45" s="170" t="s">
        <v>144</v>
      </c>
      <c r="AS45" s="170" t="s">
        <v>145</v>
      </c>
      <c r="AT45" s="170" t="s">
        <v>146</v>
      </c>
      <c r="AU45" s="170" t="s">
        <v>147</v>
      </c>
      <c r="AV45" s="170" t="s">
        <v>148</v>
      </c>
      <c r="AW45" s="170" t="s">
        <v>149</v>
      </c>
      <c r="AX45" s="170" t="s">
        <v>150</v>
      </c>
      <c r="AY45" s="170" t="s">
        <v>151</v>
      </c>
      <c r="AZ45" s="170" t="s">
        <v>152</v>
      </c>
      <c r="BA45" s="170" t="s">
        <v>153</v>
      </c>
      <c r="BB45" s="170" t="s">
        <v>154</v>
      </c>
      <c r="BC45" s="170" t="s">
        <v>123</v>
      </c>
      <c r="BD45" s="170" t="s">
        <v>155</v>
      </c>
      <c r="BE45" s="170" t="s">
        <v>156</v>
      </c>
      <c r="BF45" s="170" t="s">
        <v>157</v>
      </c>
      <c r="BG45" s="170" t="s">
        <v>158</v>
      </c>
      <c r="BH45" s="170" t="s">
        <v>159</v>
      </c>
      <c r="BI45" s="170" t="s">
        <v>160</v>
      </c>
      <c r="BJ45" s="170" t="s">
        <v>161</v>
      </c>
      <c r="BK45" s="170" t="s">
        <v>162</v>
      </c>
      <c r="BL45" s="170" t="s">
        <v>163</v>
      </c>
      <c r="BM45" s="170" t="s">
        <v>148</v>
      </c>
      <c r="BN45" s="170" t="s">
        <v>164</v>
      </c>
      <c r="BO45" s="170" t="s">
        <v>165</v>
      </c>
      <c r="BP45" s="170" t="s">
        <v>166</v>
      </c>
      <c r="BQ45" s="170" t="s">
        <v>167</v>
      </c>
      <c r="BR45" s="170" t="s">
        <v>168</v>
      </c>
      <c r="BS45" s="170" t="s">
        <v>169</v>
      </c>
      <c r="BT45" s="170" t="s">
        <v>170</v>
      </c>
      <c r="BU45" s="170" t="s">
        <v>171</v>
      </c>
      <c r="BV45" s="170" t="s">
        <v>171</v>
      </c>
      <c r="BW45" s="170" t="s">
        <v>171</v>
      </c>
      <c r="BX45" s="170" t="s">
        <v>172</v>
      </c>
      <c r="BY45" s="170" t="s">
        <v>173</v>
      </c>
      <c r="BZ45" s="170" t="s">
        <v>174</v>
      </c>
      <c r="CA45" s="170" t="s">
        <v>175</v>
      </c>
      <c r="CB45" s="170" t="s">
        <v>176</v>
      </c>
      <c r="CC45" s="170" t="s">
        <v>148</v>
      </c>
      <c r="CD45" s="170"/>
      <c r="CE45" s="170" t="s">
        <v>177</v>
      </c>
    </row>
    <row r="46" spans="1:83" ht="12.6" customHeight="1" x14ac:dyDescent="0.25">
      <c r="A46" s="175" t="s">
        <v>13</v>
      </c>
      <c r="B46" s="170" t="s">
        <v>178</v>
      </c>
      <c r="C46" s="182" t="s">
        <v>179</v>
      </c>
      <c r="D46" s="170" t="s">
        <v>179</v>
      </c>
      <c r="E46" s="170" t="s">
        <v>179</v>
      </c>
      <c r="F46" s="170" t="s">
        <v>180</v>
      </c>
      <c r="G46" s="170" t="s">
        <v>181</v>
      </c>
      <c r="H46" s="170" t="s">
        <v>179</v>
      </c>
      <c r="I46" s="170" t="s">
        <v>182</v>
      </c>
      <c r="J46" s="170"/>
      <c r="K46" s="170" t="s">
        <v>173</v>
      </c>
      <c r="L46" s="170" t="s">
        <v>183</v>
      </c>
      <c r="M46" s="170" t="s">
        <v>184</v>
      </c>
      <c r="N46" s="170" t="s">
        <v>185</v>
      </c>
      <c r="O46" s="170" t="s">
        <v>186</v>
      </c>
      <c r="P46" s="170" t="s">
        <v>185</v>
      </c>
      <c r="Q46" s="170" t="s">
        <v>187</v>
      </c>
      <c r="R46" s="170"/>
      <c r="S46" s="170" t="s">
        <v>185</v>
      </c>
      <c r="T46" s="170" t="s">
        <v>188</v>
      </c>
      <c r="U46" s="170"/>
      <c r="V46" s="170" t="s">
        <v>189</v>
      </c>
      <c r="W46" s="170" t="s">
        <v>190</v>
      </c>
      <c r="X46" s="170" t="s">
        <v>191</v>
      </c>
      <c r="Y46" s="170" t="s">
        <v>192</v>
      </c>
      <c r="Z46" s="170" t="s">
        <v>193</v>
      </c>
      <c r="AA46" s="170" t="s">
        <v>194</v>
      </c>
      <c r="AB46" s="170"/>
      <c r="AC46" s="170" t="s">
        <v>188</v>
      </c>
      <c r="AD46" s="170"/>
      <c r="AE46" s="170" t="s">
        <v>188</v>
      </c>
      <c r="AF46" s="170" t="s">
        <v>195</v>
      </c>
      <c r="AG46" s="170" t="s">
        <v>187</v>
      </c>
      <c r="AH46" s="170"/>
      <c r="AI46" s="170" t="s">
        <v>196</v>
      </c>
      <c r="AJ46" s="170"/>
      <c r="AK46" s="170" t="s">
        <v>188</v>
      </c>
      <c r="AL46" s="170" t="s">
        <v>188</v>
      </c>
      <c r="AM46" s="170" t="s">
        <v>188</v>
      </c>
      <c r="AN46" s="170" t="s">
        <v>197</v>
      </c>
      <c r="AO46" s="170" t="s">
        <v>198</v>
      </c>
      <c r="AP46" s="170" t="s">
        <v>137</v>
      </c>
      <c r="AQ46" s="170" t="s">
        <v>199</v>
      </c>
      <c r="AR46" s="170" t="s">
        <v>185</v>
      </c>
      <c r="AS46" s="170"/>
      <c r="AT46" s="170" t="s">
        <v>200</v>
      </c>
      <c r="AU46" s="170" t="s">
        <v>201</v>
      </c>
      <c r="AV46" s="170" t="s">
        <v>202</v>
      </c>
      <c r="AW46" s="170" t="s">
        <v>203</v>
      </c>
      <c r="AX46" s="170" t="s">
        <v>204</v>
      </c>
      <c r="AY46" s="170"/>
      <c r="AZ46" s="170"/>
      <c r="BA46" s="170" t="s">
        <v>205</v>
      </c>
      <c r="BB46" s="170" t="s">
        <v>185</v>
      </c>
      <c r="BC46" s="170" t="s">
        <v>199</v>
      </c>
      <c r="BD46" s="170"/>
      <c r="BE46" s="170"/>
      <c r="BF46" s="170"/>
      <c r="BG46" s="170"/>
      <c r="BH46" s="170" t="s">
        <v>206</v>
      </c>
      <c r="BI46" s="170" t="s">
        <v>185</v>
      </c>
      <c r="BJ46" s="170"/>
      <c r="BK46" s="170" t="s">
        <v>207</v>
      </c>
      <c r="BL46" s="170"/>
      <c r="BM46" s="170" t="s">
        <v>208</v>
      </c>
      <c r="BN46" s="170" t="s">
        <v>209</v>
      </c>
      <c r="BO46" s="170" t="s">
        <v>210</v>
      </c>
      <c r="BP46" s="170" t="s">
        <v>211</v>
      </c>
      <c r="BQ46" s="170" t="s">
        <v>212</v>
      </c>
      <c r="BR46" s="170"/>
      <c r="BS46" s="170" t="s">
        <v>213</v>
      </c>
      <c r="BT46" s="170" t="s">
        <v>185</v>
      </c>
      <c r="BU46" s="170" t="s">
        <v>214</v>
      </c>
      <c r="BV46" s="170" t="s">
        <v>215</v>
      </c>
      <c r="BW46" s="170" t="s">
        <v>216</v>
      </c>
      <c r="BX46" s="170" t="s">
        <v>167</v>
      </c>
      <c r="BY46" s="170" t="s">
        <v>209</v>
      </c>
      <c r="BZ46" s="170" t="s">
        <v>168</v>
      </c>
      <c r="CA46" s="170" t="s">
        <v>217</v>
      </c>
      <c r="CB46" s="170" t="s">
        <v>217</v>
      </c>
      <c r="CC46" s="170" t="s">
        <v>218</v>
      </c>
      <c r="CD46" s="170"/>
      <c r="CE46" s="170" t="s">
        <v>219</v>
      </c>
    </row>
    <row r="47" spans="1:83" ht="12.6" customHeight="1" x14ac:dyDescent="0.25">
      <c r="A47" s="175" t="s">
        <v>220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221</v>
      </c>
      <c r="B48" s="183">
        <v>13754925</v>
      </c>
      <c r="C48" s="239">
        <f>ROUND(((B48/CE61)*C61),0)</f>
        <v>264067</v>
      </c>
      <c r="D48" s="239">
        <f>ROUND(((B48/CE61)*D61),0)</f>
        <v>0</v>
      </c>
      <c r="E48" s="195">
        <f>ROUND(((B48/CE61)*E61),0)</f>
        <v>697708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63</v>
      </c>
      <c r="M48" s="195">
        <f>ROUND(((B48/CE61)*M61),0)</f>
        <v>0</v>
      </c>
      <c r="N48" s="195">
        <f>ROUND(((B48/CE61)*N61),0)</f>
        <v>386524</v>
      </c>
      <c r="O48" s="195">
        <f>ROUND(((B48/CE61)*O61),0)</f>
        <v>259436</v>
      </c>
      <c r="P48" s="195">
        <f>ROUND(((B48/CE61)*P61),0)</f>
        <v>341223</v>
      </c>
      <c r="Q48" s="195">
        <f>ROUND(((B48/CE61)*Q61),0)</f>
        <v>8988</v>
      </c>
      <c r="R48" s="195">
        <f>ROUND(((B48/CE61)*R61),0)</f>
        <v>261878</v>
      </c>
      <c r="S48" s="195">
        <f>ROUND(((B48/CE61)*S61),0)</f>
        <v>30870</v>
      </c>
      <c r="T48" s="195">
        <f>ROUND(((B48/CE61)*T61),0)</f>
        <v>0</v>
      </c>
      <c r="U48" s="195">
        <f>ROUND(((B48/CE61)*U61),0)</f>
        <v>404073</v>
      </c>
      <c r="V48" s="195">
        <f>ROUND(((B48/CE61)*V61),0)</f>
        <v>0</v>
      </c>
      <c r="W48" s="195">
        <f>ROUND(((B48/CE61)*W61),0)</f>
        <v>36037</v>
      </c>
      <c r="X48" s="195">
        <f>ROUND(((B48/CE61)*X61),0)</f>
        <v>28814</v>
      </c>
      <c r="Y48" s="195">
        <f>ROUND(((B48/CE61)*Y61),0)</f>
        <v>362898</v>
      </c>
      <c r="Z48" s="195">
        <f>ROUND(((B48/CE61)*Z61),0)</f>
        <v>0</v>
      </c>
      <c r="AA48" s="195">
        <f>ROUND(((B48/CE61)*AA61),0)</f>
        <v>25654</v>
      </c>
      <c r="AB48" s="195">
        <f>ROUND(((B48/CE61)*AB61),0)</f>
        <v>277919</v>
      </c>
      <c r="AC48" s="195">
        <f>ROUND(((B48/CE61)*AC61),0)</f>
        <v>167364</v>
      </c>
      <c r="AD48" s="195">
        <f>ROUND(((B48/CE61)*AD61),0)</f>
        <v>0</v>
      </c>
      <c r="AE48" s="195">
        <f>ROUND(((B48/CE61)*AE61),0)</f>
        <v>614457</v>
      </c>
      <c r="AF48" s="195">
        <f>ROUND(((B48/CE61)*AF61),0)</f>
        <v>0</v>
      </c>
      <c r="AG48" s="195">
        <f>ROUND(((B48/CE61)*AG61),0)</f>
        <v>551378</v>
      </c>
      <c r="AH48" s="195">
        <f>ROUND(((B48/CE61)*AH61),0)</f>
        <v>0</v>
      </c>
      <c r="AI48" s="195">
        <f>ROUND(((B48/CE61)*AI61),0)</f>
        <v>652428</v>
      </c>
      <c r="AJ48" s="195">
        <f>ROUND(((B48/CE61)*AJ61),0)</f>
        <v>4134601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761165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325382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176431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109165</v>
      </c>
      <c r="BE48" s="195">
        <f>ROUND(((B48/CE61)*BE61),0)</f>
        <v>258505</v>
      </c>
      <c r="BF48" s="195">
        <f>ROUND(((B48/CE61)*BF61),0)</f>
        <v>249725</v>
      </c>
      <c r="BG48" s="195">
        <f>ROUND(((B48/CE61)*BG61),0)</f>
        <v>0</v>
      </c>
      <c r="BH48" s="195">
        <f>ROUND(((B48/CE61)*BH61),0)</f>
        <v>311294</v>
      </c>
      <c r="BI48" s="195">
        <f>ROUND(((B48/CE61)*BI61),0)</f>
        <v>0</v>
      </c>
      <c r="BJ48" s="195">
        <f>ROUND(((B48/CE61)*BJ61),0)</f>
        <v>172552</v>
      </c>
      <c r="BK48" s="195">
        <f>ROUND(((B48/CE61)*BK61),0)</f>
        <v>194984</v>
      </c>
      <c r="BL48" s="195">
        <f>ROUND(((B48/CE61)*BL61),0)</f>
        <v>158859</v>
      </c>
      <c r="BM48" s="195">
        <f>ROUND(((B48/CE61)*BM61),0)</f>
        <v>90328</v>
      </c>
      <c r="BN48" s="195">
        <f>ROUND(((B48/CE61)*BN61),0)</f>
        <v>277308</v>
      </c>
      <c r="BO48" s="195">
        <f>ROUND(((B48/CE61)*BO61),0)</f>
        <v>4908</v>
      </c>
      <c r="BP48" s="195">
        <f>ROUND(((B48/CE61)*BP61),0)</f>
        <v>21926</v>
      </c>
      <c r="BQ48" s="195">
        <f>ROUND(((B48/CE61)*BQ61),0)</f>
        <v>0</v>
      </c>
      <c r="BR48" s="195">
        <f>ROUND(((B48/CE61)*BR61),0)</f>
        <v>185189</v>
      </c>
      <c r="BS48" s="195">
        <f>ROUND(((B48/CE61)*BS61),0)</f>
        <v>18502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138631</v>
      </c>
      <c r="BW48" s="195">
        <f>ROUND(((B48/CE61)*BW61),0)</f>
        <v>143840</v>
      </c>
      <c r="BX48" s="195">
        <f>ROUND(((B48/CE61)*BX61),0)</f>
        <v>98208</v>
      </c>
      <c r="BY48" s="195">
        <f>ROUND(((B48/CE61)*BY61),0)</f>
        <v>244130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13932</v>
      </c>
      <c r="CC48" s="195">
        <f>ROUND(((B48/CE61)*CC61),0)</f>
        <v>293583</v>
      </c>
      <c r="CD48" s="195"/>
      <c r="CE48" s="195">
        <f>SUM(C48:CD48)</f>
        <v>13754927</v>
      </c>
    </row>
    <row r="49" spans="1:84" ht="12.6" customHeight="1" x14ac:dyDescent="0.25">
      <c r="A49" s="175" t="s">
        <v>222</v>
      </c>
      <c r="B49" s="195">
        <f>B47+B48</f>
        <v>13754925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18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223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224</v>
      </c>
      <c r="B52" s="184">
        <v>4743342</v>
      </c>
      <c r="C52" s="195">
        <f>ROUND((B52/(CE76+CF76)*C76),0)</f>
        <v>53156</v>
      </c>
      <c r="D52" s="195">
        <f>ROUND((B52/(CE76+CF76)*D76),0)</f>
        <v>0</v>
      </c>
      <c r="E52" s="195">
        <f>ROUND((B52/(CE76+CF76)*E76),0)</f>
        <v>120050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1797</v>
      </c>
      <c r="K52" s="195">
        <f>ROUND((B52/(CE76+CF76)*K76),0)</f>
        <v>0</v>
      </c>
      <c r="L52" s="195">
        <f>ROUND((B52/(CE76+CF76)*L76),0)</f>
        <v>45543</v>
      </c>
      <c r="M52" s="195">
        <f>ROUND((B52/(CE76+CF76)*M76),0)</f>
        <v>0</v>
      </c>
      <c r="N52" s="195">
        <f>ROUND((B52/(CE76+CF76)*N76),0)</f>
        <v>6031</v>
      </c>
      <c r="O52" s="195">
        <f>ROUND((B52/(CE76+CF76)*O76),0)</f>
        <v>57055</v>
      </c>
      <c r="P52" s="195">
        <f>ROUND((B52/(CE76+CF76)*P76),0)</f>
        <v>203102</v>
      </c>
      <c r="Q52" s="195">
        <f>ROUND((B52/(CE76+CF76)*Q76),0)</f>
        <v>12238</v>
      </c>
      <c r="R52" s="195">
        <f>ROUND((B52/(CE76+CF76)*R76),0)</f>
        <v>2828</v>
      </c>
      <c r="S52" s="195">
        <f>ROUND((B52/(CE76+CF76)*S76),0)</f>
        <v>15515</v>
      </c>
      <c r="T52" s="195">
        <f>ROUND((B52/(CE76+CF76)*T76),0)</f>
        <v>0</v>
      </c>
      <c r="U52" s="195">
        <f>ROUND((B52/(CE76+CF76)*U76),0)</f>
        <v>81401</v>
      </c>
      <c r="V52" s="195">
        <f>ROUND((B52/(CE76+CF76)*V76),0)</f>
        <v>0</v>
      </c>
      <c r="W52" s="195">
        <f>ROUND((B52/(CE76+CF76)*W76),0)</f>
        <v>23024</v>
      </c>
      <c r="X52" s="195">
        <f>ROUND((B52/(CE76+CF76)*X76),0)</f>
        <v>11100</v>
      </c>
      <c r="Y52" s="195">
        <f>ROUND((B52/(CE76+CF76)*Y76),0)</f>
        <v>114763</v>
      </c>
      <c r="Z52" s="195">
        <f>ROUND((B52/(CE76+CF76)*Z76),0)</f>
        <v>0</v>
      </c>
      <c r="AA52" s="195">
        <f>ROUND((B52/(CE76+CF76)*AA76),0)</f>
        <v>7434</v>
      </c>
      <c r="AB52" s="195">
        <f>ROUND((B52/(CE76+CF76)*AB76),0)</f>
        <v>51590</v>
      </c>
      <c r="AC52" s="195">
        <f>ROUND((B52/(CE76+CF76)*AC76),0)</f>
        <v>35430</v>
      </c>
      <c r="AD52" s="195">
        <f>ROUND((B52/(CE76+CF76)*AD76),0)</f>
        <v>0</v>
      </c>
      <c r="AE52" s="195">
        <f>ROUND((B52/(CE76+CF76)*AE76),0)</f>
        <v>134909</v>
      </c>
      <c r="AF52" s="195">
        <f>ROUND((B52/(CE76+CF76)*AF76),0)</f>
        <v>0</v>
      </c>
      <c r="AG52" s="195">
        <f>ROUND((B52/(CE76+CF76)*AG76),0)</f>
        <v>139736</v>
      </c>
      <c r="AH52" s="195">
        <f>ROUND((B52/(CE76+CF76)*AH76),0)</f>
        <v>0</v>
      </c>
      <c r="AI52" s="195">
        <f>ROUND((B52/(CE76+CF76)*AI76),0)</f>
        <v>132484</v>
      </c>
      <c r="AJ52" s="195">
        <f>ROUND((B52/(CE76+CF76)*AJ76),0)</f>
        <v>1293222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92184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18338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120450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1610</v>
      </c>
      <c r="BC52" s="195">
        <f>ROUND((B52/(CE76+CF76)*BC76),0)</f>
        <v>0</v>
      </c>
      <c r="BD52" s="195">
        <f>ROUND((B52/(CE76+CF76)*BD76),0)</f>
        <v>48947</v>
      </c>
      <c r="BE52" s="195">
        <f>ROUND((B52/(CE76+CF76)*BE76),0)</f>
        <v>1237753</v>
      </c>
      <c r="BF52" s="195">
        <f>ROUND((B52/(CE76+CF76)*BF76),0)</f>
        <v>57434</v>
      </c>
      <c r="BG52" s="195">
        <f>ROUND((B52/(CE76+CF76)*BG76),0)</f>
        <v>0</v>
      </c>
      <c r="BH52" s="195">
        <f>ROUND((B52/(CE76+CF76)*BH76),0)</f>
        <v>78402</v>
      </c>
      <c r="BI52" s="195">
        <f>ROUND((B52/(CE76+CF76)*BI76),0)</f>
        <v>0</v>
      </c>
      <c r="BJ52" s="195">
        <f>ROUND((B52/(CE76+CF76)*BJ76),0)</f>
        <v>22844</v>
      </c>
      <c r="BK52" s="195">
        <f>ROUND((B52/(CE76+CF76)*BK76),0)</f>
        <v>83578</v>
      </c>
      <c r="BL52" s="195">
        <f>ROUND((B52/(CE76+CF76)*BL76),0)</f>
        <v>37656</v>
      </c>
      <c r="BM52" s="195">
        <f>ROUND((B52/(CE76+CF76)*BM76),0)</f>
        <v>833</v>
      </c>
      <c r="BN52" s="195">
        <f>ROUND((B52/(CE76+CF76)*BN76),0)</f>
        <v>183433</v>
      </c>
      <c r="BO52" s="195">
        <f>ROUND((B52/(CE76+CF76)*BO76),0)</f>
        <v>5053</v>
      </c>
      <c r="BP52" s="195">
        <f>ROUND((B52/(CE76+CF76)*BP76),0)</f>
        <v>6008</v>
      </c>
      <c r="BQ52" s="195">
        <f>ROUND((B52/(CE76+CF76)*BQ76),0)</f>
        <v>0</v>
      </c>
      <c r="BR52" s="195">
        <f>ROUND((B52/(CE76+CF76)*BR76),0)</f>
        <v>53805</v>
      </c>
      <c r="BS52" s="195">
        <f>ROUND((B52/(CE76+CF76)*BS76),0)</f>
        <v>11962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22958</v>
      </c>
      <c r="BW52" s="195">
        <f>ROUND((B52/(CE76+CF76)*BW76),0)</f>
        <v>8008</v>
      </c>
      <c r="BX52" s="195">
        <f>ROUND((B52/(CE76+CF76)*BX76),0)</f>
        <v>2324</v>
      </c>
      <c r="BY52" s="195">
        <f>ROUND((B52/(CE76+CF76)*BY76),0)</f>
        <v>16158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33334</v>
      </c>
      <c r="CC52" s="195">
        <f>ROUND((B52/(CE76+CF76)*CC76),0)</f>
        <v>57867</v>
      </c>
      <c r="CD52" s="195"/>
      <c r="CE52" s="195">
        <f>SUM(C52:CD52)</f>
        <v>4743347</v>
      </c>
    </row>
    <row r="53" spans="1:84" ht="12.6" customHeight="1" x14ac:dyDescent="0.25">
      <c r="A53" s="175" t="s">
        <v>222</v>
      </c>
      <c r="B53" s="195">
        <f>B51+B52</f>
        <v>4743342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225</v>
      </c>
      <c r="B55" s="175"/>
      <c r="C55" s="182" t="s">
        <v>25</v>
      </c>
      <c r="D55" s="170" t="s">
        <v>26</v>
      </c>
      <c r="E55" s="170" t="s">
        <v>27</v>
      </c>
      <c r="F55" s="170" t="s">
        <v>28</v>
      </c>
      <c r="G55" s="170" t="s">
        <v>29</v>
      </c>
      <c r="H55" s="170" t="s">
        <v>30</v>
      </c>
      <c r="I55" s="170" t="s">
        <v>31</v>
      </c>
      <c r="J55" s="170" t="s">
        <v>32</v>
      </c>
      <c r="K55" s="170" t="s">
        <v>33</v>
      </c>
      <c r="L55" s="170" t="s">
        <v>34</v>
      </c>
      <c r="M55" s="170" t="s">
        <v>35</v>
      </c>
      <c r="N55" s="170" t="s">
        <v>36</v>
      </c>
      <c r="O55" s="170" t="s">
        <v>37</v>
      </c>
      <c r="P55" s="170" t="s">
        <v>38</v>
      </c>
      <c r="Q55" s="170" t="s">
        <v>39</v>
      </c>
      <c r="R55" s="170" t="s">
        <v>40</v>
      </c>
      <c r="S55" s="170" t="s">
        <v>41</v>
      </c>
      <c r="T55" s="240" t="s">
        <v>42</v>
      </c>
      <c r="U55" s="170" t="s">
        <v>43</v>
      </c>
      <c r="V55" s="170" t="s">
        <v>44</v>
      </c>
      <c r="W55" s="170" t="s">
        <v>45</v>
      </c>
      <c r="X55" s="170" t="s">
        <v>46</v>
      </c>
      <c r="Y55" s="170" t="s">
        <v>47</v>
      </c>
      <c r="Z55" s="170" t="s">
        <v>48</v>
      </c>
      <c r="AA55" s="170" t="s">
        <v>49</v>
      </c>
      <c r="AB55" s="170" t="s">
        <v>50</v>
      </c>
      <c r="AC55" s="170" t="s">
        <v>51</v>
      </c>
      <c r="AD55" s="170" t="s">
        <v>52</v>
      </c>
      <c r="AE55" s="170" t="s">
        <v>53</v>
      </c>
      <c r="AF55" s="170" t="s">
        <v>54</v>
      </c>
      <c r="AG55" s="170" t="s">
        <v>55</v>
      </c>
      <c r="AH55" s="170" t="s">
        <v>56</v>
      </c>
      <c r="AI55" s="170" t="s">
        <v>57</v>
      </c>
      <c r="AJ55" s="170" t="s">
        <v>58</v>
      </c>
      <c r="AK55" s="170" t="s">
        <v>59</v>
      </c>
      <c r="AL55" s="170" t="s">
        <v>60</v>
      </c>
      <c r="AM55" s="170" t="s">
        <v>61</v>
      </c>
      <c r="AN55" s="170" t="s">
        <v>62</v>
      </c>
      <c r="AO55" s="170" t="s">
        <v>63</v>
      </c>
      <c r="AP55" s="170" t="s">
        <v>64</v>
      </c>
      <c r="AQ55" s="170" t="s">
        <v>65</v>
      </c>
      <c r="AR55" s="170" t="s">
        <v>66</v>
      </c>
      <c r="AS55" s="170" t="s">
        <v>67</v>
      </c>
      <c r="AT55" s="170" t="s">
        <v>68</v>
      </c>
      <c r="AU55" s="170" t="s">
        <v>69</v>
      </c>
      <c r="AV55" s="170" t="s">
        <v>70</v>
      </c>
      <c r="AW55" s="170" t="s">
        <v>71</v>
      </c>
      <c r="AX55" s="170" t="s">
        <v>72</v>
      </c>
      <c r="AY55" s="170" t="s">
        <v>73</v>
      </c>
      <c r="AZ55" s="170" t="s">
        <v>74</v>
      </c>
      <c r="BA55" s="170" t="s">
        <v>75</v>
      </c>
      <c r="BB55" s="170" t="s">
        <v>76</v>
      </c>
      <c r="BC55" s="170" t="s">
        <v>77</v>
      </c>
      <c r="BD55" s="170" t="s">
        <v>78</v>
      </c>
      <c r="BE55" s="170" t="s">
        <v>79</v>
      </c>
      <c r="BF55" s="170" t="s">
        <v>80</v>
      </c>
      <c r="BG55" s="170" t="s">
        <v>81</v>
      </c>
      <c r="BH55" s="170" t="s">
        <v>82</v>
      </c>
      <c r="BI55" s="170" t="s">
        <v>83</v>
      </c>
      <c r="BJ55" s="170" t="s">
        <v>84</v>
      </c>
      <c r="BK55" s="170" t="s">
        <v>85</v>
      </c>
      <c r="BL55" s="170" t="s">
        <v>86</v>
      </c>
      <c r="BM55" s="170" t="s">
        <v>87</v>
      </c>
      <c r="BN55" s="170" t="s">
        <v>88</v>
      </c>
      <c r="BO55" s="170" t="s">
        <v>89</v>
      </c>
      <c r="BP55" s="170" t="s">
        <v>90</v>
      </c>
      <c r="BQ55" s="170" t="s">
        <v>91</v>
      </c>
      <c r="BR55" s="170" t="s">
        <v>92</v>
      </c>
      <c r="BS55" s="170" t="s">
        <v>93</v>
      </c>
      <c r="BT55" s="170" t="s">
        <v>94</v>
      </c>
      <c r="BU55" s="170" t="s">
        <v>95</v>
      </c>
      <c r="BV55" s="170" t="s">
        <v>96</v>
      </c>
      <c r="BW55" s="170" t="s">
        <v>97</v>
      </c>
      <c r="BX55" s="170" t="s">
        <v>98</v>
      </c>
      <c r="BY55" s="170" t="s">
        <v>99</v>
      </c>
      <c r="BZ55" s="170" t="s">
        <v>100</v>
      </c>
      <c r="CA55" s="170" t="s">
        <v>101</v>
      </c>
      <c r="CB55" s="170" t="s">
        <v>102</v>
      </c>
      <c r="CC55" s="170" t="s">
        <v>103</v>
      </c>
      <c r="CD55" s="170" t="s">
        <v>104</v>
      </c>
      <c r="CE55" s="170" t="s">
        <v>105</v>
      </c>
    </row>
    <row r="56" spans="1:84" ht="12.6" customHeight="1" x14ac:dyDescent="0.25">
      <c r="A56" s="171" t="s">
        <v>226</v>
      </c>
      <c r="B56" s="175"/>
      <c r="C56" s="182" t="s">
        <v>107</v>
      </c>
      <c r="D56" s="170" t="s">
        <v>108</v>
      </c>
      <c r="E56" s="170" t="s">
        <v>109</v>
      </c>
      <c r="F56" s="170" t="s">
        <v>110</v>
      </c>
      <c r="G56" s="170" t="s">
        <v>111</v>
      </c>
      <c r="H56" s="170" t="s">
        <v>112</v>
      </c>
      <c r="I56" s="170" t="s">
        <v>113</v>
      </c>
      <c r="J56" s="170" t="s">
        <v>114</v>
      </c>
      <c r="K56" s="170" t="s">
        <v>115</v>
      </c>
      <c r="L56" s="170" t="s">
        <v>116</v>
      </c>
      <c r="M56" s="170" t="s">
        <v>117</v>
      </c>
      <c r="N56" s="170" t="s">
        <v>118</v>
      </c>
      <c r="O56" s="170" t="s">
        <v>119</v>
      </c>
      <c r="P56" s="170" t="s">
        <v>120</v>
      </c>
      <c r="Q56" s="170" t="s">
        <v>121</v>
      </c>
      <c r="R56" s="170" t="s">
        <v>122</v>
      </c>
      <c r="S56" s="170" t="s">
        <v>123</v>
      </c>
      <c r="T56" s="170" t="s">
        <v>124</v>
      </c>
      <c r="U56" s="170" t="s">
        <v>125</v>
      </c>
      <c r="V56" s="170" t="s">
        <v>126</v>
      </c>
      <c r="W56" s="170" t="s">
        <v>127</v>
      </c>
      <c r="X56" s="170" t="s">
        <v>128</v>
      </c>
      <c r="Y56" s="170" t="s">
        <v>129</v>
      </c>
      <c r="Z56" s="170" t="s">
        <v>129</v>
      </c>
      <c r="AA56" s="170" t="s">
        <v>130</v>
      </c>
      <c r="AB56" s="170" t="s">
        <v>131</v>
      </c>
      <c r="AC56" s="170" t="s">
        <v>132</v>
      </c>
      <c r="AD56" s="170" t="s">
        <v>133</v>
      </c>
      <c r="AE56" s="170" t="s">
        <v>111</v>
      </c>
      <c r="AF56" s="170" t="s">
        <v>112</v>
      </c>
      <c r="AG56" s="170" t="s">
        <v>134</v>
      </c>
      <c r="AH56" s="170" t="s">
        <v>135</v>
      </c>
      <c r="AI56" s="170" t="s">
        <v>136</v>
      </c>
      <c r="AJ56" s="170" t="s">
        <v>137</v>
      </c>
      <c r="AK56" s="170" t="s">
        <v>138</v>
      </c>
      <c r="AL56" s="170" t="s">
        <v>139</v>
      </c>
      <c r="AM56" s="170" t="s">
        <v>140</v>
      </c>
      <c r="AN56" s="170" t="s">
        <v>126</v>
      </c>
      <c r="AO56" s="170" t="s">
        <v>141</v>
      </c>
      <c r="AP56" s="170" t="s">
        <v>142</v>
      </c>
      <c r="AQ56" s="170" t="s">
        <v>143</v>
      </c>
      <c r="AR56" s="170" t="s">
        <v>144</v>
      </c>
      <c r="AS56" s="170" t="s">
        <v>145</v>
      </c>
      <c r="AT56" s="170" t="s">
        <v>146</v>
      </c>
      <c r="AU56" s="170" t="s">
        <v>147</v>
      </c>
      <c r="AV56" s="170" t="s">
        <v>148</v>
      </c>
      <c r="AW56" s="170" t="s">
        <v>149</v>
      </c>
      <c r="AX56" s="170" t="s">
        <v>150</v>
      </c>
      <c r="AY56" s="170" t="s">
        <v>151</v>
      </c>
      <c r="AZ56" s="170" t="s">
        <v>152</v>
      </c>
      <c r="BA56" s="170" t="s">
        <v>153</v>
      </c>
      <c r="BB56" s="170" t="s">
        <v>154</v>
      </c>
      <c r="BC56" s="170" t="s">
        <v>123</v>
      </c>
      <c r="BD56" s="170" t="s">
        <v>155</v>
      </c>
      <c r="BE56" s="170" t="s">
        <v>156</v>
      </c>
      <c r="BF56" s="170" t="s">
        <v>157</v>
      </c>
      <c r="BG56" s="170" t="s">
        <v>158</v>
      </c>
      <c r="BH56" s="170" t="s">
        <v>159</v>
      </c>
      <c r="BI56" s="170" t="s">
        <v>160</v>
      </c>
      <c r="BJ56" s="170" t="s">
        <v>161</v>
      </c>
      <c r="BK56" s="170" t="s">
        <v>162</v>
      </c>
      <c r="BL56" s="170" t="s">
        <v>163</v>
      </c>
      <c r="BM56" s="170" t="s">
        <v>148</v>
      </c>
      <c r="BN56" s="170" t="s">
        <v>164</v>
      </c>
      <c r="BO56" s="170" t="s">
        <v>165</v>
      </c>
      <c r="BP56" s="170" t="s">
        <v>166</v>
      </c>
      <c r="BQ56" s="170" t="s">
        <v>167</v>
      </c>
      <c r="BR56" s="170" t="s">
        <v>168</v>
      </c>
      <c r="BS56" s="170" t="s">
        <v>169</v>
      </c>
      <c r="BT56" s="170" t="s">
        <v>170</v>
      </c>
      <c r="BU56" s="170" t="s">
        <v>171</v>
      </c>
      <c r="BV56" s="170" t="s">
        <v>171</v>
      </c>
      <c r="BW56" s="170" t="s">
        <v>171</v>
      </c>
      <c r="BX56" s="170" t="s">
        <v>172</v>
      </c>
      <c r="BY56" s="170" t="s">
        <v>173</v>
      </c>
      <c r="BZ56" s="170" t="s">
        <v>174</v>
      </c>
      <c r="CA56" s="170" t="s">
        <v>175</v>
      </c>
      <c r="CB56" s="170" t="s">
        <v>176</v>
      </c>
      <c r="CC56" s="170" t="s">
        <v>148</v>
      </c>
      <c r="CD56" s="170" t="s">
        <v>227</v>
      </c>
      <c r="CE56" s="170" t="s">
        <v>177</v>
      </c>
    </row>
    <row r="57" spans="1:84" ht="12.6" customHeight="1" x14ac:dyDescent="0.25">
      <c r="A57" s="171" t="s">
        <v>228</v>
      </c>
      <c r="B57" s="175"/>
      <c r="C57" s="182" t="s">
        <v>179</v>
      </c>
      <c r="D57" s="170" t="s">
        <v>179</v>
      </c>
      <c r="E57" s="170" t="s">
        <v>179</v>
      </c>
      <c r="F57" s="170" t="s">
        <v>180</v>
      </c>
      <c r="G57" s="170" t="s">
        <v>181</v>
      </c>
      <c r="H57" s="170" t="s">
        <v>179</v>
      </c>
      <c r="I57" s="170" t="s">
        <v>182</v>
      </c>
      <c r="J57" s="170"/>
      <c r="K57" s="170" t="s">
        <v>173</v>
      </c>
      <c r="L57" s="170" t="s">
        <v>183</v>
      </c>
      <c r="M57" s="170" t="s">
        <v>184</v>
      </c>
      <c r="N57" s="170" t="s">
        <v>185</v>
      </c>
      <c r="O57" s="170" t="s">
        <v>186</v>
      </c>
      <c r="P57" s="170" t="s">
        <v>185</v>
      </c>
      <c r="Q57" s="170" t="s">
        <v>187</v>
      </c>
      <c r="R57" s="170"/>
      <c r="S57" s="170" t="s">
        <v>185</v>
      </c>
      <c r="T57" s="170" t="s">
        <v>188</v>
      </c>
      <c r="U57" s="170"/>
      <c r="V57" s="170" t="s">
        <v>189</v>
      </c>
      <c r="W57" s="170" t="s">
        <v>190</v>
      </c>
      <c r="X57" s="170" t="s">
        <v>191</v>
      </c>
      <c r="Y57" s="170" t="s">
        <v>192</v>
      </c>
      <c r="Z57" s="170" t="s">
        <v>193</v>
      </c>
      <c r="AA57" s="170" t="s">
        <v>194</v>
      </c>
      <c r="AB57" s="170"/>
      <c r="AC57" s="170" t="s">
        <v>188</v>
      </c>
      <c r="AD57" s="170"/>
      <c r="AE57" s="170" t="s">
        <v>188</v>
      </c>
      <c r="AF57" s="170" t="s">
        <v>195</v>
      </c>
      <c r="AG57" s="170" t="s">
        <v>187</v>
      </c>
      <c r="AH57" s="170"/>
      <c r="AI57" s="170" t="s">
        <v>196</v>
      </c>
      <c r="AJ57" s="170"/>
      <c r="AK57" s="170" t="s">
        <v>188</v>
      </c>
      <c r="AL57" s="170" t="s">
        <v>188</v>
      </c>
      <c r="AM57" s="170" t="s">
        <v>188</v>
      </c>
      <c r="AN57" s="170" t="s">
        <v>197</v>
      </c>
      <c r="AO57" s="170" t="s">
        <v>198</v>
      </c>
      <c r="AP57" s="170" t="s">
        <v>137</v>
      </c>
      <c r="AQ57" s="170" t="s">
        <v>199</v>
      </c>
      <c r="AR57" s="170" t="s">
        <v>185</v>
      </c>
      <c r="AS57" s="170"/>
      <c r="AT57" s="170" t="s">
        <v>200</v>
      </c>
      <c r="AU57" s="170" t="s">
        <v>201</v>
      </c>
      <c r="AV57" s="170" t="s">
        <v>202</v>
      </c>
      <c r="AW57" s="170" t="s">
        <v>203</v>
      </c>
      <c r="AX57" s="170" t="s">
        <v>204</v>
      </c>
      <c r="AY57" s="170"/>
      <c r="AZ57" s="170"/>
      <c r="BA57" s="170" t="s">
        <v>205</v>
      </c>
      <c r="BB57" s="170" t="s">
        <v>185</v>
      </c>
      <c r="BC57" s="170" t="s">
        <v>199</v>
      </c>
      <c r="BD57" s="170"/>
      <c r="BE57" s="170"/>
      <c r="BF57" s="170"/>
      <c r="BG57" s="170"/>
      <c r="BH57" s="170" t="s">
        <v>206</v>
      </c>
      <c r="BI57" s="170" t="s">
        <v>185</v>
      </c>
      <c r="BJ57" s="170"/>
      <c r="BK57" s="170" t="s">
        <v>207</v>
      </c>
      <c r="BL57" s="170"/>
      <c r="BM57" s="170" t="s">
        <v>208</v>
      </c>
      <c r="BN57" s="170" t="s">
        <v>209</v>
      </c>
      <c r="BO57" s="170" t="s">
        <v>210</v>
      </c>
      <c r="BP57" s="170" t="s">
        <v>211</v>
      </c>
      <c r="BQ57" s="170" t="s">
        <v>212</v>
      </c>
      <c r="BR57" s="170"/>
      <c r="BS57" s="170" t="s">
        <v>213</v>
      </c>
      <c r="BT57" s="170" t="s">
        <v>185</v>
      </c>
      <c r="BU57" s="170" t="s">
        <v>214</v>
      </c>
      <c r="BV57" s="170" t="s">
        <v>215</v>
      </c>
      <c r="BW57" s="170" t="s">
        <v>216</v>
      </c>
      <c r="BX57" s="170" t="s">
        <v>167</v>
      </c>
      <c r="BY57" s="170" t="s">
        <v>209</v>
      </c>
      <c r="BZ57" s="170" t="s">
        <v>168</v>
      </c>
      <c r="CA57" s="170" t="s">
        <v>217</v>
      </c>
      <c r="CB57" s="170" t="s">
        <v>217</v>
      </c>
      <c r="CC57" s="170" t="s">
        <v>218</v>
      </c>
      <c r="CD57" s="170" t="s">
        <v>229</v>
      </c>
      <c r="CE57" s="170" t="s">
        <v>219</v>
      </c>
    </row>
    <row r="58" spans="1:84" ht="12.6" customHeight="1" x14ac:dyDescent="0.25">
      <c r="A58" s="171" t="s">
        <v>230</v>
      </c>
      <c r="B58" s="175"/>
      <c r="C58" s="182" t="s">
        <v>231</v>
      </c>
      <c r="D58" s="170" t="s">
        <v>231</v>
      </c>
      <c r="E58" s="170" t="s">
        <v>231</v>
      </c>
      <c r="F58" s="170" t="s">
        <v>231</v>
      </c>
      <c r="G58" s="170" t="s">
        <v>231</v>
      </c>
      <c r="H58" s="170" t="s">
        <v>231</v>
      </c>
      <c r="I58" s="170" t="s">
        <v>231</v>
      </c>
      <c r="J58" s="170" t="s">
        <v>232</v>
      </c>
      <c r="K58" s="170" t="s">
        <v>231</v>
      </c>
      <c r="L58" s="170" t="s">
        <v>231</v>
      </c>
      <c r="M58" s="170" t="s">
        <v>231</v>
      </c>
      <c r="N58" s="170" t="s">
        <v>231</v>
      </c>
      <c r="O58" s="170" t="s">
        <v>233</v>
      </c>
      <c r="P58" s="170" t="s">
        <v>234</v>
      </c>
      <c r="Q58" s="170" t="s">
        <v>235</v>
      </c>
      <c r="R58" s="238" t="s">
        <v>236</v>
      </c>
      <c r="S58" s="241" t="s">
        <v>237</v>
      </c>
      <c r="T58" s="241" t="s">
        <v>237</v>
      </c>
      <c r="U58" s="170" t="s">
        <v>238</v>
      </c>
      <c r="V58" s="170" t="s">
        <v>238</v>
      </c>
      <c r="W58" s="170" t="s">
        <v>239</v>
      </c>
      <c r="X58" s="170" t="s">
        <v>240</v>
      </c>
      <c r="Y58" s="170" t="s">
        <v>241</v>
      </c>
      <c r="Z58" s="170" t="s">
        <v>241</v>
      </c>
      <c r="AA58" s="170" t="s">
        <v>241</v>
      </c>
      <c r="AB58" s="241" t="s">
        <v>237</v>
      </c>
      <c r="AC58" s="170" t="s">
        <v>242</v>
      </c>
      <c r="AD58" s="170" t="s">
        <v>243</v>
      </c>
      <c r="AE58" s="170" t="s">
        <v>242</v>
      </c>
      <c r="AF58" s="170" t="s">
        <v>244</v>
      </c>
      <c r="AG58" s="170" t="s">
        <v>244</v>
      </c>
      <c r="AH58" s="170" t="s">
        <v>245</v>
      </c>
      <c r="AI58" s="170" t="s">
        <v>246</v>
      </c>
      <c r="AJ58" s="170" t="s">
        <v>244</v>
      </c>
      <c r="AK58" s="170" t="s">
        <v>242</v>
      </c>
      <c r="AL58" s="170" t="s">
        <v>242</v>
      </c>
      <c r="AM58" s="170" t="s">
        <v>242</v>
      </c>
      <c r="AN58" s="170" t="s">
        <v>233</v>
      </c>
      <c r="AO58" s="170" t="s">
        <v>243</v>
      </c>
      <c r="AP58" s="170" t="s">
        <v>244</v>
      </c>
      <c r="AQ58" s="170" t="s">
        <v>245</v>
      </c>
      <c r="AR58" s="170" t="s">
        <v>244</v>
      </c>
      <c r="AS58" s="170" t="s">
        <v>242</v>
      </c>
      <c r="AT58" s="170" t="s">
        <v>247</v>
      </c>
      <c r="AU58" s="170" t="s">
        <v>244</v>
      </c>
      <c r="AV58" s="241" t="s">
        <v>237</v>
      </c>
      <c r="AW58" s="241" t="s">
        <v>237</v>
      </c>
      <c r="AX58" s="241" t="s">
        <v>237</v>
      </c>
      <c r="AY58" s="170" t="s">
        <v>248</v>
      </c>
      <c r="AZ58" s="170" t="s">
        <v>248</v>
      </c>
      <c r="BA58" s="241" t="s">
        <v>237</v>
      </c>
      <c r="BB58" s="241" t="s">
        <v>237</v>
      </c>
      <c r="BC58" s="241" t="s">
        <v>237</v>
      </c>
      <c r="BD58" s="241" t="s">
        <v>237</v>
      </c>
      <c r="BE58" s="170" t="s">
        <v>249</v>
      </c>
      <c r="BF58" s="241" t="s">
        <v>237</v>
      </c>
      <c r="BG58" s="241" t="s">
        <v>237</v>
      </c>
      <c r="BH58" s="241" t="s">
        <v>237</v>
      </c>
      <c r="BI58" s="241" t="s">
        <v>237</v>
      </c>
      <c r="BJ58" s="241" t="s">
        <v>237</v>
      </c>
      <c r="BK58" s="241" t="s">
        <v>237</v>
      </c>
      <c r="BL58" s="241" t="s">
        <v>237</v>
      </c>
      <c r="BM58" s="241" t="s">
        <v>237</v>
      </c>
      <c r="BN58" s="241" t="s">
        <v>237</v>
      </c>
      <c r="BO58" s="241" t="s">
        <v>237</v>
      </c>
      <c r="BP58" s="241" t="s">
        <v>237</v>
      </c>
      <c r="BQ58" s="241" t="s">
        <v>237</v>
      </c>
      <c r="BR58" s="241" t="s">
        <v>237</v>
      </c>
      <c r="BS58" s="241" t="s">
        <v>237</v>
      </c>
      <c r="BT58" s="241" t="s">
        <v>237</v>
      </c>
      <c r="BU58" s="241" t="s">
        <v>237</v>
      </c>
      <c r="BV58" s="241" t="s">
        <v>237</v>
      </c>
      <c r="BW58" s="241" t="s">
        <v>237</v>
      </c>
      <c r="BX58" s="241" t="s">
        <v>237</v>
      </c>
      <c r="BY58" s="241" t="s">
        <v>237</v>
      </c>
      <c r="BZ58" s="241" t="s">
        <v>237</v>
      </c>
      <c r="CA58" s="241" t="s">
        <v>237</v>
      </c>
      <c r="CB58" s="241" t="s">
        <v>237</v>
      </c>
      <c r="CC58" s="241" t="s">
        <v>237</v>
      </c>
      <c r="CD58" s="241" t="s">
        <v>237</v>
      </c>
      <c r="CE58" s="241" t="s">
        <v>237</v>
      </c>
    </row>
    <row r="59" spans="1:84" ht="12.6" customHeight="1" x14ac:dyDescent="0.25">
      <c r="A59" s="171" t="s">
        <v>250</v>
      </c>
      <c r="B59" s="175"/>
      <c r="C59" s="184">
        <v>263</v>
      </c>
      <c r="D59" s="184"/>
      <c r="E59" s="184">
        <f>4127-263</f>
        <v>3864</v>
      </c>
      <c r="F59" s="184"/>
      <c r="G59" s="184"/>
      <c r="H59" s="184"/>
      <c r="I59" s="184"/>
      <c r="J59" s="184">
        <v>238</v>
      </c>
      <c r="K59" s="184"/>
      <c r="L59" s="184">
        <v>188</v>
      </c>
      <c r="M59" s="184"/>
      <c r="N59" s="184"/>
      <c r="O59" s="184">
        <v>112</v>
      </c>
      <c r="P59" s="184">
        <v>174972</v>
      </c>
      <c r="Q59" s="184">
        <v>37402</v>
      </c>
      <c r="R59" s="184">
        <v>173729</v>
      </c>
      <c r="S59" s="184"/>
      <c r="T59" s="184"/>
      <c r="U59" s="184">
        <v>221752</v>
      </c>
      <c r="V59" s="276">
        <v>1223</v>
      </c>
      <c r="W59" s="184">
        <v>2246</v>
      </c>
      <c r="X59" s="184">
        <v>5720</v>
      </c>
      <c r="Y59" s="184">
        <v>17752</v>
      </c>
      <c r="Z59" s="184"/>
      <c r="AA59" s="184">
        <v>436</v>
      </c>
      <c r="AB59" s="184"/>
      <c r="AC59" s="184">
        <v>42603</v>
      </c>
      <c r="AD59" s="184"/>
      <c r="AE59" s="184">
        <v>98895</v>
      </c>
      <c r="AF59" s="184"/>
      <c r="AG59" s="184">
        <v>12684</v>
      </c>
      <c r="AH59" s="184"/>
      <c r="AI59" s="184">
        <v>17642</v>
      </c>
      <c r="AJ59" s="184">
        <v>102544</v>
      </c>
      <c r="AK59" s="184"/>
      <c r="AL59" s="184"/>
      <c r="AM59" s="184"/>
      <c r="AN59" s="184"/>
      <c r="AO59" s="184"/>
      <c r="AP59" s="184"/>
      <c r="AQ59" s="184"/>
      <c r="AR59" s="276">
        <f>12779+5189</f>
        <v>17968</v>
      </c>
      <c r="AS59" s="184"/>
      <c r="AT59" s="184"/>
      <c r="AU59" s="184"/>
      <c r="AV59" s="276"/>
      <c r="AW59" s="184"/>
      <c r="AX59" s="184"/>
      <c r="AY59" s="184">
        <v>15632</v>
      </c>
      <c r="AZ59" s="184"/>
      <c r="BA59" s="184"/>
      <c r="BB59" s="184"/>
      <c r="BC59" s="184"/>
      <c r="BD59" s="184"/>
      <c r="BE59" s="276">
        <v>228101</v>
      </c>
      <c r="BF59" s="184"/>
      <c r="BG59" s="184"/>
      <c r="BH59" s="184"/>
      <c r="BI59" s="184"/>
      <c r="BJ59" s="184"/>
      <c r="BK59" s="184"/>
      <c r="BL59" s="184"/>
      <c r="BM59" s="184"/>
      <c r="BN59" s="184"/>
      <c r="BO59" s="184"/>
      <c r="BP59" s="184"/>
      <c r="BQ59" s="184"/>
      <c r="BR59" s="184"/>
      <c r="BS59" s="184"/>
      <c r="BT59" s="184"/>
      <c r="BU59" s="184"/>
      <c r="BV59" s="184"/>
      <c r="BW59" s="184"/>
      <c r="BX59" s="184"/>
      <c r="BY59" s="184"/>
      <c r="BZ59" s="184"/>
      <c r="CA59" s="184"/>
      <c r="CB59" s="184"/>
      <c r="CC59" s="184"/>
      <c r="CD59" s="243"/>
      <c r="CE59" s="195"/>
    </row>
    <row r="60" spans="1:84" ht="12.6" customHeight="1" x14ac:dyDescent="0.25">
      <c r="A60" s="244" t="s">
        <v>251</v>
      </c>
      <c r="B60" s="175"/>
      <c r="C60" s="187">
        <v>12.555413461538464</v>
      </c>
      <c r="D60" s="187"/>
      <c r="E60" s="187">
        <v>39.69358173076931</v>
      </c>
      <c r="F60" s="187"/>
      <c r="G60" s="187"/>
      <c r="H60" s="187"/>
      <c r="I60" s="187"/>
      <c r="J60" s="187"/>
      <c r="K60" s="187"/>
      <c r="L60" s="187"/>
      <c r="M60" s="187"/>
      <c r="N60" s="187">
        <v>5.8964157852564094</v>
      </c>
      <c r="O60" s="187">
        <v>10.279706730769238</v>
      </c>
      <c r="P60" s="187">
        <v>14.749932692307704</v>
      </c>
      <c r="Q60" s="187">
        <v>0.48168269230769228</v>
      </c>
      <c r="R60" s="187">
        <v>5</v>
      </c>
      <c r="S60" s="187">
        <v>2.7145673076923069</v>
      </c>
      <c r="T60" s="187"/>
      <c r="U60" s="187">
        <v>25.407504807692323</v>
      </c>
      <c r="V60" s="187">
        <v>6.0961538461538456E-2</v>
      </c>
      <c r="W60" s="187">
        <v>1.5808173076923078</v>
      </c>
      <c r="X60" s="187">
        <v>1.4874038461538461</v>
      </c>
      <c r="Y60" s="187">
        <v>19.153730769230776</v>
      </c>
      <c r="Z60" s="187"/>
      <c r="AA60" s="187">
        <v>0.85281249999999997</v>
      </c>
      <c r="AB60" s="187">
        <v>11.880235576923084</v>
      </c>
      <c r="AC60" s="187">
        <v>8.0154705769230787</v>
      </c>
      <c r="AD60" s="187"/>
      <c r="AE60" s="187">
        <v>31.136274038461572</v>
      </c>
      <c r="AF60" s="187"/>
      <c r="AG60" s="187">
        <v>25.740552884615397</v>
      </c>
      <c r="AH60" s="187"/>
      <c r="AI60" s="187">
        <v>24.65959674125876</v>
      </c>
      <c r="AJ60" s="187">
        <v>171.22678424248068</v>
      </c>
      <c r="AK60" s="187"/>
      <c r="AL60" s="187"/>
      <c r="AM60" s="187"/>
      <c r="AN60" s="187"/>
      <c r="AO60" s="187"/>
      <c r="AP60" s="187"/>
      <c r="AQ60" s="187"/>
      <c r="AR60" s="187">
        <v>35.577307692307734</v>
      </c>
      <c r="AS60" s="187"/>
      <c r="AT60" s="187"/>
      <c r="AU60" s="187"/>
      <c r="AV60" s="187">
        <v>17.619620192307703</v>
      </c>
      <c r="AW60" s="187"/>
      <c r="AX60" s="187"/>
      <c r="AY60" s="187">
        <v>15.548197115384626</v>
      </c>
      <c r="AZ60" s="187"/>
      <c r="BA60" s="187"/>
      <c r="BB60" s="187"/>
      <c r="BC60" s="187"/>
      <c r="BD60" s="187">
        <v>8.1161538461538427</v>
      </c>
      <c r="BE60" s="187">
        <v>16.605903846153861</v>
      </c>
      <c r="BF60" s="187">
        <v>25.060524038461573</v>
      </c>
      <c r="BG60" s="187"/>
      <c r="BH60" s="187">
        <v>14.762774038461545</v>
      </c>
      <c r="BI60" s="187"/>
      <c r="BJ60" s="187">
        <v>7.1298894230769214</v>
      </c>
      <c r="BK60" s="187">
        <v>14.401663461538467</v>
      </c>
      <c r="BL60" s="187">
        <v>14.154024038461547</v>
      </c>
      <c r="BM60" s="187">
        <v>4.7486923076923064</v>
      </c>
      <c r="BN60" s="187">
        <v>9.0806009615384671</v>
      </c>
      <c r="BO60" s="187">
        <v>0.36557211538461548</v>
      </c>
      <c r="BP60" s="187">
        <v>1</v>
      </c>
      <c r="BQ60" s="187"/>
      <c r="BR60" s="187">
        <v>8.4289615384615413</v>
      </c>
      <c r="BS60" s="187">
        <v>0.73653846153846159</v>
      </c>
      <c r="BT60" s="187"/>
      <c r="BU60" s="187"/>
      <c r="BV60" s="187">
        <v>12.013947115384623</v>
      </c>
      <c r="BW60" s="187">
        <v>3.6101265705128203</v>
      </c>
      <c r="BX60" s="187">
        <v>4.228437500000001</v>
      </c>
      <c r="BY60" s="187">
        <v>8.2275096153846174</v>
      </c>
      <c r="BZ60" s="187"/>
      <c r="CA60" s="187"/>
      <c r="CB60" s="187">
        <v>1.365528846153846</v>
      </c>
      <c r="CC60" s="187">
        <v>10.434466346153847</v>
      </c>
      <c r="CD60" s="243" t="s">
        <v>237</v>
      </c>
      <c r="CE60" s="245">
        <f t="shared" ref="CE60:CE70" si="0">SUM(C60:CD60)</f>
        <v>645.78988430104766</v>
      </c>
    </row>
    <row r="61" spans="1:84" ht="12.6" customHeight="1" x14ac:dyDescent="0.25">
      <c r="A61" s="171" t="s">
        <v>252</v>
      </c>
      <c r="B61" s="175"/>
      <c r="C61" s="184">
        <v>1111070</v>
      </c>
      <c r="D61" s="184"/>
      <c r="E61" s="184">
        <v>2935627</v>
      </c>
      <c r="F61" s="184"/>
      <c r="G61" s="184"/>
      <c r="H61" s="184"/>
      <c r="I61" s="184"/>
      <c r="J61" s="184"/>
      <c r="K61" s="184"/>
      <c r="L61" s="184">
        <v>264</v>
      </c>
      <c r="M61" s="184"/>
      <c r="N61" s="184">
        <v>1626312</v>
      </c>
      <c r="O61" s="184">
        <v>1091586</v>
      </c>
      <c r="P61" s="184">
        <v>1435707</v>
      </c>
      <c r="Q61" s="184">
        <v>37819</v>
      </c>
      <c r="R61" s="184">
        <v>1101861</v>
      </c>
      <c r="S61" s="184">
        <v>129888</v>
      </c>
      <c r="T61" s="184"/>
      <c r="U61" s="184">
        <v>1700148</v>
      </c>
      <c r="V61" s="184">
        <v>0</v>
      </c>
      <c r="W61" s="184">
        <v>151627</v>
      </c>
      <c r="X61" s="184">
        <v>121235</v>
      </c>
      <c r="Y61" s="184">
        <v>1526903</v>
      </c>
      <c r="Z61" s="184"/>
      <c r="AA61" s="184">
        <v>107941</v>
      </c>
      <c r="AB61" s="184">
        <v>1169351</v>
      </c>
      <c r="AC61" s="184">
        <v>704189</v>
      </c>
      <c r="AD61" s="184"/>
      <c r="AE61" s="184">
        <v>2585347</v>
      </c>
      <c r="AF61" s="184"/>
      <c r="AG61" s="184">
        <v>2319942</v>
      </c>
      <c r="AH61" s="184"/>
      <c r="AI61" s="184">
        <v>2745112</v>
      </c>
      <c r="AJ61" s="184">
        <v>17396466</v>
      </c>
      <c r="AK61" s="184"/>
      <c r="AL61" s="184"/>
      <c r="AM61" s="184"/>
      <c r="AN61" s="184"/>
      <c r="AO61" s="184"/>
      <c r="AP61" s="184"/>
      <c r="AQ61" s="184"/>
      <c r="AR61" s="184">
        <v>3202624</v>
      </c>
      <c r="AS61" s="184"/>
      <c r="AT61" s="184"/>
      <c r="AU61" s="184"/>
      <c r="AV61" s="184">
        <v>1369053</v>
      </c>
      <c r="AW61" s="184"/>
      <c r="AX61" s="184"/>
      <c r="AY61" s="184">
        <v>742339</v>
      </c>
      <c r="AZ61" s="184"/>
      <c r="BA61" s="184"/>
      <c r="BB61" s="184"/>
      <c r="BC61" s="184"/>
      <c r="BD61" s="184">
        <v>459314</v>
      </c>
      <c r="BE61" s="184">
        <v>1087666</v>
      </c>
      <c r="BF61" s="184">
        <v>1050726</v>
      </c>
      <c r="BG61" s="184"/>
      <c r="BH61" s="184">
        <v>1309781</v>
      </c>
      <c r="BI61" s="184"/>
      <c r="BJ61" s="184">
        <v>726018</v>
      </c>
      <c r="BK61" s="184">
        <v>820400</v>
      </c>
      <c r="BL61" s="184">
        <v>668404</v>
      </c>
      <c r="BM61" s="184">
        <v>380059</v>
      </c>
      <c r="BN61" s="184">
        <v>1166781</v>
      </c>
      <c r="BO61" s="184">
        <v>20650</v>
      </c>
      <c r="BP61" s="184">
        <v>92253</v>
      </c>
      <c r="BQ61" s="184"/>
      <c r="BR61" s="184">
        <v>779190</v>
      </c>
      <c r="BS61" s="184">
        <v>77849</v>
      </c>
      <c r="BT61" s="184"/>
      <c r="BU61" s="184"/>
      <c r="BV61" s="184">
        <v>583295</v>
      </c>
      <c r="BW61" s="184">
        <v>605211</v>
      </c>
      <c r="BX61" s="184">
        <v>413212</v>
      </c>
      <c r="BY61" s="184">
        <v>1027183</v>
      </c>
      <c r="BZ61" s="184"/>
      <c r="CA61" s="184"/>
      <c r="CB61" s="184">
        <v>58619</v>
      </c>
      <c r="CC61" s="184">
        <v>1235261</v>
      </c>
      <c r="CD61" s="243" t="s">
        <v>237</v>
      </c>
      <c r="CE61" s="195">
        <f t="shared" si="0"/>
        <v>57874283</v>
      </c>
      <c r="CF61" s="246"/>
    </row>
    <row r="62" spans="1:84" ht="12.6" customHeight="1" x14ac:dyDescent="0.25">
      <c r="A62" s="171" t="s">
        <v>13</v>
      </c>
      <c r="B62" s="175"/>
      <c r="C62" s="195">
        <f t="shared" ref="C62:BN62" si="1">ROUND(C47+C48,0)</f>
        <v>264067</v>
      </c>
      <c r="D62" s="195">
        <f t="shared" si="1"/>
        <v>0</v>
      </c>
      <c r="E62" s="195">
        <f t="shared" si="1"/>
        <v>697708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63</v>
      </c>
      <c r="M62" s="195">
        <f t="shared" si="1"/>
        <v>0</v>
      </c>
      <c r="N62" s="195">
        <f t="shared" si="1"/>
        <v>386524</v>
      </c>
      <c r="O62" s="195">
        <f t="shared" si="1"/>
        <v>259436</v>
      </c>
      <c r="P62" s="195">
        <f t="shared" si="1"/>
        <v>341223</v>
      </c>
      <c r="Q62" s="195">
        <f t="shared" si="1"/>
        <v>8988</v>
      </c>
      <c r="R62" s="195">
        <f t="shared" si="1"/>
        <v>261878</v>
      </c>
      <c r="S62" s="195">
        <f t="shared" si="1"/>
        <v>30870</v>
      </c>
      <c r="T62" s="195">
        <f t="shared" si="1"/>
        <v>0</v>
      </c>
      <c r="U62" s="195">
        <f t="shared" si="1"/>
        <v>404073</v>
      </c>
      <c r="V62" s="195">
        <f t="shared" si="1"/>
        <v>0</v>
      </c>
      <c r="W62" s="195">
        <f t="shared" si="1"/>
        <v>36037</v>
      </c>
      <c r="X62" s="195">
        <f t="shared" si="1"/>
        <v>28814</v>
      </c>
      <c r="Y62" s="195">
        <f t="shared" si="1"/>
        <v>362898</v>
      </c>
      <c r="Z62" s="195">
        <f t="shared" si="1"/>
        <v>0</v>
      </c>
      <c r="AA62" s="195">
        <f t="shared" si="1"/>
        <v>25654</v>
      </c>
      <c r="AB62" s="195">
        <f t="shared" si="1"/>
        <v>277919</v>
      </c>
      <c r="AC62" s="195">
        <f t="shared" si="1"/>
        <v>167364</v>
      </c>
      <c r="AD62" s="195">
        <f t="shared" si="1"/>
        <v>0</v>
      </c>
      <c r="AE62" s="195">
        <f t="shared" si="1"/>
        <v>614457</v>
      </c>
      <c r="AF62" s="195">
        <f t="shared" si="1"/>
        <v>0</v>
      </c>
      <c r="AG62" s="195">
        <f t="shared" si="1"/>
        <v>551378</v>
      </c>
      <c r="AH62" s="195">
        <f t="shared" si="1"/>
        <v>0</v>
      </c>
      <c r="AI62" s="195">
        <f t="shared" si="1"/>
        <v>652428</v>
      </c>
      <c r="AJ62" s="195">
        <f t="shared" si="1"/>
        <v>4134601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761165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325382</v>
      </c>
      <c r="AW62" s="195">
        <f t="shared" si="1"/>
        <v>0</v>
      </c>
      <c r="AX62" s="195">
        <f t="shared" si="1"/>
        <v>0</v>
      </c>
      <c r="AY62" s="195">
        <f>ROUND(AY47+AY48,0)</f>
        <v>176431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109165</v>
      </c>
      <c r="BE62" s="195">
        <f t="shared" si="1"/>
        <v>258505</v>
      </c>
      <c r="BF62" s="195">
        <f t="shared" si="1"/>
        <v>249725</v>
      </c>
      <c r="BG62" s="195">
        <f t="shared" si="1"/>
        <v>0</v>
      </c>
      <c r="BH62" s="195">
        <f t="shared" si="1"/>
        <v>311294</v>
      </c>
      <c r="BI62" s="195">
        <f t="shared" si="1"/>
        <v>0</v>
      </c>
      <c r="BJ62" s="195">
        <f t="shared" si="1"/>
        <v>172552</v>
      </c>
      <c r="BK62" s="195">
        <f t="shared" si="1"/>
        <v>194984</v>
      </c>
      <c r="BL62" s="195">
        <f t="shared" si="1"/>
        <v>158859</v>
      </c>
      <c r="BM62" s="195">
        <f t="shared" si="1"/>
        <v>90328</v>
      </c>
      <c r="BN62" s="195">
        <f t="shared" si="1"/>
        <v>277308</v>
      </c>
      <c r="BO62" s="195">
        <f t="shared" ref="BO62:CC62" si="2">ROUND(BO47+BO48,0)</f>
        <v>4908</v>
      </c>
      <c r="BP62" s="195">
        <f t="shared" si="2"/>
        <v>21926</v>
      </c>
      <c r="BQ62" s="195">
        <f t="shared" si="2"/>
        <v>0</v>
      </c>
      <c r="BR62" s="195">
        <f t="shared" si="2"/>
        <v>185189</v>
      </c>
      <c r="BS62" s="195">
        <f t="shared" si="2"/>
        <v>18502</v>
      </c>
      <c r="BT62" s="195">
        <f t="shared" si="2"/>
        <v>0</v>
      </c>
      <c r="BU62" s="195">
        <f t="shared" si="2"/>
        <v>0</v>
      </c>
      <c r="BV62" s="195">
        <f t="shared" si="2"/>
        <v>138631</v>
      </c>
      <c r="BW62" s="195">
        <f t="shared" si="2"/>
        <v>143840</v>
      </c>
      <c r="BX62" s="195">
        <f t="shared" si="2"/>
        <v>98208</v>
      </c>
      <c r="BY62" s="195">
        <f t="shared" si="2"/>
        <v>244130</v>
      </c>
      <c r="BZ62" s="195">
        <f t="shared" si="2"/>
        <v>0</v>
      </c>
      <c r="CA62" s="195">
        <f t="shared" si="2"/>
        <v>0</v>
      </c>
      <c r="CB62" s="195">
        <f t="shared" si="2"/>
        <v>13932</v>
      </c>
      <c r="CC62" s="195">
        <f t="shared" si="2"/>
        <v>293583</v>
      </c>
      <c r="CD62" s="243" t="s">
        <v>237</v>
      </c>
      <c r="CE62" s="195">
        <f t="shared" si="0"/>
        <v>13754927</v>
      </c>
      <c r="CF62" s="246"/>
    </row>
    <row r="63" spans="1:84" ht="12.6" customHeight="1" x14ac:dyDescent="0.25">
      <c r="A63" s="171" t="s">
        <v>253</v>
      </c>
      <c r="B63" s="175"/>
      <c r="C63" s="184">
        <v>74047</v>
      </c>
      <c r="D63" s="184"/>
      <c r="E63" s="184">
        <v>6464</v>
      </c>
      <c r="F63" s="184"/>
      <c r="G63" s="184"/>
      <c r="H63" s="184"/>
      <c r="I63" s="184"/>
      <c r="J63" s="184"/>
      <c r="K63" s="184"/>
      <c r="L63" s="184"/>
      <c r="M63" s="184"/>
      <c r="N63" s="184">
        <v>237457</v>
      </c>
      <c r="O63" s="184">
        <v>40203</v>
      </c>
      <c r="P63" s="184">
        <v>319760</v>
      </c>
      <c r="Q63" s="184"/>
      <c r="R63" s="184"/>
      <c r="S63" s="184">
        <v>24832</v>
      </c>
      <c r="T63" s="184"/>
      <c r="U63" s="184">
        <v>144923</v>
      </c>
      <c r="V63" s="184"/>
      <c r="W63" s="184"/>
      <c r="X63" s="184"/>
      <c r="Y63" s="184">
        <v>53114</v>
      </c>
      <c r="Z63" s="184"/>
      <c r="AA63" s="184">
        <v>1832</v>
      </c>
      <c r="AB63" s="184">
        <v>1106332</v>
      </c>
      <c r="AC63" s="184"/>
      <c r="AD63" s="184"/>
      <c r="AE63" s="184">
        <v>464591</v>
      </c>
      <c r="AF63" s="184"/>
      <c r="AG63" s="184">
        <v>2415254</v>
      </c>
      <c r="AH63" s="184"/>
      <c r="AI63" s="184"/>
      <c r="AJ63" s="184">
        <v>836144</v>
      </c>
      <c r="AK63" s="184"/>
      <c r="AL63" s="184"/>
      <c r="AM63" s="184"/>
      <c r="AN63" s="184"/>
      <c r="AO63" s="184"/>
      <c r="AP63" s="184"/>
      <c r="AQ63" s="184"/>
      <c r="AR63" s="184">
        <v>87990</v>
      </c>
      <c r="AS63" s="184"/>
      <c r="AT63" s="184"/>
      <c r="AU63" s="184"/>
      <c r="AV63" s="184">
        <v>519570</v>
      </c>
      <c r="AW63" s="184"/>
      <c r="AX63" s="184"/>
      <c r="AY63" s="184"/>
      <c r="AZ63" s="184"/>
      <c r="BA63" s="184"/>
      <c r="BB63" s="184"/>
      <c r="BC63" s="184"/>
      <c r="BD63" s="184"/>
      <c r="BE63" s="184">
        <v>2295</v>
      </c>
      <c r="BF63" s="184"/>
      <c r="BG63" s="184"/>
      <c r="BH63" s="184"/>
      <c r="BI63" s="184"/>
      <c r="BJ63" s="184">
        <v>4360</v>
      </c>
      <c r="BK63" s="184">
        <v>6680</v>
      </c>
      <c r="BL63" s="184"/>
      <c r="BM63" s="184">
        <v>112</v>
      </c>
      <c r="BN63" s="184">
        <v>90412</v>
      </c>
      <c r="BO63" s="184"/>
      <c r="BP63" s="184"/>
      <c r="BQ63" s="184"/>
      <c r="BR63" s="184">
        <v>54361</v>
      </c>
      <c r="BS63" s="184"/>
      <c r="BT63" s="184"/>
      <c r="BU63" s="184"/>
      <c r="BV63" s="184"/>
      <c r="BW63" s="184">
        <v>13200</v>
      </c>
      <c r="BX63" s="184"/>
      <c r="BY63" s="184"/>
      <c r="BZ63" s="184"/>
      <c r="CA63" s="184"/>
      <c r="CB63" s="184"/>
      <c r="CC63" s="184">
        <v>72013</v>
      </c>
      <c r="CD63" s="243" t="s">
        <v>237</v>
      </c>
      <c r="CE63" s="195">
        <f t="shared" si="0"/>
        <v>6575946</v>
      </c>
      <c r="CF63" s="246"/>
    </row>
    <row r="64" spans="1:84" ht="12.6" customHeight="1" x14ac:dyDescent="0.25">
      <c r="A64" s="171" t="s">
        <v>254</v>
      </c>
      <c r="B64" s="175"/>
      <c r="C64" s="184">
        <v>84775</v>
      </c>
      <c r="D64" s="184"/>
      <c r="E64" s="184">
        <v>308008</v>
      </c>
      <c r="F64" s="184"/>
      <c r="G64" s="184"/>
      <c r="H64" s="184"/>
      <c r="I64" s="184"/>
      <c r="J64" s="184"/>
      <c r="K64" s="184"/>
      <c r="L64" s="184"/>
      <c r="M64" s="184"/>
      <c r="N64" s="184">
        <v>25895</v>
      </c>
      <c r="O64" s="184">
        <v>57087</v>
      </c>
      <c r="P64" s="184">
        <v>1555871</v>
      </c>
      <c r="Q64" s="184">
        <v>7120</v>
      </c>
      <c r="R64" s="184">
        <v>109728</v>
      </c>
      <c r="S64" s="184">
        <v>1723873</v>
      </c>
      <c r="T64" s="184"/>
      <c r="U64" s="184">
        <v>1263236</v>
      </c>
      <c r="V64" s="184">
        <v>0</v>
      </c>
      <c r="W64" s="184">
        <v>33376</v>
      </c>
      <c r="X64" s="184">
        <v>172983</v>
      </c>
      <c r="Y64" s="184">
        <v>63490</v>
      </c>
      <c r="Z64" s="184"/>
      <c r="AA64" s="184">
        <v>103404</v>
      </c>
      <c r="AB64" s="184">
        <v>13351923</v>
      </c>
      <c r="AC64" s="184">
        <v>112556</v>
      </c>
      <c r="AD64" s="184"/>
      <c r="AE64" s="184">
        <v>73109</v>
      </c>
      <c r="AF64" s="184"/>
      <c r="AG64" s="184">
        <v>298765</v>
      </c>
      <c r="AH64" s="184"/>
      <c r="AI64" s="184">
        <v>396044</v>
      </c>
      <c r="AJ64" s="184">
        <v>1800499</v>
      </c>
      <c r="AK64" s="184"/>
      <c r="AL64" s="184"/>
      <c r="AM64" s="184"/>
      <c r="AN64" s="184"/>
      <c r="AO64" s="184"/>
      <c r="AP64" s="184"/>
      <c r="AQ64" s="184"/>
      <c r="AR64" s="184">
        <v>336584</v>
      </c>
      <c r="AS64" s="184"/>
      <c r="AT64" s="184"/>
      <c r="AU64" s="184"/>
      <c r="AV64" s="184">
        <v>103228</v>
      </c>
      <c r="AW64" s="184"/>
      <c r="AX64" s="184"/>
      <c r="AY64" s="184">
        <v>345083</v>
      </c>
      <c r="AZ64" s="184"/>
      <c r="BA64" s="184">
        <v>58275</v>
      </c>
      <c r="BB64" s="184"/>
      <c r="BC64" s="184"/>
      <c r="BD64" s="184">
        <v>7297</v>
      </c>
      <c r="BE64" s="184">
        <v>60748</v>
      </c>
      <c r="BF64" s="184">
        <v>174414</v>
      </c>
      <c r="BG64" s="184">
        <v>6915</v>
      </c>
      <c r="BH64" s="184">
        <v>389544</v>
      </c>
      <c r="BI64" s="184"/>
      <c r="BJ64" s="184">
        <v>31011</v>
      </c>
      <c r="BK64" s="184">
        <v>20366</v>
      </c>
      <c r="BL64" s="184">
        <v>17287</v>
      </c>
      <c r="BM64" s="184">
        <v>2647</v>
      </c>
      <c r="BN64" s="184">
        <v>57388</v>
      </c>
      <c r="BO64" s="184">
        <v>47297</v>
      </c>
      <c r="BP64" s="184">
        <v>36838</v>
      </c>
      <c r="BQ64" s="184"/>
      <c r="BR64" s="184">
        <v>30381</v>
      </c>
      <c r="BS64" s="184">
        <v>3392</v>
      </c>
      <c r="BT64" s="184"/>
      <c r="BU64" s="184"/>
      <c r="BV64" s="184">
        <v>10518</v>
      </c>
      <c r="BW64" s="184">
        <v>23981</v>
      </c>
      <c r="BX64" s="184">
        <v>3945</v>
      </c>
      <c r="BY64" s="184">
        <v>4782</v>
      </c>
      <c r="BZ64" s="184"/>
      <c r="CA64" s="184"/>
      <c r="CB64" s="184">
        <v>8602</v>
      </c>
      <c r="CC64" s="184">
        <v>52797</v>
      </c>
      <c r="CD64" s="243" t="s">
        <v>237</v>
      </c>
      <c r="CE64" s="195">
        <f t="shared" si="0"/>
        <v>23375062</v>
      </c>
      <c r="CF64" s="246"/>
    </row>
    <row r="65" spans="1:84" ht="12.6" customHeight="1" x14ac:dyDescent="0.25">
      <c r="A65" s="171" t="s">
        <v>255</v>
      </c>
      <c r="B65" s="175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>
        <v>4213</v>
      </c>
      <c r="V65" s="184"/>
      <c r="W65" s="184"/>
      <c r="X65" s="184"/>
      <c r="Y65" s="184"/>
      <c r="Z65" s="184"/>
      <c r="AA65" s="184"/>
      <c r="AB65" s="184">
        <v>7907</v>
      </c>
      <c r="AC65" s="184"/>
      <c r="AD65" s="184"/>
      <c r="AE65" s="184"/>
      <c r="AF65" s="184"/>
      <c r="AG65" s="184"/>
      <c r="AH65" s="184"/>
      <c r="AI65" s="184"/>
      <c r="AJ65" s="184">
        <v>141279</v>
      </c>
      <c r="AK65" s="184"/>
      <c r="AL65" s="184"/>
      <c r="AM65" s="184"/>
      <c r="AN65" s="184"/>
      <c r="AO65" s="184"/>
      <c r="AP65" s="184"/>
      <c r="AQ65" s="184"/>
      <c r="AR65" s="184">
        <v>7155</v>
      </c>
      <c r="AS65" s="184"/>
      <c r="AT65" s="184"/>
      <c r="AU65" s="184"/>
      <c r="AV65" s="184">
        <v>105</v>
      </c>
      <c r="AW65" s="184"/>
      <c r="AX65" s="184"/>
      <c r="AY65" s="184">
        <v>525</v>
      </c>
      <c r="AZ65" s="184"/>
      <c r="BA65" s="184"/>
      <c r="BB65" s="184"/>
      <c r="BC65" s="184"/>
      <c r="BD65" s="184">
        <v>2374</v>
      </c>
      <c r="BE65" s="184">
        <v>797559</v>
      </c>
      <c r="BF65" s="184"/>
      <c r="BG65" s="184">
        <v>184309</v>
      </c>
      <c r="BH65" s="184">
        <v>2149</v>
      </c>
      <c r="BI65" s="184"/>
      <c r="BJ65" s="184">
        <v>345</v>
      </c>
      <c r="BK65" s="184">
        <v>5049</v>
      </c>
      <c r="BL65" s="184"/>
      <c r="BM65" s="184"/>
      <c r="BN65" s="184">
        <v>5285</v>
      </c>
      <c r="BO65" s="184"/>
      <c r="BP65" s="184"/>
      <c r="BQ65" s="184"/>
      <c r="BR65" s="184">
        <v>5407</v>
      </c>
      <c r="BS65" s="184"/>
      <c r="BT65" s="184"/>
      <c r="BU65" s="184"/>
      <c r="BV65" s="184">
        <v>6865</v>
      </c>
      <c r="BW65" s="184"/>
      <c r="BX65" s="184"/>
      <c r="BY65" s="184"/>
      <c r="BZ65" s="184"/>
      <c r="CA65" s="184"/>
      <c r="CB65" s="184">
        <v>3311</v>
      </c>
      <c r="CC65" s="184">
        <v>1716</v>
      </c>
      <c r="CD65" s="243" t="s">
        <v>237</v>
      </c>
      <c r="CE65" s="195">
        <f t="shared" si="0"/>
        <v>1175553</v>
      </c>
      <c r="CF65" s="246"/>
    </row>
    <row r="66" spans="1:84" ht="12.6" customHeight="1" x14ac:dyDescent="0.25">
      <c r="A66" s="171" t="s">
        <v>256</v>
      </c>
      <c r="B66" s="175"/>
      <c r="C66" s="184">
        <v>5912</v>
      </c>
      <c r="D66" s="184"/>
      <c r="E66" s="184">
        <v>34585</v>
      </c>
      <c r="F66" s="184"/>
      <c r="G66" s="184"/>
      <c r="H66" s="184"/>
      <c r="I66" s="184"/>
      <c r="J66" s="184"/>
      <c r="K66" s="184"/>
      <c r="L66" s="184"/>
      <c r="M66" s="184"/>
      <c r="N66" s="184">
        <v>5069</v>
      </c>
      <c r="O66" s="184">
        <v>2325</v>
      </c>
      <c r="P66" s="184">
        <v>67771</v>
      </c>
      <c r="Q66" s="184"/>
      <c r="R66" s="184">
        <v>10576</v>
      </c>
      <c r="S66" s="184"/>
      <c r="T66" s="184"/>
      <c r="U66" s="184">
        <v>985054</v>
      </c>
      <c r="V66" s="184"/>
      <c r="W66" s="184"/>
      <c r="X66" s="184">
        <v>0</v>
      </c>
      <c r="Y66" s="184">
        <v>388306</v>
      </c>
      <c r="Z66" s="184"/>
      <c r="AA66" s="184">
        <v>37045</v>
      </c>
      <c r="AB66" s="184">
        <v>330743</v>
      </c>
      <c r="AC66" s="184">
        <v>13871</v>
      </c>
      <c r="AD66" s="184"/>
      <c r="AE66" s="184">
        <v>792</v>
      </c>
      <c r="AF66" s="184"/>
      <c r="AG66" s="184">
        <v>6480</v>
      </c>
      <c r="AH66" s="184"/>
      <c r="AI66" s="184">
        <v>17805</v>
      </c>
      <c r="AJ66" s="184">
        <v>897552</v>
      </c>
      <c r="AK66" s="184"/>
      <c r="AL66" s="184"/>
      <c r="AM66" s="184"/>
      <c r="AN66" s="184"/>
      <c r="AO66" s="184"/>
      <c r="AP66" s="184"/>
      <c r="AQ66" s="184"/>
      <c r="AR66" s="184">
        <v>283680</v>
      </c>
      <c r="AS66" s="184"/>
      <c r="AT66" s="184"/>
      <c r="AU66" s="184"/>
      <c r="AV66" s="184">
        <v>2281</v>
      </c>
      <c r="AW66" s="184"/>
      <c r="AX66" s="184"/>
      <c r="AY66" s="184">
        <v>6590</v>
      </c>
      <c r="AZ66" s="184"/>
      <c r="BA66" s="184">
        <v>297684</v>
      </c>
      <c r="BB66" s="184"/>
      <c r="BC66" s="184"/>
      <c r="BD66" s="184">
        <v>319</v>
      </c>
      <c r="BE66" s="184">
        <v>393920</v>
      </c>
      <c r="BF66" s="184">
        <v>19967</v>
      </c>
      <c r="BG66" s="184">
        <v>25699</v>
      </c>
      <c r="BH66" s="184">
        <v>1587841</v>
      </c>
      <c r="BI66" s="184"/>
      <c r="BJ66" s="184">
        <v>83588</v>
      </c>
      <c r="BK66" s="184">
        <v>261346</v>
      </c>
      <c r="BL66" s="184">
        <v>32307</v>
      </c>
      <c r="BM66" s="184">
        <v>1078</v>
      </c>
      <c r="BN66" s="184">
        <v>175733</v>
      </c>
      <c r="BO66" s="184">
        <v>3816</v>
      </c>
      <c r="BP66" s="184">
        <v>50344</v>
      </c>
      <c r="BQ66" s="184"/>
      <c r="BR66" s="184">
        <v>31223</v>
      </c>
      <c r="BS66" s="184"/>
      <c r="BT66" s="184"/>
      <c r="BU66" s="184"/>
      <c r="BV66" s="184">
        <v>98123</v>
      </c>
      <c r="BW66" s="184">
        <v>55180</v>
      </c>
      <c r="BX66" s="184">
        <v>18121</v>
      </c>
      <c r="BY66" s="184">
        <v>113631</v>
      </c>
      <c r="BZ66" s="184"/>
      <c r="CA66" s="184"/>
      <c r="CB66" s="184">
        <v>2289</v>
      </c>
      <c r="CC66" s="184">
        <v>185761</v>
      </c>
      <c r="CD66" s="243" t="s">
        <v>237</v>
      </c>
      <c r="CE66" s="195">
        <f t="shared" si="0"/>
        <v>6534407</v>
      </c>
      <c r="CF66" s="246"/>
    </row>
    <row r="67" spans="1:84" ht="12.6" customHeight="1" x14ac:dyDescent="0.25">
      <c r="A67" s="171" t="s">
        <v>18</v>
      </c>
      <c r="B67" s="175"/>
      <c r="C67" s="195">
        <f>ROUND(C51+C52,0)</f>
        <v>53156</v>
      </c>
      <c r="D67" s="195">
        <f>ROUND(D51+D52,0)</f>
        <v>0</v>
      </c>
      <c r="E67" s="195">
        <f t="shared" ref="E67:BP67" si="3">ROUND(E51+E52,0)</f>
        <v>120050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1797</v>
      </c>
      <c r="K67" s="195">
        <f t="shared" si="3"/>
        <v>0</v>
      </c>
      <c r="L67" s="195">
        <f t="shared" si="3"/>
        <v>45543</v>
      </c>
      <c r="M67" s="195">
        <f t="shared" si="3"/>
        <v>0</v>
      </c>
      <c r="N67" s="195">
        <f t="shared" si="3"/>
        <v>6031</v>
      </c>
      <c r="O67" s="195">
        <f t="shared" si="3"/>
        <v>57055</v>
      </c>
      <c r="P67" s="195">
        <f t="shared" si="3"/>
        <v>203102</v>
      </c>
      <c r="Q67" s="195">
        <f t="shared" si="3"/>
        <v>12238</v>
      </c>
      <c r="R67" s="195">
        <f t="shared" si="3"/>
        <v>2828</v>
      </c>
      <c r="S67" s="195">
        <f t="shared" si="3"/>
        <v>15515</v>
      </c>
      <c r="T67" s="195">
        <f t="shared" si="3"/>
        <v>0</v>
      </c>
      <c r="U67" s="195">
        <f t="shared" si="3"/>
        <v>81401</v>
      </c>
      <c r="V67" s="195">
        <f t="shared" si="3"/>
        <v>0</v>
      </c>
      <c r="W67" s="195">
        <f t="shared" si="3"/>
        <v>23024</v>
      </c>
      <c r="X67" s="195">
        <f t="shared" si="3"/>
        <v>11100</v>
      </c>
      <c r="Y67" s="195">
        <f t="shared" si="3"/>
        <v>114763</v>
      </c>
      <c r="Z67" s="195">
        <f t="shared" si="3"/>
        <v>0</v>
      </c>
      <c r="AA67" s="195">
        <f t="shared" si="3"/>
        <v>7434</v>
      </c>
      <c r="AB67" s="195">
        <f t="shared" si="3"/>
        <v>51590</v>
      </c>
      <c r="AC67" s="195">
        <f t="shared" si="3"/>
        <v>35430</v>
      </c>
      <c r="AD67" s="195">
        <f t="shared" si="3"/>
        <v>0</v>
      </c>
      <c r="AE67" s="195">
        <f t="shared" si="3"/>
        <v>134909</v>
      </c>
      <c r="AF67" s="195">
        <f t="shared" si="3"/>
        <v>0</v>
      </c>
      <c r="AG67" s="195">
        <f t="shared" si="3"/>
        <v>139736</v>
      </c>
      <c r="AH67" s="195">
        <f t="shared" si="3"/>
        <v>0</v>
      </c>
      <c r="AI67" s="195">
        <f t="shared" si="3"/>
        <v>132484</v>
      </c>
      <c r="AJ67" s="195">
        <f t="shared" si="3"/>
        <v>1293222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92184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18338</v>
      </c>
      <c r="AW67" s="195">
        <f t="shared" si="3"/>
        <v>0</v>
      </c>
      <c r="AX67" s="195">
        <f t="shared" si="3"/>
        <v>0</v>
      </c>
      <c r="AY67" s="195">
        <f t="shared" si="3"/>
        <v>120450</v>
      </c>
      <c r="AZ67" s="195">
        <f>ROUND(AZ51+AZ52,0)</f>
        <v>0</v>
      </c>
      <c r="BA67" s="195">
        <f>ROUND(BA51+BA52,0)</f>
        <v>0</v>
      </c>
      <c r="BB67" s="195">
        <f t="shared" si="3"/>
        <v>1610</v>
      </c>
      <c r="BC67" s="195">
        <f t="shared" si="3"/>
        <v>0</v>
      </c>
      <c r="BD67" s="195">
        <f t="shared" si="3"/>
        <v>48947</v>
      </c>
      <c r="BE67" s="195">
        <f t="shared" si="3"/>
        <v>1237753</v>
      </c>
      <c r="BF67" s="195">
        <f t="shared" si="3"/>
        <v>57434</v>
      </c>
      <c r="BG67" s="195">
        <f t="shared" si="3"/>
        <v>0</v>
      </c>
      <c r="BH67" s="195">
        <f t="shared" si="3"/>
        <v>78402</v>
      </c>
      <c r="BI67" s="195">
        <f t="shared" si="3"/>
        <v>0</v>
      </c>
      <c r="BJ67" s="195">
        <f t="shared" si="3"/>
        <v>22844</v>
      </c>
      <c r="BK67" s="195">
        <f t="shared" si="3"/>
        <v>83578</v>
      </c>
      <c r="BL67" s="195">
        <f t="shared" si="3"/>
        <v>37656</v>
      </c>
      <c r="BM67" s="195">
        <f t="shared" si="3"/>
        <v>833</v>
      </c>
      <c r="BN67" s="195">
        <f t="shared" si="3"/>
        <v>183433</v>
      </c>
      <c r="BO67" s="195">
        <f t="shared" si="3"/>
        <v>5053</v>
      </c>
      <c r="BP67" s="195">
        <f t="shared" si="3"/>
        <v>6008</v>
      </c>
      <c r="BQ67" s="195">
        <f t="shared" ref="BQ67:CC67" si="4">ROUND(BQ51+BQ52,0)</f>
        <v>0</v>
      </c>
      <c r="BR67" s="195">
        <f t="shared" si="4"/>
        <v>53805</v>
      </c>
      <c r="BS67" s="195">
        <f t="shared" si="4"/>
        <v>11962</v>
      </c>
      <c r="BT67" s="195">
        <f t="shared" si="4"/>
        <v>0</v>
      </c>
      <c r="BU67" s="195">
        <f t="shared" si="4"/>
        <v>0</v>
      </c>
      <c r="BV67" s="195">
        <f t="shared" si="4"/>
        <v>22958</v>
      </c>
      <c r="BW67" s="195">
        <f t="shared" si="4"/>
        <v>8008</v>
      </c>
      <c r="BX67" s="195">
        <f t="shared" si="4"/>
        <v>2324</v>
      </c>
      <c r="BY67" s="195">
        <f t="shared" si="4"/>
        <v>16158</v>
      </c>
      <c r="BZ67" s="195">
        <f t="shared" si="4"/>
        <v>0</v>
      </c>
      <c r="CA67" s="195">
        <f t="shared" si="4"/>
        <v>0</v>
      </c>
      <c r="CB67" s="195">
        <f t="shared" si="4"/>
        <v>33334</v>
      </c>
      <c r="CC67" s="195">
        <f t="shared" si="4"/>
        <v>57867</v>
      </c>
      <c r="CD67" s="243" t="s">
        <v>237</v>
      </c>
      <c r="CE67" s="195">
        <f t="shared" si="0"/>
        <v>4743347</v>
      </c>
      <c r="CF67" s="246"/>
    </row>
    <row r="68" spans="1:84" ht="12.6" customHeight="1" x14ac:dyDescent="0.25">
      <c r="A68" s="171" t="s">
        <v>257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>
        <v>683</v>
      </c>
      <c r="O68" s="184">
        <v>669</v>
      </c>
      <c r="P68" s="184">
        <v>137921</v>
      </c>
      <c r="Q68" s="184"/>
      <c r="R68" s="184">
        <v>3773</v>
      </c>
      <c r="S68" s="184"/>
      <c r="T68" s="184"/>
      <c r="U68" s="184">
        <v>208846</v>
      </c>
      <c r="V68" s="184"/>
      <c r="W68" s="184">
        <v>227537</v>
      </c>
      <c r="X68" s="184"/>
      <c r="Y68" s="184"/>
      <c r="Z68" s="184"/>
      <c r="AA68" s="184"/>
      <c r="AB68" s="184">
        <v>215473</v>
      </c>
      <c r="AC68" s="184">
        <v>24791</v>
      </c>
      <c r="AD68" s="184"/>
      <c r="AE68" s="184">
        <v>26</v>
      </c>
      <c r="AF68" s="184"/>
      <c r="AG68" s="184">
        <v>2475</v>
      </c>
      <c r="AH68" s="184"/>
      <c r="AI68" s="184"/>
      <c r="AJ68" s="184">
        <v>383345</v>
      </c>
      <c r="AK68" s="184"/>
      <c r="AL68" s="184"/>
      <c r="AM68" s="184"/>
      <c r="AN68" s="184"/>
      <c r="AO68" s="184"/>
      <c r="AP68" s="184"/>
      <c r="AQ68" s="184"/>
      <c r="AR68" s="184">
        <v>137536</v>
      </c>
      <c r="AS68" s="184"/>
      <c r="AT68" s="184"/>
      <c r="AU68" s="184"/>
      <c r="AV68" s="184"/>
      <c r="AW68" s="184"/>
      <c r="AX68" s="184"/>
      <c r="AY68" s="184">
        <v>1932</v>
      </c>
      <c r="AZ68" s="184"/>
      <c r="BA68" s="184"/>
      <c r="BB68" s="184"/>
      <c r="BC68" s="184"/>
      <c r="BD68" s="184">
        <v>39996</v>
      </c>
      <c r="BE68" s="184">
        <v>25162</v>
      </c>
      <c r="BF68" s="184"/>
      <c r="BG68" s="184"/>
      <c r="BH68" s="184"/>
      <c r="BI68" s="184"/>
      <c r="BJ68" s="184">
        <v>5561</v>
      </c>
      <c r="BK68" s="184">
        <v>21494</v>
      </c>
      <c r="BL68" s="184"/>
      <c r="BM68" s="184"/>
      <c r="BN68" s="184">
        <v>87350</v>
      </c>
      <c r="BO68" s="184"/>
      <c r="BP68" s="184"/>
      <c r="BQ68" s="184"/>
      <c r="BR68" s="184">
        <v>1590</v>
      </c>
      <c r="BS68" s="184"/>
      <c r="BT68" s="184"/>
      <c r="BU68" s="184"/>
      <c r="BV68" s="184">
        <v>21494</v>
      </c>
      <c r="BW68" s="184">
        <v>1000</v>
      </c>
      <c r="BX68" s="184"/>
      <c r="BY68" s="184">
        <v>-84</v>
      </c>
      <c r="BZ68" s="184"/>
      <c r="CA68" s="184"/>
      <c r="CB68" s="184">
        <v>30297</v>
      </c>
      <c r="CC68" s="184">
        <v>52705</v>
      </c>
      <c r="CD68" s="243" t="s">
        <v>237</v>
      </c>
      <c r="CE68" s="195">
        <f t="shared" si="0"/>
        <v>1631572</v>
      </c>
      <c r="CF68" s="246"/>
    </row>
    <row r="69" spans="1:84" ht="12.6" customHeight="1" x14ac:dyDescent="0.25">
      <c r="A69" s="171" t="s">
        <v>258</v>
      </c>
      <c r="B69" s="175"/>
      <c r="C69" s="184">
        <v>9570</v>
      </c>
      <c r="D69" s="184"/>
      <c r="E69" s="184">
        <v>17703</v>
      </c>
      <c r="F69" s="184"/>
      <c r="G69" s="184"/>
      <c r="H69" s="184"/>
      <c r="I69" s="184"/>
      <c r="J69" s="184"/>
      <c r="K69" s="184"/>
      <c r="L69" s="184"/>
      <c r="M69" s="184"/>
      <c r="N69" s="184">
        <v>48606</v>
      </c>
      <c r="O69" s="184">
        <v>14856</v>
      </c>
      <c r="P69" s="184">
        <v>55945</v>
      </c>
      <c r="Q69" s="184"/>
      <c r="R69" s="184">
        <v>18845</v>
      </c>
      <c r="S69" s="184">
        <v>2451</v>
      </c>
      <c r="T69" s="184"/>
      <c r="U69" s="184">
        <v>88197</v>
      </c>
      <c r="V69" s="184"/>
      <c r="W69" s="184">
        <v>150774</v>
      </c>
      <c r="X69" s="184">
        <v>101431</v>
      </c>
      <c r="Y69" s="184">
        <v>194478</v>
      </c>
      <c r="Z69" s="184"/>
      <c r="AA69" s="184">
        <v>3717</v>
      </c>
      <c r="AB69" s="184">
        <v>121352</v>
      </c>
      <c r="AC69" s="184">
        <v>24956</v>
      </c>
      <c r="AD69" s="184"/>
      <c r="AE69" s="184">
        <v>26401</v>
      </c>
      <c r="AF69" s="184"/>
      <c r="AG69" s="184">
        <v>48399</v>
      </c>
      <c r="AH69" s="184"/>
      <c r="AI69" s="184">
        <v>47012</v>
      </c>
      <c r="AJ69" s="184">
        <v>314839</v>
      </c>
      <c r="AK69" s="184"/>
      <c r="AL69" s="184"/>
      <c r="AM69" s="184"/>
      <c r="AN69" s="184"/>
      <c r="AO69" s="184"/>
      <c r="AP69" s="184"/>
      <c r="AQ69" s="184"/>
      <c r="AR69" s="184">
        <v>203081</v>
      </c>
      <c r="AS69" s="184"/>
      <c r="AT69" s="184"/>
      <c r="AU69" s="184"/>
      <c r="AV69" s="184">
        <v>39981</v>
      </c>
      <c r="AW69" s="184"/>
      <c r="AX69" s="184"/>
      <c r="AY69" s="184">
        <v>3098</v>
      </c>
      <c r="AZ69" s="184"/>
      <c r="BA69" s="184"/>
      <c r="BB69" s="184"/>
      <c r="BC69" s="184"/>
      <c r="BD69" s="184">
        <v>53986</v>
      </c>
      <c r="BE69" s="184">
        <v>90255</v>
      </c>
      <c r="BF69" s="184">
        <v>246</v>
      </c>
      <c r="BG69" s="184">
        <v>35987</v>
      </c>
      <c r="BH69" s="184">
        <v>150378</v>
      </c>
      <c r="BI69" s="184"/>
      <c r="BJ69" s="184">
        <v>52232</v>
      </c>
      <c r="BK69" s="184">
        <v>17043</v>
      </c>
      <c r="BL69" s="184">
        <v>1460</v>
      </c>
      <c r="BM69" s="184">
        <v>6684</v>
      </c>
      <c r="BN69" s="184">
        <v>370912</v>
      </c>
      <c r="BO69" s="184">
        <v>3584</v>
      </c>
      <c r="BP69" s="184">
        <v>179664</v>
      </c>
      <c r="BQ69" s="184"/>
      <c r="BR69" s="184">
        <v>53989</v>
      </c>
      <c r="BS69" s="184">
        <v>0</v>
      </c>
      <c r="BT69" s="184"/>
      <c r="BU69" s="184"/>
      <c r="BV69" s="184">
        <v>12485</v>
      </c>
      <c r="BW69" s="184">
        <v>58078</v>
      </c>
      <c r="BX69" s="184">
        <v>2286</v>
      </c>
      <c r="BY69" s="184">
        <v>20027</v>
      </c>
      <c r="BZ69" s="184"/>
      <c r="CA69" s="184"/>
      <c r="CB69" s="184">
        <v>549</v>
      </c>
      <c r="CC69" s="184">
        <v>474782</v>
      </c>
      <c r="CD69" s="188">
        <f>2448720</f>
        <v>2448720</v>
      </c>
      <c r="CE69" s="195">
        <f t="shared" si="0"/>
        <v>5569039</v>
      </c>
      <c r="CF69" s="246"/>
    </row>
    <row r="70" spans="1:84" ht="12.6" customHeight="1" x14ac:dyDescent="0.25">
      <c r="A70" s="171" t="s">
        <v>259</v>
      </c>
      <c r="B70" s="175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184"/>
      <c r="U70" s="184"/>
      <c r="V70" s="184"/>
      <c r="W70" s="184"/>
      <c r="X70" s="184"/>
      <c r="Y70" s="184">
        <v>980</v>
      </c>
      <c r="Z70" s="184"/>
      <c r="AA70" s="184"/>
      <c r="AB70" s="184">
        <v>496757</v>
      </c>
      <c r="AC70" s="184"/>
      <c r="AD70" s="184"/>
      <c r="AE70" s="184"/>
      <c r="AF70" s="184"/>
      <c r="AG70" s="184"/>
      <c r="AH70" s="184"/>
      <c r="AI70" s="184">
        <v>1924</v>
      </c>
      <c r="AJ70" s="184">
        <v>319633</v>
      </c>
      <c r="AK70" s="184"/>
      <c r="AL70" s="184"/>
      <c r="AM70" s="184"/>
      <c r="AN70" s="184"/>
      <c r="AO70" s="184"/>
      <c r="AP70" s="184"/>
      <c r="AQ70" s="184"/>
      <c r="AR70" s="184"/>
      <c r="AS70" s="184"/>
      <c r="AT70" s="184"/>
      <c r="AU70" s="184"/>
      <c r="AV70" s="184">
        <v>5390</v>
      </c>
      <c r="AW70" s="184"/>
      <c r="AX70" s="184"/>
      <c r="AY70" s="184">
        <v>731862</v>
      </c>
      <c r="AZ70" s="184"/>
      <c r="BA70" s="184"/>
      <c r="BB70" s="184"/>
      <c r="BC70" s="184"/>
      <c r="BD70" s="184"/>
      <c r="BE70" s="184"/>
      <c r="BF70" s="184"/>
      <c r="BG70" s="184"/>
      <c r="BH70" s="184">
        <v>33</v>
      </c>
      <c r="BI70" s="184"/>
      <c r="BJ70" s="184"/>
      <c r="BK70" s="184"/>
      <c r="BL70" s="184"/>
      <c r="BM70" s="184"/>
      <c r="BN70" s="184"/>
      <c r="BO70" s="184"/>
      <c r="BP70" s="184"/>
      <c r="BQ70" s="184"/>
      <c r="BR70" s="184"/>
      <c r="BS70" s="184">
        <v>3450</v>
      </c>
      <c r="BT70" s="184"/>
      <c r="BU70" s="184"/>
      <c r="BV70" s="184"/>
      <c r="BW70" s="184"/>
      <c r="BX70" s="184"/>
      <c r="BY70" s="184"/>
      <c r="BZ70" s="184"/>
      <c r="CA70" s="184"/>
      <c r="CB70" s="184">
        <v>47085</v>
      </c>
      <c r="CC70" s="184">
        <v>149206</v>
      </c>
      <c r="CD70" s="184">
        <f>407436+3758360+88943-472196</f>
        <v>3782543</v>
      </c>
      <c r="CE70" s="195">
        <f t="shared" si="0"/>
        <v>5538863</v>
      </c>
      <c r="CF70" s="246"/>
    </row>
    <row r="71" spans="1:84" ht="12.6" customHeight="1" x14ac:dyDescent="0.25">
      <c r="A71" s="171" t="s">
        <v>260</v>
      </c>
      <c r="B71" s="175"/>
      <c r="C71" s="195">
        <f>SUM(C61:C68)+C69-C70</f>
        <v>1602597</v>
      </c>
      <c r="D71" s="195">
        <f t="shared" ref="D71:AI71" si="5">SUM(D61:D69)-D70</f>
        <v>0</v>
      </c>
      <c r="E71" s="195">
        <f t="shared" si="5"/>
        <v>4120145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1797</v>
      </c>
      <c r="K71" s="195">
        <f t="shared" si="5"/>
        <v>0</v>
      </c>
      <c r="L71" s="195">
        <f t="shared" si="5"/>
        <v>45870</v>
      </c>
      <c r="M71" s="195">
        <f t="shared" si="5"/>
        <v>0</v>
      </c>
      <c r="N71" s="195">
        <f t="shared" si="5"/>
        <v>2336577</v>
      </c>
      <c r="O71" s="195">
        <f t="shared" si="5"/>
        <v>1523217</v>
      </c>
      <c r="P71" s="195">
        <f t="shared" si="5"/>
        <v>4117300</v>
      </c>
      <c r="Q71" s="195">
        <f>SUM(Q61:Q69)-Q70</f>
        <v>66165</v>
      </c>
      <c r="R71" s="195">
        <f t="shared" si="5"/>
        <v>1509489</v>
      </c>
      <c r="S71" s="195">
        <f t="shared" si="5"/>
        <v>1927429</v>
      </c>
      <c r="T71" s="195">
        <f t="shared" si="5"/>
        <v>0</v>
      </c>
      <c r="U71" s="195">
        <f t="shared" si="5"/>
        <v>4880091</v>
      </c>
      <c r="V71" s="195">
        <f t="shared" si="5"/>
        <v>0</v>
      </c>
      <c r="W71" s="195">
        <f t="shared" si="5"/>
        <v>622375</v>
      </c>
      <c r="X71" s="195">
        <f t="shared" si="5"/>
        <v>435563</v>
      </c>
      <c r="Y71" s="195">
        <f t="shared" si="5"/>
        <v>2702972</v>
      </c>
      <c r="Z71" s="195">
        <f t="shared" si="5"/>
        <v>0</v>
      </c>
      <c r="AA71" s="195">
        <f t="shared" si="5"/>
        <v>287027</v>
      </c>
      <c r="AB71" s="195">
        <f t="shared" si="5"/>
        <v>16135833</v>
      </c>
      <c r="AC71" s="195">
        <f t="shared" si="5"/>
        <v>1083157</v>
      </c>
      <c r="AD71" s="195">
        <f t="shared" si="5"/>
        <v>0</v>
      </c>
      <c r="AE71" s="195">
        <f t="shared" si="5"/>
        <v>3899632</v>
      </c>
      <c r="AF71" s="195">
        <f t="shared" si="5"/>
        <v>0</v>
      </c>
      <c r="AG71" s="195">
        <f t="shared" si="5"/>
        <v>5782429</v>
      </c>
      <c r="AH71" s="195">
        <f t="shared" si="5"/>
        <v>0</v>
      </c>
      <c r="AI71" s="195">
        <f t="shared" si="5"/>
        <v>3988961</v>
      </c>
      <c r="AJ71" s="195">
        <f t="shared" ref="AJ71:BO71" si="6">SUM(AJ61:AJ69)-AJ70</f>
        <v>26878314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5111999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2372548</v>
      </c>
      <c r="AW71" s="195">
        <f t="shared" si="6"/>
        <v>0</v>
      </c>
      <c r="AX71" s="195">
        <f t="shared" si="6"/>
        <v>0</v>
      </c>
      <c r="AY71" s="195">
        <f t="shared" si="6"/>
        <v>664586</v>
      </c>
      <c r="AZ71" s="195">
        <f t="shared" si="6"/>
        <v>0</v>
      </c>
      <c r="BA71" s="195">
        <f t="shared" si="6"/>
        <v>355959</v>
      </c>
      <c r="BB71" s="195">
        <f t="shared" si="6"/>
        <v>1610</v>
      </c>
      <c r="BC71" s="195">
        <f t="shared" si="6"/>
        <v>0</v>
      </c>
      <c r="BD71" s="195">
        <f t="shared" si="6"/>
        <v>721398</v>
      </c>
      <c r="BE71" s="195">
        <f t="shared" si="6"/>
        <v>3953863</v>
      </c>
      <c r="BF71" s="195">
        <f t="shared" si="6"/>
        <v>1552512</v>
      </c>
      <c r="BG71" s="195">
        <f t="shared" si="6"/>
        <v>252910</v>
      </c>
      <c r="BH71" s="195">
        <f t="shared" si="6"/>
        <v>3829356</v>
      </c>
      <c r="BI71" s="195">
        <f t="shared" si="6"/>
        <v>0</v>
      </c>
      <c r="BJ71" s="195">
        <f t="shared" si="6"/>
        <v>1098511</v>
      </c>
      <c r="BK71" s="195">
        <f t="shared" si="6"/>
        <v>1430940</v>
      </c>
      <c r="BL71" s="195">
        <f t="shared" si="6"/>
        <v>915973</v>
      </c>
      <c r="BM71" s="195">
        <f t="shared" si="6"/>
        <v>481741</v>
      </c>
      <c r="BN71" s="195">
        <f t="shared" si="6"/>
        <v>2414602</v>
      </c>
      <c r="BO71" s="195">
        <f t="shared" si="6"/>
        <v>85308</v>
      </c>
      <c r="BP71" s="195">
        <f t="shared" ref="BP71:CC71" si="7">SUM(BP61:BP69)-BP70</f>
        <v>387033</v>
      </c>
      <c r="BQ71" s="195">
        <f t="shared" si="7"/>
        <v>0</v>
      </c>
      <c r="BR71" s="195">
        <f t="shared" si="7"/>
        <v>1195135</v>
      </c>
      <c r="BS71" s="195">
        <f t="shared" si="7"/>
        <v>108255</v>
      </c>
      <c r="BT71" s="195">
        <f t="shared" si="7"/>
        <v>0</v>
      </c>
      <c r="BU71" s="195">
        <f t="shared" si="7"/>
        <v>0</v>
      </c>
      <c r="BV71" s="195">
        <f t="shared" si="7"/>
        <v>894369</v>
      </c>
      <c r="BW71" s="195">
        <f t="shared" si="7"/>
        <v>908498</v>
      </c>
      <c r="BX71" s="195">
        <f t="shared" si="7"/>
        <v>538096</v>
      </c>
      <c r="BY71" s="195">
        <f t="shared" si="7"/>
        <v>1425827</v>
      </c>
      <c r="BZ71" s="195">
        <f t="shared" si="7"/>
        <v>0</v>
      </c>
      <c r="CA71" s="195">
        <f t="shared" si="7"/>
        <v>0</v>
      </c>
      <c r="CB71" s="195">
        <f t="shared" si="7"/>
        <v>103848</v>
      </c>
      <c r="CC71" s="195">
        <f t="shared" si="7"/>
        <v>2277279</v>
      </c>
      <c r="CD71" s="239">
        <f>CD69-CD70</f>
        <v>-1333823</v>
      </c>
      <c r="CE71" s="195">
        <f>SUM(CE61:CE69)-CE70</f>
        <v>115695273</v>
      </c>
      <c r="CF71" s="246"/>
    </row>
    <row r="72" spans="1:84" ht="12.6" customHeight="1" x14ac:dyDescent="0.25">
      <c r="A72" s="171" t="s">
        <v>261</v>
      </c>
      <c r="B72" s="175"/>
      <c r="C72" s="243" t="s">
        <v>237</v>
      </c>
      <c r="D72" s="243" t="s">
        <v>237</v>
      </c>
      <c r="E72" s="243" t="s">
        <v>237</v>
      </c>
      <c r="F72" s="243" t="s">
        <v>237</v>
      </c>
      <c r="G72" s="243" t="s">
        <v>237</v>
      </c>
      <c r="H72" s="243" t="s">
        <v>237</v>
      </c>
      <c r="I72" s="243" t="s">
        <v>237</v>
      </c>
      <c r="J72" s="243" t="s">
        <v>237</v>
      </c>
      <c r="K72" s="247" t="s">
        <v>237</v>
      </c>
      <c r="L72" s="243" t="s">
        <v>237</v>
      </c>
      <c r="M72" s="243" t="s">
        <v>237</v>
      </c>
      <c r="N72" s="243" t="s">
        <v>237</v>
      </c>
      <c r="O72" s="243" t="s">
        <v>237</v>
      </c>
      <c r="P72" s="243" t="s">
        <v>237</v>
      </c>
      <c r="Q72" s="243" t="s">
        <v>237</v>
      </c>
      <c r="R72" s="243" t="s">
        <v>237</v>
      </c>
      <c r="S72" s="243" t="s">
        <v>237</v>
      </c>
      <c r="T72" s="243" t="s">
        <v>237</v>
      </c>
      <c r="U72" s="243" t="s">
        <v>237</v>
      </c>
      <c r="V72" s="243" t="s">
        <v>237</v>
      </c>
      <c r="W72" s="243" t="s">
        <v>237</v>
      </c>
      <c r="X72" s="243" t="s">
        <v>237</v>
      </c>
      <c r="Y72" s="243" t="s">
        <v>237</v>
      </c>
      <c r="Z72" s="243" t="s">
        <v>237</v>
      </c>
      <c r="AA72" s="243" t="s">
        <v>237</v>
      </c>
      <c r="AB72" s="243" t="s">
        <v>237</v>
      </c>
      <c r="AC72" s="243" t="s">
        <v>237</v>
      </c>
      <c r="AD72" s="243" t="s">
        <v>237</v>
      </c>
      <c r="AE72" s="243" t="s">
        <v>237</v>
      </c>
      <c r="AF72" s="243" t="s">
        <v>237</v>
      </c>
      <c r="AG72" s="243" t="s">
        <v>237</v>
      </c>
      <c r="AH72" s="243" t="s">
        <v>237</v>
      </c>
      <c r="AI72" s="243" t="s">
        <v>237</v>
      </c>
      <c r="AJ72" s="243" t="s">
        <v>237</v>
      </c>
      <c r="AK72" s="243" t="s">
        <v>237</v>
      </c>
      <c r="AL72" s="243" t="s">
        <v>237</v>
      </c>
      <c r="AM72" s="243" t="s">
        <v>237</v>
      </c>
      <c r="AN72" s="243" t="s">
        <v>237</v>
      </c>
      <c r="AO72" s="243" t="s">
        <v>237</v>
      </c>
      <c r="AP72" s="243" t="s">
        <v>237</v>
      </c>
      <c r="AQ72" s="243" t="s">
        <v>237</v>
      </c>
      <c r="AR72" s="243" t="s">
        <v>237</v>
      </c>
      <c r="AS72" s="243" t="s">
        <v>237</v>
      </c>
      <c r="AT72" s="243" t="s">
        <v>237</v>
      </c>
      <c r="AU72" s="243" t="s">
        <v>237</v>
      </c>
      <c r="AV72" s="243" t="s">
        <v>237</v>
      </c>
      <c r="AW72" s="243" t="s">
        <v>237</v>
      </c>
      <c r="AX72" s="243" t="s">
        <v>237</v>
      </c>
      <c r="AY72" s="243" t="s">
        <v>237</v>
      </c>
      <c r="AZ72" s="243" t="s">
        <v>237</v>
      </c>
      <c r="BA72" s="243" t="s">
        <v>237</v>
      </c>
      <c r="BB72" s="243" t="s">
        <v>237</v>
      </c>
      <c r="BC72" s="243" t="s">
        <v>237</v>
      </c>
      <c r="BD72" s="243" t="s">
        <v>237</v>
      </c>
      <c r="BE72" s="243" t="s">
        <v>237</v>
      </c>
      <c r="BF72" s="243" t="s">
        <v>237</v>
      </c>
      <c r="BG72" s="243" t="s">
        <v>237</v>
      </c>
      <c r="BH72" s="243" t="s">
        <v>237</v>
      </c>
      <c r="BI72" s="243" t="s">
        <v>237</v>
      </c>
      <c r="BJ72" s="243" t="s">
        <v>237</v>
      </c>
      <c r="BK72" s="243" t="s">
        <v>237</v>
      </c>
      <c r="BL72" s="243" t="s">
        <v>237</v>
      </c>
      <c r="BM72" s="243" t="s">
        <v>237</v>
      </c>
      <c r="BN72" s="243" t="s">
        <v>237</v>
      </c>
      <c r="BO72" s="243" t="s">
        <v>237</v>
      </c>
      <c r="BP72" s="243" t="s">
        <v>237</v>
      </c>
      <c r="BQ72" s="243" t="s">
        <v>237</v>
      </c>
      <c r="BR72" s="243" t="s">
        <v>237</v>
      </c>
      <c r="BS72" s="243" t="s">
        <v>237</v>
      </c>
      <c r="BT72" s="243" t="s">
        <v>237</v>
      </c>
      <c r="BU72" s="243" t="s">
        <v>237</v>
      </c>
      <c r="BV72" s="243" t="s">
        <v>237</v>
      </c>
      <c r="BW72" s="243" t="s">
        <v>237</v>
      </c>
      <c r="BX72" s="243" t="s">
        <v>237</v>
      </c>
      <c r="BY72" s="243" t="s">
        <v>237</v>
      </c>
      <c r="BZ72" s="243" t="s">
        <v>237</v>
      </c>
      <c r="CA72" s="243" t="s">
        <v>237</v>
      </c>
      <c r="CB72" s="243" t="s">
        <v>237</v>
      </c>
      <c r="CC72" s="243" t="s">
        <v>237</v>
      </c>
      <c r="CD72" s="243" t="s">
        <v>237</v>
      </c>
      <c r="CE72" s="188">
        <v>472196</v>
      </c>
      <c r="CF72" s="246"/>
    </row>
    <row r="73" spans="1:84" ht="12.6" customHeight="1" x14ac:dyDescent="0.25">
      <c r="A73" s="171" t="s">
        <v>262</v>
      </c>
      <c r="B73" s="175"/>
      <c r="C73" s="184">
        <v>2742466</v>
      </c>
      <c r="D73" s="184">
        <v>0</v>
      </c>
      <c r="E73" s="184">
        <v>8947359</v>
      </c>
      <c r="F73" s="184">
        <v>0</v>
      </c>
      <c r="G73" s="184">
        <v>0</v>
      </c>
      <c r="H73" s="184">
        <v>0</v>
      </c>
      <c r="I73" s="184">
        <v>0</v>
      </c>
      <c r="J73" s="184">
        <v>369081</v>
      </c>
      <c r="K73" s="184">
        <v>0</v>
      </c>
      <c r="L73" s="184">
        <v>390619</v>
      </c>
      <c r="M73" s="184">
        <v>0</v>
      </c>
      <c r="N73" s="184">
        <v>2136591</v>
      </c>
      <c r="O73" s="184">
        <v>1014567</v>
      </c>
      <c r="P73" s="184">
        <v>10953306</v>
      </c>
      <c r="Q73" s="184">
        <v>648113</v>
      </c>
      <c r="R73" s="184">
        <v>2975326</v>
      </c>
      <c r="S73" s="184">
        <v>18784</v>
      </c>
      <c r="T73" s="184">
        <v>0</v>
      </c>
      <c r="U73" s="184">
        <v>1744219</v>
      </c>
      <c r="V73" s="184">
        <v>0</v>
      </c>
      <c r="W73" s="184">
        <v>354289</v>
      </c>
      <c r="X73" s="184">
        <v>1011017</v>
      </c>
      <c r="Y73" s="184">
        <v>1227847</v>
      </c>
      <c r="Z73" s="184">
        <v>0</v>
      </c>
      <c r="AA73" s="184">
        <v>37697</v>
      </c>
      <c r="AB73" s="184">
        <v>4110610</v>
      </c>
      <c r="AC73" s="184">
        <v>2882810</v>
      </c>
      <c r="AD73" s="184">
        <v>0</v>
      </c>
      <c r="AE73" s="184">
        <v>579137</v>
      </c>
      <c r="AF73" s="184">
        <v>0</v>
      </c>
      <c r="AG73" s="184">
        <v>858095</v>
      </c>
      <c r="AH73" s="184">
        <v>0</v>
      </c>
      <c r="AI73" s="184">
        <v>21596</v>
      </c>
      <c r="AJ73" s="184">
        <v>1983809</v>
      </c>
      <c r="AK73" s="184">
        <v>0</v>
      </c>
      <c r="AL73" s="184">
        <v>0</v>
      </c>
      <c r="AM73" s="184">
        <v>0</v>
      </c>
      <c r="AN73" s="184">
        <v>0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436025</v>
      </c>
      <c r="AW73" s="243" t="s">
        <v>237</v>
      </c>
      <c r="AX73" s="243" t="s">
        <v>237</v>
      </c>
      <c r="AY73" s="243" t="s">
        <v>237</v>
      </c>
      <c r="AZ73" s="243" t="s">
        <v>237</v>
      </c>
      <c r="BA73" s="243" t="s">
        <v>237</v>
      </c>
      <c r="BB73" s="243" t="s">
        <v>237</v>
      </c>
      <c r="BC73" s="243" t="s">
        <v>237</v>
      </c>
      <c r="BD73" s="243" t="s">
        <v>237</v>
      </c>
      <c r="BE73" s="243" t="s">
        <v>237</v>
      </c>
      <c r="BF73" s="243" t="s">
        <v>237</v>
      </c>
      <c r="BG73" s="243" t="s">
        <v>237</v>
      </c>
      <c r="BH73" s="243" t="s">
        <v>237</v>
      </c>
      <c r="BI73" s="243" t="s">
        <v>237</v>
      </c>
      <c r="BJ73" s="243" t="s">
        <v>237</v>
      </c>
      <c r="BK73" s="243" t="s">
        <v>237</v>
      </c>
      <c r="BL73" s="243" t="s">
        <v>237</v>
      </c>
      <c r="BM73" s="243" t="s">
        <v>237</v>
      </c>
      <c r="BN73" s="243" t="s">
        <v>237</v>
      </c>
      <c r="BO73" s="243" t="s">
        <v>237</v>
      </c>
      <c r="BP73" s="243" t="s">
        <v>237</v>
      </c>
      <c r="BQ73" s="243" t="s">
        <v>237</v>
      </c>
      <c r="BR73" s="243" t="s">
        <v>237</v>
      </c>
      <c r="BS73" s="243" t="s">
        <v>237</v>
      </c>
      <c r="BT73" s="243" t="s">
        <v>237</v>
      </c>
      <c r="BU73" s="243" t="s">
        <v>237</v>
      </c>
      <c r="BV73" s="243" t="s">
        <v>237</v>
      </c>
      <c r="BW73" s="243" t="s">
        <v>237</v>
      </c>
      <c r="BX73" s="243" t="s">
        <v>237</v>
      </c>
      <c r="BY73" s="243" t="s">
        <v>237</v>
      </c>
      <c r="BZ73" s="243" t="s">
        <v>237</v>
      </c>
      <c r="CA73" s="243" t="s">
        <v>237</v>
      </c>
      <c r="CB73" s="243" t="s">
        <v>237</v>
      </c>
      <c r="CC73" s="243" t="s">
        <v>237</v>
      </c>
      <c r="CD73" s="243" t="s">
        <v>237</v>
      </c>
      <c r="CE73" s="195">
        <f t="shared" ref="CE73:CE80" si="8">SUM(C73:CD73)</f>
        <v>45443363</v>
      </c>
      <c r="CF73" s="246"/>
    </row>
    <row r="74" spans="1:84" ht="12.6" customHeight="1" x14ac:dyDescent="0.25">
      <c r="A74" s="171" t="s">
        <v>263</v>
      </c>
      <c r="B74" s="175"/>
      <c r="C74" s="184">
        <v>40509</v>
      </c>
      <c r="D74" s="184">
        <v>0</v>
      </c>
      <c r="E74" s="184">
        <v>2181206</v>
      </c>
      <c r="F74" s="184">
        <v>0</v>
      </c>
      <c r="G74" s="184">
        <v>0</v>
      </c>
      <c r="H74" s="184">
        <v>0</v>
      </c>
      <c r="I74" s="184">
        <v>0</v>
      </c>
      <c r="J74" s="184">
        <v>1026</v>
      </c>
      <c r="K74" s="184">
        <v>0</v>
      </c>
      <c r="L74" s="184">
        <v>0</v>
      </c>
      <c r="M74" s="184">
        <v>0</v>
      </c>
      <c r="N74" s="184">
        <v>382109</v>
      </c>
      <c r="O74" s="184">
        <v>387074</v>
      </c>
      <c r="P74" s="184">
        <v>12394705</v>
      </c>
      <c r="Q74" s="184">
        <v>4031850</v>
      </c>
      <c r="R74" s="184">
        <v>6962965</v>
      </c>
      <c r="S74" s="184">
        <v>608951</v>
      </c>
      <c r="T74" s="184">
        <v>0</v>
      </c>
      <c r="U74" s="184">
        <v>14679434</v>
      </c>
      <c r="V74" s="184">
        <v>25768</v>
      </c>
      <c r="W74" s="184">
        <v>4855061</v>
      </c>
      <c r="X74" s="184">
        <v>13546033</v>
      </c>
      <c r="Y74" s="184">
        <v>11744233</v>
      </c>
      <c r="Z74" s="184">
        <v>0</v>
      </c>
      <c r="AA74" s="184">
        <v>1939368</v>
      </c>
      <c r="AB74" s="184">
        <v>37910746</v>
      </c>
      <c r="AC74" s="184">
        <v>2051031</v>
      </c>
      <c r="AD74" s="184">
        <v>0</v>
      </c>
      <c r="AE74" s="184">
        <v>8525409</v>
      </c>
      <c r="AF74" s="184">
        <v>0</v>
      </c>
      <c r="AG74" s="184">
        <v>33964666</v>
      </c>
      <c r="AH74" s="184">
        <v>0</v>
      </c>
      <c r="AI74" s="184">
        <v>8270782</v>
      </c>
      <c r="AJ74" s="184">
        <v>37893488</v>
      </c>
      <c r="AK74" s="184">
        <v>0</v>
      </c>
      <c r="AL74" s="184">
        <v>0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5166826</v>
      </c>
      <c r="AS74" s="184">
        <v>0</v>
      </c>
      <c r="AT74" s="184">
        <v>0</v>
      </c>
      <c r="AU74" s="184">
        <v>0</v>
      </c>
      <c r="AV74" s="184">
        <v>8397629</v>
      </c>
      <c r="AW74" s="243" t="s">
        <v>237</v>
      </c>
      <c r="AX74" s="243" t="s">
        <v>237</v>
      </c>
      <c r="AY74" s="243" t="s">
        <v>237</v>
      </c>
      <c r="AZ74" s="243" t="s">
        <v>237</v>
      </c>
      <c r="BA74" s="243" t="s">
        <v>237</v>
      </c>
      <c r="BB74" s="243" t="s">
        <v>237</v>
      </c>
      <c r="BC74" s="243" t="s">
        <v>237</v>
      </c>
      <c r="BD74" s="243" t="s">
        <v>237</v>
      </c>
      <c r="BE74" s="243" t="s">
        <v>237</v>
      </c>
      <c r="BF74" s="243" t="s">
        <v>237</v>
      </c>
      <c r="BG74" s="243" t="s">
        <v>237</v>
      </c>
      <c r="BH74" s="243" t="s">
        <v>237</v>
      </c>
      <c r="BI74" s="243" t="s">
        <v>237</v>
      </c>
      <c r="BJ74" s="243" t="s">
        <v>237</v>
      </c>
      <c r="BK74" s="243" t="s">
        <v>237</v>
      </c>
      <c r="BL74" s="243" t="s">
        <v>237</v>
      </c>
      <c r="BM74" s="243" t="s">
        <v>237</v>
      </c>
      <c r="BN74" s="243" t="s">
        <v>237</v>
      </c>
      <c r="BO74" s="243" t="s">
        <v>237</v>
      </c>
      <c r="BP74" s="243" t="s">
        <v>237</v>
      </c>
      <c r="BQ74" s="243" t="s">
        <v>237</v>
      </c>
      <c r="BR74" s="243" t="s">
        <v>237</v>
      </c>
      <c r="BS74" s="243" t="s">
        <v>237</v>
      </c>
      <c r="BT74" s="243" t="s">
        <v>237</v>
      </c>
      <c r="BU74" s="243" t="s">
        <v>237</v>
      </c>
      <c r="BV74" s="243" t="s">
        <v>237</v>
      </c>
      <c r="BW74" s="243" t="s">
        <v>237</v>
      </c>
      <c r="BX74" s="243" t="s">
        <v>237</v>
      </c>
      <c r="BY74" s="243" t="s">
        <v>237</v>
      </c>
      <c r="BZ74" s="243" t="s">
        <v>237</v>
      </c>
      <c r="CA74" s="243" t="s">
        <v>237</v>
      </c>
      <c r="CB74" s="243" t="s">
        <v>237</v>
      </c>
      <c r="CC74" s="243" t="s">
        <v>237</v>
      </c>
      <c r="CD74" s="243" t="s">
        <v>237</v>
      </c>
      <c r="CE74" s="195">
        <f t="shared" si="8"/>
        <v>215960869</v>
      </c>
      <c r="CF74" s="246"/>
    </row>
    <row r="75" spans="1:84" ht="12.6" customHeight="1" x14ac:dyDescent="0.25">
      <c r="A75" s="171" t="s">
        <v>264</v>
      </c>
      <c r="B75" s="175"/>
      <c r="C75" s="195">
        <f t="shared" ref="C75:AV75" si="9">SUM(C73:C74)</f>
        <v>2782975</v>
      </c>
      <c r="D75" s="195">
        <f t="shared" si="9"/>
        <v>0</v>
      </c>
      <c r="E75" s="195">
        <f t="shared" si="9"/>
        <v>11128565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370107</v>
      </c>
      <c r="K75" s="195">
        <f t="shared" si="9"/>
        <v>0</v>
      </c>
      <c r="L75" s="195">
        <f t="shared" si="9"/>
        <v>390619</v>
      </c>
      <c r="M75" s="195">
        <f t="shared" si="9"/>
        <v>0</v>
      </c>
      <c r="N75" s="195">
        <f t="shared" si="9"/>
        <v>2518700</v>
      </c>
      <c r="O75" s="195">
        <f t="shared" si="9"/>
        <v>1401641</v>
      </c>
      <c r="P75" s="195">
        <f t="shared" si="9"/>
        <v>23348011</v>
      </c>
      <c r="Q75" s="195">
        <f t="shared" si="9"/>
        <v>4679963</v>
      </c>
      <c r="R75" s="195">
        <f t="shared" si="9"/>
        <v>9938291</v>
      </c>
      <c r="S75" s="195">
        <f t="shared" si="9"/>
        <v>627735</v>
      </c>
      <c r="T75" s="195">
        <f t="shared" si="9"/>
        <v>0</v>
      </c>
      <c r="U75" s="195">
        <f t="shared" si="9"/>
        <v>16423653</v>
      </c>
      <c r="V75" s="195">
        <f t="shared" si="9"/>
        <v>25768</v>
      </c>
      <c r="W75" s="195">
        <f t="shared" si="9"/>
        <v>5209350</v>
      </c>
      <c r="X75" s="195">
        <f t="shared" si="9"/>
        <v>14557050</v>
      </c>
      <c r="Y75" s="195">
        <f t="shared" si="9"/>
        <v>12972080</v>
      </c>
      <c r="Z75" s="195">
        <f t="shared" si="9"/>
        <v>0</v>
      </c>
      <c r="AA75" s="195">
        <f t="shared" si="9"/>
        <v>1977065</v>
      </c>
      <c r="AB75" s="195">
        <f t="shared" si="9"/>
        <v>42021356</v>
      </c>
      <c r="AC75" s="195">
        <f t="shared" si="9"/>
        <v>4933841</v>
      </c>
      <c r="AD75" s="195">
        <f t="shared" si="9"/>
        <v>0</v>
      </c>
      <c r="AE75" s="195">
        <f t="shared" si="9"/>
        <v>9104546</v>
      </c>
      <c r="AF75" s="195">
        <f t="shared" si="9"/>
        <v>0</v>
      </c>
      <c r="AG75" s="195">
        <f t="shared" si="9"/>
        <v>34822761</v>
      </c>
      <c r="AH75" s="195">
        <f t="shared" si="9"/>
        <v>0</v>
      </c>
      <c r="AI75" s="195">
        <f t="shared" si="9"/>
        <v>8292378</v>
      </c>
      <c r="AJ75" s="195">
        <f t="shared" si="9"/>
        <v>39877297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5166826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8833654</v>
      </c>
      <c r="AW75" s="243" t="s">
        <v>237</v>
      </c>
      <c r="AX75" s="243" t="s">
        <v>237</v>
      </c>
      <c r="AY75" s="243" t="s">
        <v>237</v>
      </c>
      <c r="AZ75" s="243" t="s">
        <v>237</v>
      </c>
      <c r="BA75" s="243" t="s">
        <v>237</v>
      </c>
      <c r="BB75" s="243" t="s">
        <v>237</v>
      </c>
      <c r="BC75" s="243" t="s">
        <v>237</v>
      </c>
      <c r="BD75" s="243" t="s">
        <v>237</v>
      </c>
      <c r="BE75" s="243" t="s">
        <v>237</v>
      </c>
      <c r="BF75" s="243" t="s">
        <v>237</v>
      </c>
      <c r="BG75" s="243" t="s">
        <v>237</v>
      </c>
      <c r="BH75" s="243" t="s">
        <v>237</v>
      </c>
      <c r="BI75" s="243" t="s">
        <v>237</v>
      </c>
      <c r="BJ75" s="243" t="s">
        <v>237</v>
      </c>
      <c r="BK75" s="243" t="s">
        <v>237</v>
      </c>
      <c r="BL75" s="243" t="s">
        <v>237</v>
      </c>
      <c r="BM75" s="243" t="s">
        <v>237</v>
      </c>
      <c r="BN75" s="243" t="s">
        <v>237</v>
      </c>
      <c r="BO75" s="243" t="s">
        <v>237</v>
      </c>
      <c r="BP75" s="243" t="s">
        <v>237</v>
      </c>
      <c r="BQ75" s="243" t="s">
        <v>237</v>
      </c>
      <c r="BR75" s="243" t="s">
        <v>237</v>
      </c>
      <c r="BS75" s="243" t="s">
        <v>237</v>
      </c>
      <c r="BT75" s="243" t="s">
        <v>237</v>
      </c>
      <c r="BU75" s="243" t="s">
        <v>237</v>
      </c>
      <c r="BV75" s="243" t="s">
        <v>237</v>
      </c>
      <c r="BW75" s="243" t="s">
        <v>237</v>
      </c>
      <c r="BX75" s="243" t="s">
        <v>237</v>
      </c>
      <c r="BY75" s="243" t="s">
        <v>237</v>
      </c>
      <c r="BZ75" s="243" t="s">
        <v>237</v>
      </c>
      <c r="CA75" s="243" t="s">
        <v>237</v>
      </c>
      <c r="CB75" s="243" t="s">
        <v>237</v>
      </c>
      <c r="CC75" s="243" t="s">
        <v>237</v>
      </c>
      <c r="CD75" s="243" t="s">
        <v>237</v>
      </c>
      <c r="CE75" s="195">
        <f t="shared" si="8"/>
        <v>261404232</v>
      </c>
      <c r="CF75" s="246"/>
    </row>
    <row r="76" spans="1:84" ht="12.6" customHeight="1" x14ac:dyDescent="0.25">
      <c r="A76" s="171" t="s">
        <v>265</v>
      </c>
      <c r="B76" s="175"/>
      <c r="C76" s="184">
        <v>2556.1999999999998</v>
      </c>
      <c r="D76" s="184"/>
      <c r="E76" s="184">
        <v>5773.05</v>
      </c>
      <c r="F76" s="184"/>
      <c r="G76" s="184"/>
      <c r="H76" s="184"/>
      <c r="I76" s="184"/>
      <c r="J76" s="184">
        <v>86.40000000000002</v>
      </c>
      <c r="K76" s="184"/>
      <c r="L76" s="184">
        <v>2190.0999999999995</v>
      </c>
      <c r="M76" s="184"/>
      <c r="N76" s="184">
        <v>290</v>
      </c>
      <c r="O76" s="184">
        <v>2743.6999999999989</v>
      </c>
      <c r="P76" s="184">
        <v>9766.899999999996</v>
      </c>
      <c r="Q76" s="184">
        <v>588.5</v>
      </c>
      <c r="R76" s="184">
        <v>135.99999999999997</v>
      </c>
      <c r="S76" s="184">
        <v>746.09999999999991</v>
      </c>
      <c r="T76" s="184">
        <v>0</v>
      </c>
      <c r="U76" s="184">
        <v>3914.4666666666676</v>
      </c>
      <c r="V76" s="184">
        <v>0</v>
      </c>
      <c r="W76" s="184">
        <v>1107.2</v>
      </c>
      <c r="X76" s="184">
        <v>533.80000000000007</v>
      </c>
      <c r="Y76" s="184">
        <v>5518.800000000002</v>
      </c>
      <c r="Z76" s="184"/>
      <c r="AA76" s="184">
        <v>357.50000000000017</v>
      </c>
      <c r="AB76" s="184">
        <v>2480.9</v>
      </c>
      <c r="AC76" s="184">
        <v>1703.8</v>
      </c>
      <c r="AD76" s="184"/>
      <c r="AE76" s="184">
        <v>6487.5999999999985</v>
      </c>
      <c r="AF76" s="184"/>
      <c r="AG76" s="184">
        <v>6719.7000000000016</v>
      </c>
      <c r="AH76" s="184"/>
      <c r="AI76" s="184">
        <v>6371</v>
      </c>
      <c r="AJ76" s="184">
        <v>62189.299999999996</v>
      </c>
      <c r="AK76" s="184"/>
      <c r="AL76" s="184"/>
      <c r="AM76" s="184"/>
      <c r="AN76" s="184"/>
      <c r="AO76" s="184"/>
      <c r="AP76" s="184"/>
      <c r="AQ76" s="184"/>
      <c r="AR76" s="184">
        <v>4433</v>
      </c>
      <c r="AS76" s="184"/>
      <c r="AT76" s="184"/>
      <c r="AU76" s="184"/>
      <c r="AV76" s="184">
        <v>881.83333333333348</v>
      </c>
      <c r="AW76" s="184"/>
      <c r="AX76" s="184"/>
      <c r="AY76" s="184">
        <v>5792.3</v>
      </c>
      <c r="AZ76" s="184"/>
      <c r="BA76" s="184"/>
      <c r="BB76" s="184">
        <v>77.40000000000002</v>
      </c>
      <c r="BC76" s="184"/>
      <c r="BD76" s="184">
        <v>2353.8000000000002</v>
      </c>
      <c r="BE76" s="184">
        <v>59521.899999999987</v>
      </c>
      <c r="BF76" s="184">
        <v>2761.9333333333334</v>
      </c>
      <c r="BG76" s="184"/>
      <c r="BH76" s="184">
        <v>3770.2666666666669</v>
      </c>
      <c r="BI76" s="184"/>
      <c r="BJ76" s="184">
        <v>1098.5599999999997</v>
      </c>
      <c r="BK76" s="184">
        <v>4019.1750000000002</v>
      </c>
      <c r="BL76" s="184">
        <v>1810.8333333333335</v>
      </c>
      <c r="BM76" s="184">
        <v>40.049999999999997</v>
      </c>
      <c r="BN76" s="184">
        <v>8821.0616666666683</v>
      </c>
      <c r="BO76" s="184">
        <v>243</v>
      </c>
      <c r="BP76" s="184">
        <v>288.89999999999992</v>
      </c>
      <c r="BQ76" s="184"/>
      <c r="BR76" s="184">
        <v>2587.4</v>
      </c>
      <c r="BS76" s="184">
        <v>575.25833333333321</v>
      </c>
      <c r="BT76" s="184"/>
      <c r="BU76" s="184">
        <v>0</v>
      </c>
      <c r="BV76" s="184">
        <v>1104.0000000000002</v>
      </c>
      <c r="BW76" s="184">
        <v>385.10000000000014</v>
      </c>
      <c r="BX76" s="184">
        <v>111.75000000000001</v>
      </c>
      <c r="BY76" s="184">
        <v>777.00749999999994</v>
      </c>
      <c r="BZ76" s="184"/>
      <c r="CA76" s="184"/>
      <c r="CB76" s="184">
        <v>1602.9999999999998</v>
      </c>
      <c r="CC76" s="184">
        <v>2782.7541666666666</v>
      </c>
      <c r="CD76" s="243" t="s">
        <v>237</v>
      </c>
      <c r="CE76" s="195">
        <f t="shared" si="8"/>
        <v>228101.29999999996</v>
      </c>
      <c r="CF76" s="195">
        <f>BE59-CE76</f>
        <v>-0.29999999995925464</v>
      </c>
    </row>
    <row r="77" spans="1:84" ht="12.6" customHeight="1" x14ac:dyDescent="0.25">
      <c r="A77" s="171" t="s">
        <v>266</v>
      </c>
      <c r="B77" s="175"/>
      <c r="C77" s="184">
        <v>898</v>
      </c>
      <c r="D77" s="184"/>
      <c r="E77" s="184">
        <v>14092</v>
      </c>
      <c r="F77" s="184"/>
      <c r="G77" s="184"/>
      <c r="H77" s="184"/>
      <c r="I77" s="184"/>
      <c r="J77" s="184"/>
      <c r="K77" s="184"/>
      <c r="L77" s="184">
        <v>642</v>
      </c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3" t="s">
        <v>237</v>
      </c>
      <c r="AY77" s="243" t="s">
        <v>237</v>
      </c>
      <c r="AZ77" s="184"/>
      <c r="BA77" s="184"/>
      <c r="BB77" s="184"/>
      <c r="BC77" s="184"/>
      <c r="BD77" s="243" t="s">
        <v>237</v>
      </c>
      <c r="BE77" s="243" t="s">
        <v>237</v>
      </c>
      <c r="BF77" s="184"/>
      <c r="BG77" s="243" t="s">
        <v>237</v>
      </c>
      <c r="BH77" s="184"/>
      <c r="BI77" s="184"/>
      <c r="BJ77" s="243" t="s">
        <v>237</v>
      </c>
      <c r="BK77" s="184"/>
      <c r="BL77" s="184"/>
      <c r="BM77" s="184"/>
      <c r="BN77" s="243" t="s">
        <v>237</v>
      </c>
      <c r="BO77" s="243" t="s">
        <v>237</v>
      </c>
      <c r="BP77" s="243" t="s">
        <v>237</v>
      </c>
      <c r="BQ77" s="243" t="s">
        <v>237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3" t="s">
        <v>237</v>
      </c>
      <c r="CD77" s="243" t="s">
        <v>237</v>
      </c>
      <c r="CE77" s="195">
        <f>SUM(C77:CD77)</f>
        <v>15632</v>
      </c>
      <c r="CF77" s="195">
        <f>AY59-CE77</f>
        <v>0</v>
      </c>
    </row>
    <row r="78" spans="1:84" ht="12.6" customHeight="1" x14ac:dyDescent="0.25">
      <c r="A78" s="171" t="s">
        <v>267</v>
      </c>
      <c r="B78" s="175"/>
      <c r="C78" s="219">
        <v>3448.2746675055055</v>
      </c>
      <c r="D78" s="219">
        <v>0</v>
      </c>
      <c r="E78" s="184">
        <v>17047.541147111253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3423.0764827513894</v>
      </c>
      <c r="P78" s="184">
        <v>14911.187355073223</v>
      </c>
      <c r="Q78" s="184">
        <v>0</v>
      </c>
      <c r="R78" s="184">
        <v>0</v>
      </c>
      <c r="S78" s="184">
        <v>1085.1372126804376</v>
      </c>
      <c r="T78" s="184">
        <v>0</v>
      </c>
      <c r="U78" s="184">
        <v>182.84836629268466</v>
      </c>
      <c r="V78" s="184">
        <v>0</v>
      </c>
      <c r="W78" s="184">
        <v>0</v>
      </c>
      <c r="X78" s="184">
        <v>0</v>
      </c>
      <c r="Y78" s="184">
        <v>10166.17533368285</v>
      </c>
      <c r="Z78" s="184">
        <v>0</v>
      </c>
      <c r="AA78" s="184">
        <v>0</v>
      </c>
      <c r="AB78" s="184">
        <v>0</v>
      </c>
      <c r="AC78" s="184">
        <v>0</v>
      </c>
      <c r="AD78" s="184">
        <v>0</v>
      </c>
      <c r="AE78" s="184">
        <v>7749.7340264933073</v>
      </c>
      <c r="AF78" s="184">
        <v>0</v>
      </c>
      <c r="AG78" s="184">
        <v>21741.187638041312</v>
      </c>
      <c r="AH78" s="184">
        <v>0</v>
      </c>
      <c r="AI78" s="184">
        <v>3161.4030256894202</v>
      </c>
      <c r="AJ78" s="184">
        <v>6047.8873946384265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3464.4273500401946</v>
      </c>
      <c r="AW78" s="184"/>
      <c r="AX78" s="243" t="s">
        <v>237</v>
      </c>
      <c r="AY78" s="243" t="s">
        <v>237</v>
      </c>
      <c r="AZ78" s="243" t="s">
        <v>237</v>
      </c>
      <c r="BA78" s="184"/>
      <c r="BB78" s="184"/>
      <c r="BC78" s="184"/>
      <c r="BD78" s="243" t="s">
        <v>237</v>
      </c>
      <c r="BE78" s="243" t="s">
        <v>237</v>
      </c>
      <c r="BF78" s="243" t="s">
        <v>237</v>
      </c>
      <c r="BG78" s="243" t="s">
        <v>237</v>
      </c>
      <c r="BH78" s="184"/>
      <c r="BI78" s="184"/>
      <c r="BJ78" s="243" t="s">
        <v>237</v>
      </c>
      <c r="BK78" s="184"/>
      <c r="BL78" s="184"/>
      <c r="BM78" s="184"/>
      <c r="BN78" s="243" t="s">
        <v>237</v>
      </c>
      <c r="BO78" s="243" t="s">
        <v>237</v>
      </c>
      <c r="BP78" s="243" t="s">
        <v>237</v>
      </c>
      <c r="BQ78" s="243" t="s">
        <v>237</v>
      </c>
      <c r="BR78" s="243" t="s">
        <v>237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3" t="s">
        <v>237</v>
      </c>
      <c r="CD78" s="243" t="s">
        <v>237</v>
      </c>
      <c r="CE78" s="195">
        <f t="shared" si="8"/>
        <v>92428.88</v>
      </c>
      <c r="CF78" s="195"/>
    </row>
    <row r="79" spans="1:84" ht="12.6" customHeight="1" x14ac:dyDescent="0.25">
      <c r="A79" s="171" t="s">
        <v>268</v>
      </c>
      <c r="B79" s="175"/>
      <c r="C79" s="219">
        <v>10674</v>
      </c>
      <c r="D79" s="219"/>
      <c r="E79" s="184">
        <v>52770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10596</v>
      </c>
      <c r="P79" s="184">
        <v>46157</v>
      </c>
      <c r="Q79" s="184"/>
      <c r="R79" s="184"/>
      <c r="S79" s="184">
        <v>3359</v>
      </c>
      <c r="T79" s="184"/>
      <c r="U79" s="184">
        <v>566</v>
      </c>
      <c r="V79" s="184"/>
      <c r="W79" s="184"/>
      <c r="X79" s="184"/>
      <c r="Y79" s="184">
        <v>31469</v>
      </c>
      <c r="Z79" s="184"/>
      <c r="AA79" s="184"/>
      <c r="AB79" s="184"/>
      <c r="AC79" s="184"/>
      <c r="AD79" s="184"/>
      <c r="AE79" s="184">
        <v>23989</v>
      </c>
      <c r="AF79" s="184"/>
      <c r="AG79" s="184">
        <v>67299</v>
      </c>
      <c r="AH79" s="184"/>
      <c r="AI79" s="184">
        <v>9786</v>
      </c>
      <c r="AJ79" s="184">
        <v>18721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10724</v>
      </c>
      <c r="AW79" s="184"/>
      <c r="AX79" s="243" t="s">
        <v>237</v>
      </c>
      <c r="AY79" s="243" t="s">
        <v>237</v>
      </c>
      <c r="AZ79" s="243" t="s">
        <v>237</v>
      </c>
      <c r="BA79" s="243" t="s">
        <v>237</v>
      </c>
      <c r="BB79" s="184"/>
      <c r="BC79" s="184"/>
      <c r="BD79" s="243" t="s">
        <v>237</v>
      </c>
      <c r="BE79" s="243" t="s">
        <v>237</v>
      </c>
      <c r="BF79" s="243" t="s">
        <v>237</v>
      </c>
      <c r="BG79" s="243" t="s">
        <v>237</v>
      </c>
      <c r="BH79" s="184"/>
      <c r="BI79" s="184"/>
      <c r="BJ79" s="243" t="s">
        <v>237</v>
      </c>
      <c r="BK79" s="184"/>
      <c r="BL79" s="184"/>
      <c r="BM79" s="184"/>
      <c r="BN79" s="243" t="s">
        <v>237</v>
      </c>
      <c r="BO79" s="243" t="s">
        <v>237</v>
      </c>
      <c r="BP79" s="243" t="s">
        <v>237</v>
      </c>
      <c r="BQ79" s="243" t="s">
        <v>237</v>
      </c>
      <c r="BR79" s="243" t="s">
        <v>237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3" t="s">
        <v>237</v>
      </c>
      <c r="CD79" s="243" t="s">
        <v>237</v>
      </c>
      <c r="CE79" s="195">
        <f t="shared" si="8"/>
        <v>286110</v>
      </c>
      <c r="CF79" s="195">
        <f>BA59</f>
        <v>0</v>
      </c>
    </row>
    <row r="80" spans="1:84" ht="21" customHeight="1" x14ac:dyDescent="0.25">
      <c r="A80" s="171" t="s">
        <v>269</v>
      </c>
      <c r="B80" s="175"/>
      <c r="C80" s="275">
        <v>8.996759615384617</v>
      </c>
      <c r="D80" s="275"/>
      <c r="E80" s="275">
        <v>20.915105769230781</v>
      </c>
      <c r="F80" s="275"/>
      <c r="G80" s="275"/>
      <c r="H80" s="275"/>
      <c r="I80" s="275"/>
      <c r="J80" s="275"/>
      <c r="K80" s="275"/>
      <c r="L80" s="275"/>
      <c r="M80" s="275"/>
      <c r="N80" s="275"/>
      <c r="O80" s="275">
        <v>9.9805721153846214</v>
      </c>
      <c r="P80" s="275">
        <v>9.5897692307692335</v>
      </c>
      <c r="Q80" s="275">
        <v>0.48168269230769228</v>
      </c>
      <c r="R80" s="275"/>
      <c r="S80" s="275"/>
      <c r="T80" s="275"/>
      <c r="U80" s="275"/>
      <c r="V80" s="275">
        <v>4.9374999999999995E-2</v>
      </c>
      <c r="W80" s="275"/>
      <c r="X80" s="275"/>
      <c r="Y80" s="275"/>
      <c r="Z80" s="275"/>
      <c r="AA80" s="275">
        <v>0.22622596153846156</v>
      </c>
      <c r="AB80" s="275"/>
      <c r="AC80" s="275"/>
      <c r="AD80" s="275"/>
      <c r="AE80" s="275"/>
      <c r="AF80" s="275"/>
      <c r="AG80" s="275">
        <v>14.83716346153847</v>
      </c>
      <c r="AH80" s="275"/>
      <c r="AI80" s="275">
        <v>10.268091346153847</v>
      </c>
      <c r="AJ80" s="275">
        <v>19.602120192307698</v>
      </c>
      <c r="AK80" s="275"/>
      <c r="AL80" s="275"/>
      <c r="AM80" s="275"/>
      <c r="AN80" s="275"/>
      <c r="AO80" s="275"/>
      <c r="AP80" s="275"/>
      <c r="AQ80" s="275"/>
      <c r="AR80" s="275">
        <v>14.694567307692319</v>
      </c>
      <c r="AS80" s="275"/>
      <c r="AT80" s="275"/>
      <c r="AU80" s="275"/>
      <c r="AV80" s="275">
        <v>3.6446009615384614</v>
      </c>
      <c r="AW80" s="243" t="s">
        <v>237</v>
      </c>
      <c r="AX80" s="243" t="s">
        <v>237</v>
      </c>
      <c r="AY80" s="243" t="s">
        <v>237</v>
      </c>
      <c r="AZ80" s="243" t="s">
        <v>237</v>
      </c>
      <c r="BA80" s="243" t="s">
        <v>237</v>
      </c>
      <c r="BB80" s="243" t="s">
        <v>237</v>
      </c>
      <c r="BC80" s="243" t="s">
        <v>237</v>
      </c>
      <c r="BD80" s="243" t="s">
        <v>237</v>
      </c>
      <c r="BE80" s="243" t="s">
        <v>237</v>
      </c>
      <c r="BF80" s="243" t="s">
        <v>237</v>
      </c>
      <c r="BG80" s="243" t="s">
        <v>237</v>
      </c>
      <c r="BH80" s="243" t="s">
        <v>237</v>
      </c>
      <c r="BI80" s="243" t="s">
        <v>237</v>
      </c>
      <c r="BJ80" s="243" t="s">
        <v>237</v>
      </c>
      <c r="BK80" s="243" t="s">
        <v>237</v>
      </c>
      <c r="BL80" s="243" t="s">
        <v>237</v>
      </c>
      <c r="BM80" s="243" t="s">
        <v>237</v>
      </c>
      <c r="BN80" s="243" t="s">
        <v>237</v>
      </c>
      <c r="BO80" s="243" t="s">
        <v>237</v>
      </c>
      <c r="BP80" s="243" t="s">
        <v>237</v>
      </c>
      <c r="BQ80" s="243" t="s">
        <v>237</v>
      </c>
      <c r="BR80" s="243" t="s">
        <v>237</v>
      </c>
      <c r="BS80" s="243" t="s">
        <v>237</v>
      </c>
      <c r="BT80" s="243" t="s">
        <v>237</v>
      </c>
      <c r="BU80" s="248"/>
      <c r="BV80" s="248"/>
      <c r="BW80" s="248"/>
      <c r="BX80" s="248"/>
      <c r="BY80" s="248"/>
      <c r="BZ80" s="248"/>
      <c r="CA80" s="248"/>
      <c r="CB80" s="248"/>
      <c r="CC80" s="243" t="s">
        <v>237</v>
      </c>
      <c r="CD80" s="243" t="s">
        <v>237</v>
      </c>
      <c r="CE80" s="249">
        <f t="shared" si="8"/>
        <v>113.2860336538462</v>
      </c>
      <c r="CF80" s="249"/>
    </row>
    <row r="81" spans="1:5" ht="12.6" customHeight="1" x14ac:dyDescent="0.25">
      <c r="A81" s="205" t="s">
        <v>270</v>
      </c>
      <c r="B81" s="205"/>
      <c r="C81" s="205"/>
      <c r="D81" s="205"/>
      <c r="E81" s="205"/>
    </row>
    <row r="82" spans="1:5" ht="12.6" customHeight="1" x14ac:dyDescent="0.25">
      <c r="A82" s="171" t="s">
        <v>271</v>
      </c>
      <c r="B82" s="172"/>
      <c r="C82" s="269" t="s">
        <v>272</v>
      </c>
      <c r="D82" s="250"/>
      <c r="E82" s="175"/>
    </row>
    <row r="83" spans="1:5" ht="12.6" customHeight="1" x14ac:dyDescent="0.25">
      <c r="A83" s="173" t="s">
        <v>273</v>
      </c>
      <c r="B83" s="172" t="s">
        <v>274</v>
      </c>
      <c r="C83" s="221" t="s">
        <v>275</v>
      </c>
      <c r="D83" s="250"/>
      <c r="E83" s="175"/>
    </row>
    <row r="84" spans="1:5" ht="12.6" customHeight="1" x14ac:dyDescent="0.25">
      <c r="A84" s="173" t="s">
        <v>276</v>
      </c>
      <c r="B84" s="172" t="s">
        <v>274</v>
      </c>
      <c r="C84" s="264" t="s">
        <v>277</v>
      </c>
      <c r="D84" s="202"/>
      <c r="E84" s="201"/>
    </row>
    <row r="85" spans="1:5" ht="12.6" customHeight="1" x14ac:dyDescent="0.25">
      <c r="A85" s="173" t="s">
        <v>278</v>
      </c>
      <c r="B85" s="172"/>
      <c r="C85" s="264" t="s">
        <v>279</v>
      </c>
      <c r="D85" s="202"/>
      <c r="E85" s="201"/>
    </row>
    <row r="86" spans="1:5" ht="12.6" customHeight="1" x14ac:dyDescent="0.25">
      <c r="A86" s="173" t="s">
        <v>280</v>
      </c>
      <c r="B86" s="172" t="s">
        <v>274</v>
      </c>
      <c r="C86" s="225" t="s">
        <v>279</v>
      </c>
      <c r="D86" s="202"/>
      <c r="E86" s="201"/>
    </row>
    <row r="87" spans="1:5" ht="12.6" customHeight="1" x14ac:dyDescent="0.25">
      <c r="A87" s="173" t="s">
        <v>281</v>
      </c>
      <c r="B87" s="172" t="s">
        <v>274</v>
      </c>
      <c r="C87" s="264" t="s">
        <v>282</v>
      </c>
      <c r="D87" s="202"/>
      <c r="E87" s="201"/>
    </row>
    <row r="88" spans="1:5" ht="12.6" customHeight="1" x14ac:dyDescent="0.25">
      <c r="A88" s="173" t="s">
        <v>283</v>
      </c>
      <c r="B88" s="172" t="s">
        <v>274</v>
      </c>
      <c r="C88" s="264" t="s">
        <v>284</v>
      </c>
      <c r="D88" s="202"/>
      <c r="E88" s="201"/>
    </row>
    <row r="89" spans="1:5" ht="12.6" customHeight="1" x14ac:dyDescent="0.25">
      <c r="A89" s="173" t="s">
        <v>285</v>
      </c>
      <c r="B89" s="172" t="s">
        <v>274</v>
      </c>
      <c r="C89" s="264" t="s">
        <v>286</v>
      </c>
      <c r="D89" s="202"/>
      <c r="E89" s="201"/>
    </row>
    <row r="90" spans="1:5" ht="12.6" customHeight="1" x14ac:dyDescent="0.25">
      <c r="A90" s="173" t="s">
        <v>287</v>
      </c>
      <c r="B90" s="172" t="s">
        <v>274</v>
      </c>
      <c r="C90" s="264" t="s">
        <v>288</v>
      </c>
      <c r="D90" s="202"/>
      <c r="E90" s="201"/>
    </row>
    <row r="91" spans="1:5" ht="12.6" customHeight="1" x14ac:dyDescent="0.25">
      <c r="A91" s="173" t="s">
        <v>289</v>
      </c>
      <c r="B91" s="172" t="s">
        <v>274</v>
      </c>
      <c r="C91" s="264" t="s">
        <v>290</v>
      </c>
      <c r="D91" s="202"/>
      <c r="E91" s="201"/>
    </row>
    <row r="92" spans="1:5" ht="12.6" customHeight="1" x14ac:dyDescent="0.25">
      <c r="A92" s="173" t="s">
        <v>291</v>
      </c>
      <c r="B92" s="172" t="s">
        <v>274</v>
      </c>
      <c r="C92" s="220" t="s">
        <v>292</v>
      </c>
      <c r="D92" s="250"/>
      <c r="E92" s="175"/>
    </row>
    <row r="93" spans="1:5" ht="12.6" customHeight="1" x14ac:dyDescent="0.25">
      <c r="A93" s="173" t="s">
        <v>293</v>
      </c>
      <c r="B93" s="172" t="s">
        <v>274</v>
      </c>
      <c r="C93" s="273" t="s">
        <v>294</v>
      </c>
      <c r="D93" s="250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5" t="s">
        <v>295</v>
      </c>
      <c r="B95" s="205"/>
      <c r="C95" s="205"/>
      <c r="D95" s="205"/>
      <c r="E95" s="205"/>
    </row>
    <row r="96" spans="1:5" ht="12.6" customHeight="1" x14ac:dyDescent="0.25">
      <c r="A96" s="251" t="s">
        <v>296</v>
      </c>
      <c r="B96" s="251"/>
      <c r="C96" s="251"/>
      <c r="D96" s="251"/>
      <c r="E96" s="251"/>
    </row>
    <row r="97" spans="1:5" ht="12.6" customHeight="1" x14ac:dyDescent="0.25">
      <c r="A97" s="173" t="s">
        <v>297</v>
      </c>
      <c r="B97" s="172" t="s">
        <v>274</v>
      </c>
      <c r="C97" s="189"/>
      <c r="D97" s="175"/>
      <c r="E97" s="175"/>
    </row>
    <row r="98" spans="1:5" ht="12.6" customHeight="1" x14ac:dyDescent="0.25">
      <c r="A98" s="173" t="s">
        <v>283</v>
      </c>
      <c r="B98" s="172" t="s">
        <v>274</v>
      </c>
      <c r="C98" s="189"/>
      <c r="D98" s="175"/>
      <c r="E98" s="175"/>
    </row>
    <row r="99" spans="1:5" ht="12.6" customHeight="1" x14ac:dyDescent="0.25">
      <c r="A99" s="173" t="s">
        <v>298</v>
      </c>
      <c r="B99" s="172" t="s">
        <v>274</v>
      </c>
      <c r="C99" s="189">
        <v>1</v>
      </c>
      <c r="D99" s="175"/>
      <c r="E99" s="175"/>
    </row>
    <row r="100" spans="1:5" ht="12.6" customHeight="1" x14ac:dyDescent="0.25">
      <c r="A100" s="251" t="s">
        <v>299</v>
      </c>
      <c r="B100" s="251"/>
      <c r="C100" s="251"/>
      <c r="D100" s="251"/>
      <c r="E100" s="251"/>
    </row>
    <row r="101" spans="1:5" ht="12.6" customHeight="1" x14ac:dyDescent="0.25">
      <c r="A101" s="173" t="s">
        <v>300</v>
      </c>
      <c r="B101" s="172" t="s">
        <v>274</v>
      </c>
      <c r="C101" s="189"/>
      <c r="D101" s="175"/>
      <c r="E101" s="175"/>
    </row>
    <row r="102" spans="1:5" ht="12.6" customHeight="1" x14ac:dyDescent="0.25">
      <c r="A102" s="173" t="s">
        <v>148</v>
      </c>
      <c r="B102" s="172" t="s">
        <v>274</v>
      </c>
      <c r="C102" s="217"/>
      <c r="D102" s="175"/>
      <c r="E102" s="175"/>
    </row>
    <row r="103" spans="1:5" ht="12.6" customHeight="1" x14ac:dyDescent="0.25">
      <c r="A103" s="251" t="s">
        <v>301</v>
      </c>
      <c r="B103" s="251"/>
      <c r="C103" s="251"/>
      <c r="D103" s="251"/>
      <c r="E103" s="251"/>
    </row>
    <row r="104" spans="1:5" ht="12.6" customHeight="1" x14ac:dyDescent="0.25">
      <c r="A104" s="173" t="s">
        <v>302</v>
      </c>
      <c r="B104" s="172" t="s">
        <v>274</v>
      </c>
      <c r="C104" s="189"/>
      <c r="D104" s="175"/>
      <c r="E104" s="175"/>
    </row>
    <row r="105" spans="1:5" ht="12.6" customHeight="1" x14ac:dyDescent="0.25">
      <c r="A105" s="173" t="s">
        <v>303</v>
      </c>
      <c r="B105" s="172" t="s">
        <v>274</v>
      </c>
      <c r="C105" s="189"/>
      <c r="D105" s="175"/>
      <c r="E105" s="175"/>
    </row>
    <row r="106" spans="1:5" ht="12.6" customHeight="1" x14ac:dyDescent="0.25">
      <c r="A106" s="173" t="s">
        <v>304</v>
      </c>
      <c r="B106" s="172" t="s">
        <v>274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4" t="s">
        <v>305</v>
      </c>
      <c r="B108" s="205"/>
      <c r="C108" s="205"/>
      <c r="D108" s="205"/>
      <c r="E108" s="205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306</v>
      </c>
      <c r="B110" s="175"/>
      <c r="C110" s="182" t="s">
        <v>307</v>
      </c>
      <c r="D110" s="170" t="s">
        <v>231</v>
      </c>
      <c r="E110" s="175"/>
    </row>
    <row r="111" spans="1:5" ht="12.6" customHeight="1" x14ac:dyDescent="0.25">
      <c r="A111" s="173" t="s">
        <v>308</v>
      </c>
      <c r="B111" s="172" t="s">
        <v>274</v>
      </c>
      <c r="C111" s="189">
        <v>1519</v>
      </c>
      <c r="D111" s="174">
        <v>4127</v>
      </c>
      <c r="E111" s="175"/>
    </row>
    <row r="112" spans="1:5" ht="12.6" customHeight="1" x14ac:dyDescent="0.25">
      <c r="A112" s="173" t="s">
        <v>309</v>
      </c>
      <c r="B112" s="172" t="s">
        <v>274</v>
      </c>
      <c r="C112" s="189">
        <v>24</v>
      </c>
      <c r="D112" s="174">
        <v>188</v>
      </c>
      <c r="E112" s="175"/>
    </row>
    <row r="113" spans="1:5" ht="12.6" customHeight="1" x14ac:dyDescent="0.25">
      <c r="A113" s="173" t="s">
        <v>310</v>
      </c>
      <c r="B113" s="172" t="s">
        <v>274</v>
      </c>
      <c r="C113" s="189"/>
      <c r="D113" s="174"/>
      <c r="E113" s="175"/>
    </row>
    <row r="114" spans="1:5" ht="12.6" customHeight="1" x14ac:dyDescent="0.25">
      <c r="A114" s="173" t="s">
        <v>311</v>
      </c>
      <c r="B114" s="172" t="s">
        <v>274</v>
      </c>
      <c r="C114" s="189">
        <v>112</v>
      </c>
      <c r="D114" s="174">
        <v>238</v>
      </c>
      <c r="E114" s="175"/>
    </row>
    <row r="115" spans="1:5" ht="12.6" customHeight="1" x14ac:dyDescent="0.25">
      <c r="A115" s="171" t="s">
        <v>312</v>
      </c>
      <c r="B115" s="175"/>
      <c r="C115" s="182" t="s">
        <v>183</v>
      </c>
      <c r="D115" s="175"/>
      <c r="E115" s="175"/>
    </row>
    <row r="116" spans="1:5" ht="12.6" customHeight="1" x14ac:dyDescent="0.25">
      <c r="A116" s="173" t="s">
        <v>313</v>
      </c>
      <c r="B116" s="172" t="s">
        <v>274</v>
      </c>
      <c r="C116" s="189">
        <v>6</v>
      </c>
      <c r="D116" s="175"/>
      <c r="E116" s="175"/>
    </row>
    <row r="117" spans="1:5" ht="12.6" customHeight="1" x14ac:dyDescent="0.25">
      <c r="A117" s="173" t="s">
        <v>314</v>
      </c>
      <c r="B117" s="172" t="s">
        <v>274</v>
      </c>
      <c r="C117" s="189"/>
      <c r="D117" s="175"/>
      <c r="E117" s="175"/>
    </row>
    <row r="118" spans="1:5" ht="12.6" customHeight="1" x14ac:dyDescent="0.25">
      <c r="A118" s="173" t="s">
        <v>315</v>
      </c>
      <c r="B118" s="172" t="s">
        <v>274</v>
      </c>
      <c r="C118" s="189">
        <v>10</v>
      </c>
      <c r="D118" s="175"/>
      <c r="E118" s="175"/>
    </row>
    <row r="119" spans="1:5" ht="12.6" customHeight="1" x14ac:dyDescent="0.25">
      <c r="A119" s="173" t="s">
        <v>316</v>
      </c>
      <c r="B119" s="172" t="s">
        <v>274</v>
      </c>
      <c r="C119" s="189"/>
      <c r="D119" s="175"/>
      <c r="E119" s="175"/>
    </row>
    <row r="120" spans="1:5" ht="12.6" customHeight="1" x14ac:dyDescent="0.25">
      <c r="A120" s="173" t="s">
        <v>317</v>
      </c>
      <c r="B120" s="172" t="s">
        <v>274</v>
      </c>
      <c r="C120" s="189">
        <v>4</v>
      </c>
      <c r="D120" s="175"/>
      <c r="E120" s="175"/>
    </row>
    <row r="121" spans="1:5" ht="12.6" customHeight="1" x14ac:dyDescent="0.25">
      <c r="A121" s="173" t="s">
        <v>318</v>
      </c>
      <c r="B121" s="172" t="s">
        <v>274</v>
      </c>
      <c r="C121" s="189"/>
      <c r="D121" s="175"/>
      <c r="E121" s="175"/>
    </row>
    <row r="122" spans="1:5" ht="12.6" customHeight="1" x14ac:dyDescent="0.25">
      <c r="A122" s="173" t="s">
        <v>112</v>
      </c>
      <c r="B122" s="172" t="s">
        <v>274</v>
      </c>
      <c r="C122" s="189"/>
      <c r="D122" s="175"/>
      <c r="E122" s="175"/>
    </row>
    <row r="123" spans="1:5" ht="12.6" customHeight="1" x14ac:dyDescent="0.25">
      <c r="A123" s="173" t="s">
        <v>319</v>
      </c>
      <c r="B123" s="172" t="s">
        <v>274</v>
      </c>
      <c r="C123" s="189">
        <v>5</v>
      </c>
      <c r="D123" s="175"/>
      <c r="E123" s="175"/>
    </row>
    <row r="124" spans="1:5" ht="12.6" customHeight="1" x14ac:dyDescent="0.25">
      <c r="A124" s="173" t="s">
        <v>320</v>
      </c>
      <c r="B124" s="172"/>
      <c r="C124" s="189"/>
      <c r="D124" s="175"/>
      <c r="E124" s="175"/>
    </row>
    <row r="125" spans="1:5" ht="12.6" customHeight="1" x14ac:dyDescent="0.25">
      <c r="A125" s="173" t="s">
        <v>310</v>
      </c>
      <c r="B125" s="172" t="s">
        <v>274</v>
      </c>
      <c r="C125" s="189"/>
      <c r="D125" s="175"/>
      <c r="E125" s="175"/>
    </row>
    <row r="126" spans="1:5" ht="12.6" customHeight="1" x14ac:dyDescent="0.25">
      <c r="A126" s="173" t="s">
        <v>321</v>
      </c>
      <c r="B126" s="172" t="s">
        <v>274</v>
      </c>
      <c r="C126" s="189"/>
      <c r="D126" s="175"/>
      <c r="E126" s="175"/>
    </row>
    <row r="127" spans="1:5" ht="12.6" customHeight="1" x14ac:dyDescent="0.25">
      <c r="A127" s="173" t="s">
        <v>322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323</v>
      </c>
      <c r="B128" s="172" t="s">
        <v>274</v>
      </c>
      <c r="C128" s="189">
        <v>4</v>
      </c>
      <c r="D128" s="175"/>
      <c r="E128" s="175"/>
    </row>
    <row r="129" spans="1:6" ht="12.6" customHeight="1" x14ac:dyDescent="0.25">
      <c r="A129" s="173" t="s">
        <v>324</v>
      </c>
      <c r="B129" s="172" t="s">
        <v>274</v>
      </c>
      <c r="C129" s="189">
        <v>4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325</v>
      </c>
      <c r="B131" s="172" t="s">
        <v>274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326</v>
      </c>
      <c r="B136" s="204"/>
      <c r="C136" s="204"/>
      <c r="D136" s="204"/>
      <c r="E136" s="204"/>
    </row>
    <row r="137" spans="1:6" ht="12.6" customHeight="1" x14ac:dyDescent="0.25">
      <c r="A137" s="252" t="s">
        <v>327</v>
      </c>
      <c r="B137" s="176" t="s">
        <v>328</v>
      </c>
      <c r="C137" s="192" t="s">
        <v>329</v>
      </c>
      <c r="D137" s="176" t="s">
        <v>148</v>
      </c>
      <c r="E137" s="176" t="s">
        <v>219</v>
      </c>
    </row>
    <row r="138" spans="1:6" ht="12.6" customHeight="1" x14ac:dyDescent="0.25">
      <c r="A138" s="173" t="s">
        <v>307</v>
      </c>
      <c r="B138" s="174">
        <v>1046</v>
      </c>
      <c r="C138" s="189">
        <v>200</v>
      </c>
      <c r="D138" s="174">
        <f>23+250</f>
        <v>273</v>
      </c>
      <c r="E138" s="175">
        <f>SUM(B138:D138)</f>
        <v>1519</v>
      </c>
    </row>
    <row r="139" spans="1:6" ht="12.6" customHeight="1" x14ac:dyDescent="0.25">
      <c r="A139" s="173" t="s">
        <v>231</v>
      </c>
      <c r="B139" s="174">
        <v>2916</v>
      </c>
      <c r="C139" s="189">
        <v>507</v>
      </c>
      <c r="D139" s="174">
        <v>704</v>
      </c>
      <c r="E139" s="175">
        <f>SUM(B139:D139)</f>
        <v>4127</v>
      </c>
    </row>
    <row r="140" spans="1:6" ht="12.6" customHeight="1" x14ac:dyDescent="0.25">
      <c r="A140" s="173" t="s">
        <v>330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262</v>
      </c>
      <c r="B141" s="174">
        <v>30541329</v>
      </c>
      <c r="C141" s="189">
        <v>5524187</v>
      </c>
      <c r="D141" s="174">
        <f>8463725+522954+549</f>
        <v>8987228</v>
      </c>
      <c r="E141" s="175">
        <f>SUM(B141:D141)</f>
        <v>45052744</v>
      </c>
      <c r="F141" s="199"/>
    </row>
    <row r="142" spans="1:6" ht="12.6" customHeight="1" x14ac:dyDescent="0.25">
      <c r="A142" s="173" t="s">
        <v>263</v>
      </c>
      <c r="B142" s="174">
        <v>125670466</v>
      </c>
      <c r="C142" s="189">
        <v>32177280</v>
      </c>
      <c r="D142" s="174">
        <f>54693957+3419715-549</f>
        <v>58113123</v>
      </c>
      <c r="E142" s="175">
        <f>SUM(B142:D142)</f>
        <v>215960869</v>
      </c>
      <c r="F142" s="199"/>
    </row>
    <row r="143" spans="1:6" ht="12.6" customHeight="1" x14ac:dyDescent="0.25">
      <c r="A143" s="252" t="s">
        <v>331</v>
      </c>
      <c r="B143" s="176" t="s">
        <v>328</v>
      </c>
      <c r="C143" s="192" t="s">
        <v>329</v>
      </c>
      <c r="D143" s="176" t="s">
        <v>148</v>
      </c>
      <c r="E143" s="176" t="s">
        <v>219</v>
      </c>
    </row>
    <row r="144" spans="1:6" ht="12.6" customHeight="1" x14ac:dyDescent="0.25">
      <c r="A144" s="173" t="s">
        <v>307</v>
      </c>
      <c r="B144" s="174">
        <v>20</v>
      </c>
      <c r="C144" s="189">
        <v>2</v>
      </c>
      <c r="D144" s="174">
        <v>2</v>
      </c>
      <c r="E144" s="175">
        <f>SUM(B144:D144)</f>
        <v>24</v>
      </c>
    </row>
    <row r="145" spans="1:5" ht="12.6" customHeight="1" x14ac:dyDescent="0.25">
      <c r="A145" s="173" t="s">
        <v>231</v>
      </c>
      <c r="B145" s="174">
        <v>160</v>
      </c>
      <c r="C145" s="189">
        <v>14</v>
      </c>
      <c r="D145" s="174">
        <v>14</v>
      </c>
      <c r="E145" s="175">
        <f>SUM(B145:D145)</f>
        <v>188</v>
      </c>
    </row>
    <row r="146" spans="1:5" ht="12.6" customHeight="1" x14ac:dyDescent="0.25">
      <c r="A146" s="173" t="s">
        <v>330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262</v>
      </c>
      <c r="B147" s="174">
        <v>342823</v>
      </c>
      <c r="C147" s="189">
        <v>23898</v>
      </c>
      <c r="D147" s="174">
        <v>23898</v>
      </c>
      <c r="E147" s="175">
        <f>SUM(B147:D147)</f>
        <v>390619</v>
      </c>
    </row>
    <row r="148" spans="1:5" ht="12.6" customHeight="1" x14ac:dyDescent="0.25">
      <c r="A148" s="173" t="s">
        <v>263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2" t="s">
        <v>332</v>
      </c>
      <c r="B149" s="176" t="s">
        <v>328</v>
      </c>
      <c r="C149" s="192" t="s">
        <v>329</v>
      </c>
      <c r="D149" s="176" t="s">
        <v>148</v>
      </c>
      <c r="E149" s="176" t="s">
        <v>219</v>
      </c>
    </row>
    <row r="150" spans="1:5" ht="12.6" customHeight="1" x14ac:dyDescent="0.25">
      <c r="A150" s="173" t="s">
        <v>307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231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330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262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263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2" t="s">
        <v>333</v>
      </c>
      <c r="B156" s="176" t="s">
        <v>334</v>
      </c>
      <c r="C156" s="192" t="s">
        <v>335</v>
      </c>
      <c r="D156" s="175"/>
      <c r="E156" s="175"/>
    </row>
    <row r="157" spans="1:5" ht="12.6" customHeight="1" x14ac:dyDescent="0.25">
      <c r="A157" s="177" t="s">
        <v>336</v>
      </c>
      <c r="B157" s="174">
        <v>31858918</v>
      </c>
      <c r="C157" s="174">
        <v>9483131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337</v>
      </c>
      <c r="B163" s="205"/>
      <c r="C163" s="205"/>
      <c r="D163" s="205"/>
      <c r="E163" s="205"/>
    </row>
    <row r="164" spans="1:5" ht="11.4" customHeight="1" x14ac:dyDescent="0.25">
      <c r="A164" s="251" t="s">
        <v>338</v>
      </c>
      <c r="B164" s="251"/>
      <c r="C164" s="251"/>
      <c r="D164" s="251"/>
      <c r="E164" s="251"/>
    </row>
    <row r="165" spans="1:5" ht="11.4" customHeight="1" x14ac:dyDescent="0.25">
      <c r="A165" s="173" t="s">
        <v>339</v>
      </c>
      <c r="B165" s="172" t="s">
        <v>274</v>
      </c>
      <c r="C165" s="189">
        <v>3817174</v>
      </c>
      <c r="D165" s="175"/>
      <c r="E165" s="175"/>
    </row>
    <row r="166" spans="1:5" ht="11.4" customHeight="1" x14ac:dyDescent="0.25">
      <c r="A166" s="173" t="s">
        <v>340</v>
      </c>
      <c r="B166" s="172" t="s">
        <v>274</v>
      </c>
      <c r="C166" s="189">
        <v>83254</v>
      </c>
      <c r="D166" s="175"/>
      <c r="E166" s="175"/>
    </row>
    <row r="167" spans="1:5" ht="11.4" customHeight="1" x14ac:dyDescent="0.25">
      <c r="A167" s="177" t="s">
        <v>341</v>
      </c>
      <c r="B167" s="172" t="s">
        <v>274</v>
      </c>
      <c r="C167" s="189">
        <v>284287</v>
      </c>
      <c r="D167" s="175"/>
      <c r="E167" s="175"/>
    </row>
    <row r="168" spans="1:5" ht="11.4" customHeight="1" x14ac:dyDescent="0.25">
      <c r="A168" s="173" t="s">
        <v>342</v>
      </c>
      <c r="B168" s="172" t="s">
        <v>274</v>
      </c>
      <c r="C168" s="189">
        <v>7167386</v>
      </c>
      <c r="D168" s="175"/>
      <c r="E168" s="175"/>
    </row>
    <row r="169" spans="1:5" ht="11.4" customHeight="1" x14ac:dyDescent="0.25">
      <c r="A169" s="173" t="s">
        <v>343</v>
      </c>
      <c r="B169" s="172" t="s">
        <v>274</v>
      </c>
      <c r="C169" s="189">
        <v>111090</v>
      </c>
      <c r="D169" s="175"/>
      <c r="E169" s="175"/>
    </row>
    <row r="170" spans="1:5" ht="11.4" customHeight="1" x14ac:dyDescent="0.25">
      <c r="A170" s="173" t="s">
        <v>344</v>
      </c>
      <c r="B170" s="172" t="s">
        <v>274</v>
      </c>
      <c r="C170" s="189">
        <v>2271298</v>
      </c>
      <c r="D170" s="175"/>
      <c r="E170" s="175"/>
    </row>
    <row r="171" spans="1:5" ht="11.4" customHeight="1" x14ac:dyDescent="0.25">
      <c r="A171" s="173" t="s">
        <v>345</v>
      </c>
      <c r="B171" s="172" t="s">
        <v>274</v>
      </c>
      <c r="C171" s="189">
        <v>12676</v>
      </c>
      <c r="D171" s="175"/>
      <c r="E171" s="175"/>
    </row>
    <row r="172" spans="1:5" ht="11.4" customHeight="1" x14ac:dyDescent="0.25">
      <c r="A172" s="173" t="s">
        <v>345</v>
      </c>
      <c r="B172" s="172" t="s">
        <v>274</v>
      </c>
      <c r="C172" s="189">
        <v>7760</v>
      </c>
      <c r="D172" s="175"/>
      <c r="E172" s="175"/>
    </row>
    <row r="173" spans="1:5" ht="11.4" customHeight="1" x14ac:dyDescent="0.25">
      <c r="A173" s="173" t="s">
        <v>219</v>
      </c>
      <c r="B173" s="175"/>
      <c r="C173" s="191"/>
      <c r="D173" s="175">
        <f>SUM(C165:C172)</f>
        <v>13754925</v>
      </c>
      <c r="E173" s="175"/>
    </row>
    <row r="174" spans="1:5" ht="11.4" customHeight="1" x14ac:dyDescent="0.25">
      <c r="A174" s="251" t="s">
        <v>346</v>
      </c>
      <c r="B174" s="251"/>
      <c r="C174" s="251"/>
      <c r="D174" s="251"/>
      <c r="E174" s="251"/>
    </row>
    <row r="175" spans="1:5" ht="11.4" customHeight="1" x14ac:dyDescent="0.25">
      <c r="A175" s="173" t="s">
        <v>347</v>
      </c>
      <c r="B175" s="172" t="s">
        <v>274</v>
      </c>
      <c r="C175" s="189">
        <v>668543</v>
      </c>
      <c r="D175" s="175"/>
      <c r="E175" s="175"/>
    </row>
    <row r="176" spans="1:5" ht="11.4" customHeight="1" x14ac:dyDescent="0.25">
      <c r="A176" s="173" t="s">
        <v>348</v>
      </c>
      <c r="B176" s="172" t="s">
        <v>274</v>
      </c>
      <c r="C176" s="189">
        <v>963029</v>
      </c>
      <c r="D176" s="175"/>
      <c r="E176" s="175"/>
    </row>
    <row r="177" spans="1:5" ht="11.4" customHeight="1" x14ac:dyDescent="0.25">
      <c r="A177" s="173" t="s">
        <v>219</v>
      </c>
      <c r="B177" s="175"/>
      <c r="C177" s="191"/>
      <c r="D177" s="175">
        <f>SUM(C175:C176)</f>
        <v>1631572</v>
      </c>
      <c r="E177" s="175"/>
    </row>
    <row r="178" spans="1:5" ht="11.4" customHeight="1" x14ac:dyDescent="0.25">
      <c r="A178" s="251" t="s">
        <v>349</v>
      </c>
      <c r="B178" s="251"/>
      <c r="C178" s="251"/>
      <c r="D178" s="251"/>
      <c r="E178" s="251"/>
    </row>
    <row r="179" spans="1:5" ht="11.4" customHeight="1" x14ac:dyDescent="0.25">
      <c r="A179" s="173" t="s">
        <v>350</v>
      </c>
      <c r="B179" s="172" t="s">
        <v>274</v>
      </c>
      <c r="C179" s="189">
        <v>468648</v>
      </c>
      <c r="D179" s="175"/>
      <c r="E179" s="175"/>
    </row>
    <row r="180" spans="1:5" ht="11.4" customHeight="1" x14ac:dyDescent="0.25">
      <c r="A180" s="173" t="s">
        <v>351</v>
      </c>
      <c r="B180" s="172" t="s">
        <v>274</v>
      </c>
      <c r="C180" s="189">
        <v>228579</v>
      </c>
      <c r="D180" s="175"/>
      <c r="E180" s="175"/>
    </row>
    <row r="181" spans="1:5" ht="11.4" customHeight="1" x14ac:dyDescent="0.25">
      <c r="A181" s="173" t="s">
        <v>219</v>
      </c>
      <c r="B181" s="175"/>
      <c r="C181" s="191"/>
      <c r="D181" s="175">
        <f>SUM(C179:C180)</f>
        <v>697227</v>
      </c>
      <c r="E181" s="175"/>
    </row>
    <row r="182" spans="1:5" ht="11.4" customHeight="1" x14ac:dyDescent="0.25">
      <c r="A182" s="251" t="s">
        <v>352</v>
      </c>
      <c r="B182" s="251"/>
      <c r="C182" s="251"/>
      <c r="D182" s="251"/>
      <c r="E182" s="251"/>
    </row>
    <row r="183" spans="1:5" ht="11.4" customHeight="1" x14ac:dyDescent="0.25">
      <c r="A183" s="173" t="s">
        <v>353</v>
      </c>
      <c r="B183" s="172" t="s">
        <v>274</v>
      </c>
      <c r="C183" s="189"/>
      <c r="D183" s="175"/>
      <c r="E183" s="175"/>
    </row>
    <row r="184" spans="1:5" ht="11.4" customHeight="1" x14ac:dyDescent="0.25">
      <c r="A184" s="173" t="s">
        <v>354</v>
      </c>
      <c r="B184" s="172" t="s">
        <v>274</v>
      </c>
      <c r="C184" s="189">
        <v>106251</v>
      </c>
      <c r="D184" s="175"/>
      <c r="E184" s="175"/>
    </row>
    <row r="185" spans="1:5" ht="11.4" customHeight="1" x14ac:dyDescent="0.25">
      <c r="A185" s="173" t="s">
        <v>148</v>
      </c>
      <c r="B185" s="172" t="s">
        <v>274</v>
      </c>
      <c r="C185" s="189">
        <v>636790</v>
      </c>
      <c r="D185" s="175"/>
      <c r="E185" s="175"/>
    </row>
    <row r="186" spans="1:5" ht="11.4" customHeight="1" x14ac:dyDescent="0.25">
      <c r="A186" s="173" t="s">
        <v>219</v>
      </c>
      <c r="B186" s="175"/>
      <c r="C186" s="191"/>
      <c r="D186" s="175">
        <f>SUM(C183:C185)</f>
        <v>743041</v>
      </c>
      <c r="E186" s="175"/>
    </row>
    <row r="187" spans="1:5" ht="11.4" customHeight="1" x14ac:dyDescent="0.25">
      <c r="A187" s="251" t="s">
        <v>355</v>
      </c>
      <c r="B187" s="251"/>
      <c r="C187" s="251"/>
      <c r="D187" s="251"/>
      <c r="E187" s="251"/>
    </row>
    <row r="188" spans="1:5" ht="11.4" customHeight="1" x14ac:dyDescent="0.25">
      <c r="A188" s="173" t="s">
        <v>356</v>
      </c>
      <c r="B188" s="172" t="s">
        <v>274</v>
      </c>
      <c r="C188" s="189">
        <v>789379</v>
      </c>
      <c r="D188" s="175"/>
      <c r="E188" s="175"/>
    </row>
    <row r="189" spans="1:5" ht="11.4" customHeight="1" x14ac:dyDescent="0.25">
      <c r="A189" s="173" t="s">
        <v>357</v>
      </c>
      <c r="B189" s="172" t="s">
        <v>274</v>
      </c>
      <c r="C189" s="189">
        <v>219073</v>
      </c>
      <c r="D189" s="175"/>
      <c r="E189" s="175"/>
    </row>
    <row r="190" spans="1:5" ht="11.4" customHeight="1" x14ac:dyDescent="0.25">
      <c r="A190" s="173" t="s">
        <v>219</v>
      </c>
      <c r="B190" s="175"/>
      <c r="C190" s="191"/>
      <c r="D190" s="175">
        <f>SUM(C188:C189)</f>
        <v>1008452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358</v>
      </c>
      <c r="B192" s="205"/>
      <c r="C192" s="205"/>
      <c r="D192" s="205"/>
      <c r="E192" s="205"/>
    </row>
    <row r="193" spans="1:8" ht="12.6" customHeight="1" x14ac:dyDescent="0.25">
      <c r="A193" s="204" t="s">
        <v>359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360</v>
      </c>
      <c r="C194" s="182" t="s">
        <v>361</v>
      </c>
      <c r="D194" s="170" t="s">
        <v>362</v>
      </c>
      <c r="E194" s="170" t="s">
        <v>363</v>
      </c>
    </row>
    <row r="195" spans="1:8" ht="12.6" customHeight="1" x14ac:dyDescent="0.25">
      <c r="A195" s="173" t="s">
        <v>364</v>
      </c>
      <c r="B195" s="174">
        <v>718068</v>
      </c>
      <c r="C195" s="189">
        <v>839247</v>
      </c>
      <c r="D195" s="174">
        <v>7604</v>
      </c>
      <c r="E195" s="175">
        <f t="shared" ref="E195:E203" si="10">SUM(B195:C195)-D195</f>
        <v>1549711</v>
      </c>
    </row>
    <row r="196" spans="1:8" ht="12.6" customHeight="1" x14ac:dyDescent="0.25">
      <c r="A196" s="173" t="s">
        <v>365</v>
      </c>
      <c r="B196" s="174">
        <v>4028158</v>
      </c>
      <c r="C196" s="189"/>
      <c r="D196" s="174"/>
      <c r="E196" s="175">
        <f t="shared" si="10"/>
        <v>4028158</v>
      </c>
    </row>
    <row r="197" spans="1:8" ht="12.6" customHeight="1" x14ac:dyDescent="0.25">
      <c r="A197" s="173" t="s">
        <v>366</v>
      </c>
      <c r="B197" s="174">
        <v>39695927</v>
      </c>
      <c r="C197" s="189">
        <v>1121974</v>
      </c>
      <c r="D197" s="174">
        <v>60660</v>
      </c>
      <c r="E197" s="175">
        <f t="shared" si="10"/>
        <v>40757241</v>
      </c>
    </row>
    <row r="198" spans="1:8" ht="12.6" customHeight="1" x14ac:dyDescent="0.25">
      <c r="A198" s="173" t="s">
        <v>367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368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369</v>
      </c>
      <c r="B200" s="174">
        <v>38625118</v>
      </c>
      <c r="C200" s="189">
        <v>3176687</v>
      </c>
      <c r="D200" s="174">
        <v>2308525</v>
      </c>
      <c r="E200" s="175">
        <f t="shared" si="10"/>
        <v>39493280</v>
      </c>
    </row>
    <row r="201" spans="1:8" ht="12.6" customHeight="1" x14ac:dyDescent="0.25">
      <c r="A201" s="173" t="s">
        <v>370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371</v>
      </c>
      <c r="B202" s="174">
        <v>1292256</v>
      </c>
      <c r="C202" s="189">
        <v>68924</v>
      </c>
      <c r="D202" s="174"/>
      <c r="E202" s="175">
        <f t="shared" si="10"/>
        <v>1361180</v>
      </c>
    </row>
    <row r="203" spans="1:8" ht="12.6" customHeight="1" x14ac:dyDescent="0.25">
      <c r="A203" s="173" t="s">
        <v>372</v>
      </c>
      <c r="B203" s="174">
        <v>1536972</v>
      </c>
      <c r="C203" s="189">
        <v>3030884</v>
      </c>
      <c r="D203" s="174">
        <v>4074605</v>
      </c>
      <c r="E203" s="175">
        <f t="shared" si="10"/>
        <v>493251</v>
      </c>
    </row>
    <row r="204" spans="1:8" ht="12.6" customHeight="1" x14ac:dyDescent="0.25">
      <c r="A204" s="173" t="s">
        <v>219</v>
      </c>
      <c r="B204" s="175">
        <f>SUM(B195:B203)</f>
        <v>85896499</v>
      </c>
      <c r="C204" s="191">
        <f>SUM(C195:C203)</f>
        <v>8237716</v>
      </c>
      <c r="D204" s="175">
        <f>SUM(D195:D203)</f>
        <v>6451394</v>
      </c>
      <c r="E204" s="175">
        <f>SUM(E195:E203)</f>
        <v>87682821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373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360</v>
      </c>
      <c r="C207" s="182" t="s">
        <v>361</v>
      </c>
      <c r="D207" s="170" t="s">
        <v>362</v>
      </c>
      <c r="E207" s="170" t="s">
        <v>363</v>
      </c>
      <c r="H207" s="253"/>
    </row>
    <row r="208" spans="1:8" ht="12.6" customHeight="1" x14ac:dyDescent="0.25">
      <c r="A208" s="173" t="s">
        <v>364</v>
      </c>
      <c r="B208" s="178"/>
      <c r="C208" s="193"/>
      <c r="D208" s="178"/>
      <c r="E208" s="175"/>
      <c r="H208" s="253"/>
    </row>
    <row r="209" spans="1:8" ht="12.6" customHeight="1" x14ac:dyDescent="0.25">
      <c r="A209" s="173" t="s">
        <v>365</v>
      </c>
      <c r="B209" s="174">
        <v>1260239</v>
      </c>
      <c r="C209" s="189">
        <v>254804</v>
      </c>
      <c r="D209" s="174"/>
      <c r="E209" s="175">
        <f t="shared" ref="E209:E216" si="11">SUM(B209:C209)-D209</f>
        <v>1515043</v>
      </c>
      <c r="H209" s="253"/>
    </row>
    <row r="210" spans="1:8" ht="12.6" customHeight="1" x14ac:dyDescent="0.25">
      <c r="A210" s="173" t="s">
        <v>366</v>
      </c>
      <c r="B210" s="174">
        <v>18295333</v>
      </c>
      <c r="C210" s="189">
        <v>1847103</v>
      </c>
      <c r="D210" s="174"/>
      <c r="E210" s="175">
        <f t="shared" si="11"/>
        <v>20142436</v>
      </c>
      <c r="H210" s="253"/>
    </row>
    <row r="211" spans="1:8" ht="12.6" customHeight="1" x14ac:dyDescent="0.25">
      <c r="A211" s="173" t="s">
        <v>367</v>
      </c>
      <c r="B211" s="174"/>
      <c r="C211" s="189"/>
      <c r="D211" s="174"/>
      <c r="E211" s="175">
        <f t="shared" si="11"/>
        <v>0</v>
      </c>
      <c r="H211" s="253"/>
    </row>
    <row r="212" spans="1:8" ht="12.6" customHeight="1" x14ac:dyDescent="0.25">
      <c r="A212" s="173" t="s">
        <v>368</v>
      </c>
      <c r="B212" s="174"/>
      <c r="C212" s="189"/>
      <c r="D212" s="174"/>
      <c r="E212" s="175">
        <f t="shared" si="11"/>
        <v>0</v>
      </c>
      <c r="H212" s="253"/>
    </row>
    <row r="213" spans="1:8" ht="12.6" customHeight="1" x14ac:dyDescent="0.25">
      <c r="A213" s="173" t="s">
        <v>369</v>
      </c>
      <c r="B213" s="174">
        <v>22327543</v>
      </c>
      <c r="C213" s="189">
        <v>2504115</v>
      </c>
      <c r="D213" s="174">
        <v>2237747</v>
      </c>
      <c r="E213" s="175">
        <f t="shared" si="11"/>
        <v>22593911</v>
      </c>
      <c r="H213" s="253"/>
    </row>
    <row r="214" spans="1:8" ht="12.6" customHeight="1" x14ac:dyDescent="0.25">
      <c r="A214" s="173" t="s">
        <v>370</v>
      </c>
      <c r="B214" s="174"/>
      <c r="C214" s="189"/>
      <c r="D214" s="174"/>
      <c r="E214" s="175">
        <f t="shared" si="11"/>
        <v>0</v>
      </c>
      <c r="H214" s="253"/>
    </row>
    <row r="215" spans="1:8" ht="12.6" customHeight="1" x14ac:dyDescent="0.25">
      <c r="A215" s="173" t="s">
        <v>371</v>
      </c>
      <c r="B215" s="174">
        <v>641419</v>
      </c>
      <c r="C215" s="189">
        <v>137320</v>
      </c>
      <c r="D215" s="174"/>
      <c r="E215" s="175">
        <f t="shared" si="11"/>
        <v>778739</v>
      </c>
      <c r="H215" s="253"/>
    </row>
    <row r="216" spans="1:8" ht="12.6" customHeight="1" x14ac:dyDescent="0.25">
      <c r="A216" s="173" t="s">
        <v>372</v>
      </c>
      <c r="B216" s="174"/>
      <c r="C216" s="189"/>
      <c r="D216" s="174"/>
      <c r="E216" s="175">
        <f t="shared" si="11"/>
        <v>0</v>
      </c>
      <c r="H216" s="253"/>
    </row>
    <row r="217" spans="1:8" ht="12.6" customHeight="1" x14ac:dyDescent="0.25">
      <c r="A217" s="173" t="s">
        <v>219</v>
      </c>
      <c r="B217" s="175">
        <f>SUM(B208:B216)</f>
        <v>42524534</v>
      </c>
      <c r="C217" s="191">
        <f>SUM(C208:C216)</f>
        <v>4743342</v>
      </c>
      <c r="D217" s="175">
        <f>SUM(D208:D216)</f>
        <v>2237747</v>
      </c>
      <c r="E217" s="175">
        <f>SUM(E208:E216)</f>
        <v>45030129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374</v>
      </c>
      <c r="B219" s="205"/>
      <c r="C219" s="205"/>
      <c r="D219" s="205"/>
      <c r="E219" s="205"/>
    </row>
    <row r="220" spans="1:8" ht="12.6" customHeight="1" x14ac:dyDescent="0.25">
      <c r="A220" s="205"/>
      <c r="B220" s="278" t="s">
        <v>375</v>
      </c>
      <c r="C220" s="278"/>
      <c r="D220" s="205"/>
      <c r="E220" s="205"/>
    </row>
    <row r="221" spans="1:8" ht="12.6" customHeight="1" x14ac:dyDescent="0.25">
      <c r="A221" s="265" t="s">
        <v>375</v>
      </c>
      <c r="B221" s="205"/>
      <c r="C221" s="189">
        <v>4156476</v>
      </c>
      <c r="D221" s="172">
        <f>C221</f>
        <v>4156476</v>
      </c>
      <c r="E221" s="205"/>
    </row>
    <row r="222" spans="1:8" ht="12.6" customHeight="1" x14ac:dyDescent="0.25">
      <c r="A222" s="251" t="s">
        <v>376</v>
      </c>
      <c r="B222" s="251"/>
      <c r="C222" s="251"/>
      <c r="D222" s="251"/>
      <c r="E222" s="251"/>
    </row>
    <row r="223" spans="1:8" ht="12.6" customHeight="1" x14ac:dyDescent="0.25">
      <c r="A223" s="173" t="s">
        <v>377</v>
      </c>
      <c r="B223" s="172" t="s">
        <v>274</v>
      </c>
      <c r="C223" s="189">
        <v>91481892</v>
      </c>
      <c r="D223" s="175"/>
      <c r="E223" s="175"/>
    </row>
    <row r="224" spans="1:8" ht="12.6" customHeight="1" x14ac:dyDescent="0.25">
      <c r="A224" s="173" t="s">
        <v>378</v>
      </c>
      <c r="B224" s="172" t="s">
        <v>274</v>
      </c>
      <c r="C224" s="189">
        <v>22874598</v>
      </c>
      <c r="D224" s="175"/>
      <c r="E224" s="175"/>
    </row>
    <row r="225" spans="1:5" ht="12.6" customHeight="1" x14ac:dyDescent="0.25">
      <c r="A225" s="173" t="s">
        <v>379</v>
      </c>
      <c r="B225" s="172" t="s">
        <v>274</v>
      </c>
      <c r="C225" s="189">
        <v>1091919</v>
      </c>
      <c r="D225" s="175"/>
      <c r="E225" s="175"/>
    </row>
    <row r="226" spans="1:5" ht="12.6" customHeight="1" x14ac:dyDescent="0.25">
      <c r="A226" s="173" t="s">
        <v>380</v>
      </c>
      <c r="B226" s="172" t="s">
        <v>274</v>
      </c>
      <c r="C226" s="189"/>
      <c r="D226" s="175"/>
      <c r="E226" s="175"/>
    </row>
    <row r="227" spans="1:5" ht="12.6" customHeight="1" x14ac:dyDescent="0.25">
      <c r="A227" s="173" t="s">
        <v>381</v>
      </c>
      <c r="B227" s="172" t="s">
        <v>274</v>
      </c>
      <c r="C227" s="189"/>
      <c r="D227" s="175"/>
      <c r="E227" s="175"/>
    </row>
    <row r="228" spans="1:5" ht="12.6" customHeight="1" x14ac:dyDescent="0.25">
      <c r="A228" s="173" t="s">
        <v>382</v>
      </c>
      <c r="B228" s="172" t="s">
        <v>274</v>
      </c>
      <c r="C228" s="189"/>
      <c r="D228" s="175"/>
      <c r="E228" s="175"/>
    </row>
    <row r="229" spans="1:5" ht="12.6" customHeight="1" x14ac:dyDescent="0.25">
      <c r="A229" s="173" t="s">
        <v>383</v>
      </c>
      <c r="B229" s="175"/>
      <c r="C229" s="191"/>
      <c r="D229" s="175">
        <f>SUM(C223:C228)</f>
        <v>115448409</v>
      </c>
      <c r="E229" s="175"/>
    </row>
    <row r="230" spans="1:5" ht="12.6" customHeight="1" x14ac:dyDescent="0.25">
      <c r="A230" s="251" t="s">
        <v>384</v>
      </c>
      <c r="B230" s="251"/>
      <c r="C230" s="251"/>
      <c r="D230" s="251"/>
      <c r="E230" s="251"/>
    </row>
    <row r="231" spans="1:5" ht="12.6" customHeight="1" x14ac:dyDescent="0.25">
      <c r="A231" s="171" t="s">
        <v>385</v>
      </c>
      <c r="B231" s="172" t="s">
        <v>274</v>
      </c>
      <c r="C231" s="277">
        <v>1391</v>
      </c>
      <c r="D231" s="175"/>
      <c r="E231" s="175"/>
    </row>
    <row r="232" spans="1:5" ht="12.6" customHeight="1" x14ac:dyDescent="0.25">
      <c r="A232" s="171"/>
      <c r="B232" s="172"/>
      <c r="C232" s="229"/>
      <c r="D232" s="175"/>
      <c r="E232" s="175"/>
    </row>
    <row r="233" spans="1:5" ht="12.6" customHeight="1" x14ac:dyDescent="0.25">
      <c r="A233" s="171" t="s">
        <v>386</v>
      </c>
      <c r="B233" s="172" t="s">
        <v>274</v>
      </c>
      <c r="C233" s="277">
        <v>382468.23</v>
      </c>
      <c r="D233" s="175"/>
      <c r="E233" s="175"/>
    </row>
    <row r="234" spans="1:5" ht="12.6" customHeight="1" x14ac:dyDescent="0.25">
      <c r="A234" s="171" t="s">
        <v>387</v>
      </c>
      <c r="B234" s="172" t="s">
        <v>274</v>
      </c>
      <c r="C234" s="277">
        <v>2751177.57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388</v>
      </c>
      <c r="B236" s="175"/>
      <c r="C236" s="191"/>
      <c r="D236" s="175">
        <f>SUM(C233:C235)</f>
        <v>3133645.8</v>
      </c>
      <c r="E236" s="175"/>
    </row>
    <row r="237" spans="1:5" ht="12.6" customHeight="1" x14ac:dyDescent="0.25">
      <c r="A237" s="251" t="s">
        <v>389</v>
      </c>
      <c r="B237" s="251"/>
      <c r="C237" s="251"/>
      <c r="D237" s="251"/>
      <c r="E237" s="251"/>
    </row>
    <row r="238" spans="1:5" ht="12.6" customHeight="1" x14ac:dyDescent="0.25">
      <c r="A238" s="173" t="s">
        <v>390</v>
      </c>
      <c r="B238" s="172" t="s">
        <v>274</v>
      </c>
      <c r="C238" s="189"/>
      <c r="D238" s="175"/>
      <c r="E238" s="175"/>
    </row>
    <row r="239" spans="1:5" ht="12.6" customHeight="1" x14ac:dyDescent="0.25">
      <c r="A239" s="173" t="s">
        <v>389</v>
      </c>
      <c r="B239" s="172" t="s">
        <v>274</v>
      </c>
      <c r="C239" s="189">
        <v>21507076</v>
      </c>
      <c r="D239" s="175"/>
      <c r="E239" s="175"/>
    </row>
    <row r="240" spans="1:5" ht="12.6" customHeight="1" x14ac:dyDescent="0.25">
      <c r="A240" s="173" t="s">
        <v>391</v>
      </c>
      <c r="B240" s="175"/>
      <c r="C240" s="191"/>
      <c r="D240" s="175">
        <f>SUM(C238:C239)</f>
        <v>21507076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392</v>
      </c>
      <c r="B242" s="175"/>
      <c r="C242" s="191"/>
      <c r="D242" s="175">
        <f>D221+D229+D236+D240</f>
        <v>144245606.80000001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393</v>
      </c>
      <c r="B248" s="205"/>
      <c r="C248" s="205"/>
      <c r="D248" s="205"/>
      <c r="E248" s="205"/>
    </row>
    <row r="249" spans="1:5" ht="11.25" customHeight="1" x14ac:dyDescent="0.25">
      <c r="A249" s="251" t="s">
        <v>394</v>
      </c>
      <c r="B249" s="251"/>
      <c r="C249" s="251"/>
      <c r="D249" s="251"/>
      <c r="E249" s="251"/>
    </row>
    <row r="250" spans="1:5" ht="12.45" customHeight="1" x14ac:dyDescent="0.25">
      <c r="A250" s="173" t="s">
        <v>395</v>
      </c>
      <c r="B250" s="172" t="s">
        <v>274</v>
      </c>
      <c r="C250" s="189">
        <v>8201804</v>
      </c>
      <c r="D250" s="175"/>
      <c r="E250" s="175"/>
    </row>
    <row r="251" spans="1:5" ht="12.45" customHeight="1" x14ac:dyDescent="0.25">
      <c r="A251" s="173" t="s">
        <v>396</v>
      </c>
      <c r="B251" s="172" t="s">
        <v>274</v>
      </c>
      <c r="C251" s="189"/>
      <c r="D251" s="175"/>
      <c r="E251" s="175"/>
    </row>
    <row r="252" spans="1:5" ht="12.45" customHeight="1" x14ac:dyDescent="0.25">
      <c r="A252" s="173" t="s">
        <v>397</v>
      </c>
      <c r="B252" s="172" t="s">
        <v>274</v>
      </c>
      <c r="C252" s="277">
        <f>15665721+4017000</f>
        <v>19682721</v>
      </c>
      <c r="D252" s="175"/>
      <c r="E252" s="175"/>
    </row>
    <row r="253" spans="1:5" ht="12.45" customHeight="1" x14ac:dyDescent="0.25">
      <c r="A253" s="173" t="s">
        <v>398</v>
      </c>
      <c r="B253" s="172" t="s">
        <v>274</v>
      </c>
      <c r="C253" s="189">
        <v>4017000</v>
      </c>
      <c r="D253" s="175"/>
      <c r="E253" s="175"/>
    </row>
    <row r="254" spans="1:5" ht="12.45" customHeight="1" x14ac:dyDescent="0.25">
      <c r="A254" s="173" t="s">
        <v>399</v>
      </c>
      <c r="B254" s="172" t="s">
        <v>274</v>
      </c>
      <c r="C254" s="189">
        <v>4388214</v>
      </c>
      <c r="D254" s="175"/>
      <c r="E254" s="175"/>
    </row>
    <row r="255" spans="1:5" ht="12.45" customHeight="1" x14ac:dyDescent="0.25">
      <c r="A255" s="173" t="s">
        <v>400</v>
      </c>
      <c r="B255" s="172" t="s">
        <v>274</v>
      </c>
      <c r="C255" s="189">
        <v>730917</v>
      </c>
      <c r="D255" s="175"/>
      <c r="E255" s="175"/>
    </row>
    <row r="256" spans="1:5" ht="12.45" customHeight="1" x14ac:dyDescent="0.25">
      <c r="A256" s="173" t="s">
        <v>401</v>
      </c>
      <c r="B256" s="172" t="s">
        <v>274</v>
      </c>
      <c r="C256" s="189"/>
      <c r="D256" s="175"/>
      <c r="E256" s="175"/>
    </row>
    <row r="257" spans="1:5" ht="12.45" customHeight="1" x14ac:dyDescent="0.25">
      <c r="A257" s="173" t="s">
        <v>402</v>
      </c>
      <c r="B257" s="172" t="s">
        <v>274</v>
      </c>
      <c r="C257" s="189">
        <v>2423450</v>
      </c>
      <c r="D257" s="175"/>
      <c r="E257" s="175"/>
    </row>
    <row r="258" spans="1:5" ht="12.45" customHeight="1" x14ac:dyDescent="0.25">
      <c r="A258" s="173" t="s">
        <v>403</v>
      </c>
      <c r="B258" s="172" t="s">
        <v>274</v>
      </c>
      <c r="C258" s="189">
        <v>1047875</v>
      </c>
      <c r="D258" s="175"/>
      <c r="E258" s="175"/>
    </row>
    <row r="259" spans="1:5" ht="12.45" customHeight="1" x14ac:dyDescent="0.25">
      <c r="A259" s="173" t="s">
        <v>404</v>
      </c>
      <c r="B259" s="172" t="s">
        <v>274</v>
      </c>
      <c r="C259" s="189"/>
      <c r="D259" s="175"/>
      <c r="E259" s="175"/>
    </row>
    <row r="260" spans="1:5" ht="12.45" customHeight="1" x14ac:dyDescent="0.25">
      <c r="A260" s="173" t="s">
        <v>405</v>
      </c>
      <c r="B260" s="175"/>
      <c r="C260" s="191"/>
      <c r="D260" s="175">
        <f>SUM(C250:C252)-C253+SUM(C254:C259)</f>
        <v>32457981</v>
      </c>
      <c r="E260" s="175"/>
    </row>
    <row r="261" spans="1:5" ht="11.25" customHeight="1" x14ac:dyDescent="0.25">
      <c r="A261" s="251" t="s">
        <v>406</v>
      </c>
      <c r="B261" s="251"/>
      <c r="C261" s="251"/>
      <c r="D261" s="251"/>
      <c r="E261" s="251"/>
    </row>
    <row r="262" spans="1:5" ht="12.45" customHeight="1" x14ac:dyDescent="0.25">
      <c r="A262" s="173" t="s">
        <v>395</v>
      </c>
      <c r="B262" s="172" t="s">
        <v>274</v>
      </c>
      <c r="C262" s="189">
        <v>22009774</v>
      </c>
      <c r="D262" s="175"/>
      <c r="E262" s="175"/>
    </row>
    <row r="263" spans="1:5" ht="12.45" customHeight="1" x14ac:dyDescent="0.25">
      <c r="A263" s="173" t="s">
        <v>396</v>
      </c>
      <c r="B263" s="172" t="s">
        <v>274</v>
      </c>
      <c r="C263" s="189"/>
      <c r="D263" s="175"/>
      <c r="E263" s="175"/>
    </row>
    <row r="264" spans="1:5" ht="12.45" customHeight="1" x14ac:dyDescent="0.25">
      <c r="A264" s="173" t="s">
        <v>407</v>
      </c>
      <c r="B264" s="172" t="s">
        <v>274</v>
      </c>
      <c r="C264" s="189">
        <v>11249</v>
      </c>
      <c r="D264" s="175"/>
      <c r="E264" s="175"/>
    </row>
    <row r="265" spans="1:5" ht="12.45" customHeight="1" x14ac:dyDescent="0.25">
      <c r="A265" s="173" t="s">
        <v>408</v>
      </c>
      <c r="B265" s="175"/>
      <c r="C265" s="191"/>
      <c r="D265" s="175">
        <f>SUM(C262:C264)</f>
        <v>22021023</v>
      </c>
      <c r="E265" s="175"/>
    </row>
    <row r="266" spans="1:5" ht="11.25" customHeight="1" x14ac:dyDescent="0.25">
      <c r="A266" s="251" t="s">
        <v>409</v>
      </c>
      <c r="B266" s="251"/>
      <c r="C266" s="251"/>
      <c r="D266" s="251"/>
      <c r="E266" s="251"/>
    </row>
    <row r="267" spans="1:5" ht="12.45" customHeight="1" x14ac:dyDescent="0.25">
      <c r="A267" s="173" t="s">
        <v>364</v>
      </c>
      <c r="B267" s="172" t="s">
        <v>274</v>
      </c>
      <c r="C267" s="189">
        <v>1549711</v>
      </c>
      <c r="D267" s="175"/>
      <c r="E267" s="175"/>
    </row>
    <row r="268" spans="1:5" ht="12.45" customHeight="1" x14ac:dyDescent="0.25">
      <c r="A268" s="173" t="s">
        <v>365</v>
      </c>
      <c r="B268" s="172" t="s">
        <v>274</v>
      </c>
      <c r="C268" s="189">
        <v>4028158</v>
      </c>
      <c r="D268" s="175"/>
      <c r="E268" s="175"/>
    </row>
    <row r="269" spans="1:5" ht="12.45" customHeight="1" x14ac:dyDescent="0.25">
      <c r="A269" s="173" t="s">
        <v>366</v>
      </c>
      <c r="B269" s="172" t="s">
        <v>274</v>
      </c>
      <c r="C269" s="189">
        <v>40757243</v>
      </c>
      <c r="D269" s="175"/>
      <c r="E269" s="175"/>
    </row>
    <row r="270" spans="1:5" ht="12.45" customHeight="1" x14ac:dyDescent="0.25">
      <c r="A270" s="173" t="s">
        <v>410</v>
      </c>
      <c r="B270" s="172" t="s">
        <v>274</v>
      </c>
      <c r="C270" s="189"/>
      <c r="D270" s="175"/>
      <c r="E270" s="175"/>
    </row>
    <row r="271" spans="1:5" ht="12.45" customHeight="1" x14ac:dyDescent="0.25">
      <c r="A271" s="173" t="s">
        <v>411</v>
      </c>
      <c r="B271" s="172" t="s">
        <v>274</v>
      </c>
      <c r="C271" s="189"/>
      <c r="D271" s="175"/>
      <c r="E271" s="175"/>
    </row>
    <row r="272" spans="1:5" ht="12.45" customHeight="1" x14ac:dyDescent="0.25">
      <c r="A272" s="173" t="s">
        <v>412</v>
      </c>
      <c r="B272" s="172" t="s">
        <v>274</v>
      </c>
      <c r="C272" s="189">
        <f>39493280</f>
        <v>39493280</v>
      </c>
      <c r="D272" s="175"/>
      <c r="E272" s="175"/>
    </row>
    <row r="273" spans="1:5" ht="12.45" customHeight="1" x14ac:dyDescent="0.25">
      <c r="A273" s="173" t="s">
        <v>371</v>
      </c>
      <c r="B273" s="172" t="s">
        <v>274</v>
      </c>
      <c r="C273" s="189">
        <v>1361180</v>
      </c>
      <c r="D273" s="175"/>
      <c r="E273" s="175"/>
    </row>
    <row r="274" spans="1:5" ht="12.45" customHeight="1" x14ac:dyDescent="0.25">
      <c r="A274" s="173" t="s">
        <v>372</v>
      </c>
      <c r="B274" s="172" t="s">
        <v>274</v>
      </c>
      <c r="C274" s="189">
        <v>493251</v>
      </c>
      <c r="D274" s="175"/>
      <c r="E274" s="175"/>
    </row>
    <row r="275" spans="1:5" ht="12.45" customHeight="1" x14ac:dyDescent="0.25">
      <c r="A275" s="173" t="s">
        <v>413</v>
      </c>
      <c r="B275" s="175"/>
      <c r="C275" s="191"/>
      <c r="D275" s="175">
        <f>SUM(C267:C274)</f>
        <v>87682823</v>
      </c>
      <c r="E275" s="175"/>
    </row>
    <row r="276" spans="1:5" ht="12.6" customHeight="1" x14ac:dyDescent="0.25">
      <c r="A276" s="173" t="s">
        <v>414</v>
      </c>
      <c r="B276" s="172" t="s">
        <v>274</v>
      </c>
      <c r="C276" s="189">
        <v>45030131</v>
      </c>
      <c r="D276" s="175"/>
      <c r="E276" s="175"/>
    </row>
    <row r="277" spans="1:5" ht="12.6" customHeight="1" x14ac:dyDescent="0.25">
      <c r="A277" s="173" t="s">
        <v>415</v>
      </c>
      <c r="B277" s="175"/>
      <c r="C277" s="191"/>
      <c r="D277" s="175">
        <f>D275-C276</f>
        <v>42652692</v>
      </c>
      <c r="E277" s="175"/>
    </row>
    <row r="278" spans="1:5" ht="12.6" customHeight="1" x14ac:dyDescent="0.25">
      <c r="A278" s="251" t="s">
        <v>416</v>
      </c>
      <c r="B278" s="251"/>
      <c r="C278" s="251"/>
      <c r="D278" s="251"/>
      <c r="E278" s="251"/>
    </row>
    <row r="279" spans="1:5" ht="12.6" customHeight="1" x14ac:dyDescent="0.25">
      <c r="A279" s="173" t="s">
        <v>417</v>
      </c>
      <c r="B279" s="172" t="s">
        <v>274</v>
      </c>
      <c r="C279" s="189"/>
      <c r="D279" s="175"/>
      <c r="E279" s="175"/>
    </row>
    <row r="280" spans="1:5" ht="12.6" customHeight="1" x14ac:dyDescent="0.25">
      <c r="A280" s="173" t="s">
        <v>418</v>
      </c>
      <c r="B280" s="172" t="s">
        <v>274</v>
      </c>
      <c r="C280" s="189"/>
      <c r="D280" s="175"/>
      <c r="E280" s="175"/>
    </row>
    <row r="281" spans="1:5" ht="12.6" customHeight="1" x14ac:dyDescent="0.25">
      <c r="A281" s="173" t="s">
        <v>419</v>
      </c>
      <c r="B281" s="172" t="s">
        <v>274</v>
      </c>
      <c r="C281" s="189"/>
      <c r="D281" s="175"/>
      <c r="E281" s="175"/>
    </row>
    <row r="282" spans="1:5" ht="12.6" customHeight="1" x14ac:dyDescent="0.25">
      <c r="A282" s="173" t="s">
        <v>407</v>
      </c>
      <c r="B282" s="172" t="s">
        <v>274</v>
      </c>
      <c r="C282" s="189"/>
      <c r="D282" s="175"/>
      <c r="E282" s="175"/>
    </row>
    <row r="283" spans="1:5" ht="12.6" customHeight="1" x14ac:dyDescent="0.25">
      <c r="A283" s="173" t="s">
        <v>420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1" t="s">
        <v>421</v>
      </c>
      <c r="B285" s="251"/>
      <c r="C285" s="251"/>
      <c r="D285" s="251"/>
      <c r="E285" s="251"/>
    </row>
    <row r="286" spans="1:5" ht="12.6" customHeight="1" x14ac:dyDescent="0.25">
      <c r="A286" s="173" t="s">
        <v>422</v>
      </c>
      <c r="B286" s="172" t="s">
        <v>274</v>
      </c>
      <c r="C286" s="189"/>
      <c r="D286" s="175"/>
      <c r="E286" s="175"/>
    </row>
    <row r="287" spans="1:5" ht="12.6" customHeight="1" x14ac:dyDescent="0.25">
      <c r="A287" s="173" t="s">
        <v>423</v>
      </c>
      <c r="B287" s="172" t="s">
        <v>274</v>
      </c>
      <c r="C287" s="189"/>
      <c r="D287" s="175"/>
      <c r="E287" s="175"/>
    </row>
    <row r="288" spans="1:5" ht="12.6" customHeight="1" x14ac:dyDescent="0.25">
      <c r="A288" s="173" t="s">
        <v>424</v>
      </c>
      <c r="B288" s="172" t="s">
        <v>274</v>
      </c>
      <c r="C288" s="189"/>
      <c r="D288" s="175"/>
      <c r="E288" s="175"/>
    </row>
    <row r="289" spans="1:5" ht="12.6" customHeight="1" x14ac:dyDescent="0.25">
      <c r="A289" s="173" t="s">
        <v>425</v>
      </c>
      <c r="B289" s="172" t="s">
        <v>274</v>
      </c>
      <c r="C289" s="189"/>
      <c r="D289" s="175"/>
      <c r="E289" s="175"/>
    </row>
    <row r="290" spans="1:5" ht="12.6" customHeight="1" x14ac:dyDescent="0.25">
      <c r="A290" s="173" t="s">
        <v>426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427</v>
      </c>
      <c r="B292" s="175"/>
      <c r="C292" s="191"/>
      <c r="D292" s="175">
        <f>D260+D265+D277+D283+D290</f>
        <v>97131696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428</v>
      </c>
      <c r="B302" s="205"/>
      <c r="C302" s="205"/>
      <c r="D302" s="205"/>
      <c r="E302" s="205"/>
    </row>
    <row r="303" spans="1:5" ht="14.25" customHeight="1" x14ac:dyDescent="0.25">
      <c r="A303" s="251" t="s">
        <v>429</v>
      </c>
      <c r="B303" s="251"/>
      <c r="C303" s="251"/>
      <c r="D303" s="251"/>
      <c r="E303" s="251"/>
    </row>
    <row r="304" spans="1:5" ht="12.6" customHeight="1" x14ac:dyDescent="0.25">
      <c r="A304" s="173" t="s">
        <v>430</v>
      </c>
      <c r="B304" s="172" t="s">
        <v>274</v>
      </c>
      <c r="C304" s="189"/>
      <c r="D304" s="175"/>
      <c r="E304" s="175"/>
    </row>
    <row r="305" spans="1:5" ht="12.6" customHeight="1" x14ac:dyDescent="0.25">
      <c r="A305" s="173" t="s">
        <v>431</v>
      </c>
      <c r="B305" s="172" t="s">
        <v>274</v>
      </c>
      <c r="C305" s="189">
        <v>1947897</v>
      </c>
      <c r="D305" s="175"/>
      <c r="E305" s="175"/>
    </row>
    <row r="306" spans="1:5" ht="12.6" customHeight="1" x14ac:dyDescent="0.25">
      <c r="A306" s="173" t="s">
        <v>432</v>
      </c>
      <c r="B306" s="172" t="s">
        <v>274</v>
      </c>
      <c r="C306" s="189">
        <v>6257515</v>
      </c>
      <c r="D306" s="175"/>
      <c r="E306" s="175"/>
    </row>
    <row r="307" spans="1:5" ht="12.6" customHeight="1" x14ac:dyDescent="0.25">
      <c r="A307" s="173" t="s">
        <v>433</v>
      </c>
      <c r="B307" s="172" t="s">
        <v>274</v>
      </c>
      <c r="C307" s="189"/>
      <c r="D307" s="175"/>
      <c r="E307" s="175"/>
    </row>
    <row r="308" spans="1:5" ht="12.6" customHeight="1" x14ac:dyDescent="0.25">
      <c r="A308" s="173" t="s">
        <v>434</v>
      </c>
      <c r="B308" s="172" t="s">
        <v>274</v>
      </c>
      <c r="C308" s="189"/>
      <c r="D308" s="175"/>
      <c r="E308" s="175"/>
    </row>
    <row r="309" spans="1:5" ht="12.6" customHeight="1" x14ac:dyDescent="0.25">
      <c r="A309" s="173" t="s">
        <v>435</v>
      </c>
      <c r="B309" s="172" t="s">
        <v>274</v>
      </c>
      <c r="C309" s="189"/>
      <c r="D309" s="175"/>
      <c r="E309" s="175"/>
    </row>
    <row r="310" spans="1:5" ht="12.6" customHeight="1" x14ac:dyDescent="0.25">
      <c r="A310" s="173" t="s">
        <v>436</v>
      </c>
      <c r="B310" s="172" t="s">
        <v>274</v>
      </c>
      <c r="C310" s="189"/>
      <c r="D310" s="175"/>
      <c r="E310" s="175"/>
    </row>
    <row r="311" spans="1:5" ht="12.6" customHeight="1" x14ac:dyDescent="0.25">
      <c r="A311" s="173" t="s">
        <v>437</v>
      </c>
      <c r="B311" s="172" t="s">
        <v>274</v>
      </c>
      <c r="C311" s="189"/>
      <c r="D311" s="175"/>
      <c r="E311" s="175"/>
    </row>
    <row r="312" spans="1:5" ht="12.6" customHeight="1" x14ac:dyDescent="0.25">
      <c r="A312" s="173" t="s">
        <v>438</v>
      </c>
      <c r="B312" s="172" t="s">
        <v>274</v>
      </c>
      <c r="C312" s="189">
        <v>589168</v>
      </c>
      <c r="D312" s="175"/>
      <c r="E312" s="175"/>
    </row>
    <row r="313" spans="1:5" ht="12.6" customHeight="1" x14ac:dyDescent="0.25">
      <c r="A313" s="173" t="s">
        <v>439</v>
      </c>
      <c r="B313" s="172" t="s">
        <v>274</v>
      </c>
      <c r="C313" s="189"/>
      <c r="D313" s="175"/>
      <c r="E313" s="175"/>
    </row>
    <row r="314" spans="1:5" ht="12.6" customHeight="1" x14ac:dyDescent="0.25">
      <c r="A314" s="173" t="s">
        <v>440</v>
      </c>
      <c r="B314" s="175"/>
      <c r="C314" s="191"/>
      <c r="D314" s="175">
        <f>SUM(C304:C313)</f>
        <v>8794580</v>
      </c>
      <c r="E314" s="175"/>
    </row>
    <row r="315" spans="1:5" ht="12.6" customHeight="1" x14ac:dyDescent="0.25">
      <c r="A315" s="251" t="s">
        <v>441</v>
      </c>
      <c r="B315" s="251"/>
      <c r="C315" s="251"/>
      <c r="D315" s="251"/>
      <c r="E315" s="251"/>
    </row>
    <row r="316" spans="1:5" ht="12.6" customHeight="1" x14ac:dyDescent="0.25">
      <c r="A316" s="173" t="s">
        <v>442</v>
      </c>
      <c r="B316" s="172" t="s">
        <v>274</v>
      </c>
      <c r="C316" s="189"/>
      <c r="D316" s="175"/>
      <c r="E316" s="175"/>
    </row>
    <row r="317" spans="1:5" ht="12.6" customHeight="1" x14ac:dyDescent="0.25">
      <c r="A317" s="173" t="s">
        <v>443</v>
      </c>
      <c r="B317" s="172" t="s">
        <v>274</v>
      </c>
      <c r="C317" s="189"/>
      <c r="D317" s="175"/>
      <c r="E317" s="175"/>
    </row>
    <row r="318" spans="1:5" ht="12.6" customHeight="1" x14ac:dyDescent="0.25">
      <c r="A318" s="173" t="s">
        <v>444</v>
      </c>
      <c r="B318" s="172" t="s">
        <v>274</v>
      </c>
      <c r="C318" s="189"/>
      <c r="D318" s="175"/>
      <c r="E318" s="175"/>
    </row>
    <row r="319" spans="1:5" ht="12.6" customHeight="1" x14ac:dyDescent="0.25">
      <c r="A319" s="173" t="s">
        <v>445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1" t="s">
        <v>446</v>
      </c>
      <c r="B320" s="251"/>
      <c r="C320" s="251"/>
      <c r="D320" s="251"/>
      <c r="E320" s="251"/>
    </row>
    <row r="321" spans="1:5" ht="12.6" customHeight="1" x14ac:dyDescent="0.25">
      <c r="A321" s="173" t="s">
        <v>447</v>
      </c>
      <c r="B321" s="172" t="s">
        <v>274</v>
      </c>
      <c r="C321" s="189"/>
      <c r="D321" s="175"/>
      <c r="E321" s="175"/>
    </row>
    <row r="322" spans="1:5" ht="12.6" customHeight="1" x14ac:dyDescent="0.25">
      <c r="A322" s="173" t="s">
        <v>448</v>
      </c>
      <c r="B322" s="172" t="s">
        <v>274</v>
      </c>
      <c r="C322" s="189"/>
      <c r="D322" s="175"/>
      <c r="E322" s="175"/>
    </row>
    <row r="323" spans="1:5" ht="12.6" customHeight="1" x14ac:dyDescent="0.25">
      <c r="A323" s="173" t="s">
        <v>449</v>
      </c>
      <c r="B323" s="172" t="s">
        <v>274</v>
      </c>
      <c r="C323" s="189">
        <v>3544313</v>
      </c>
      <c r="D323" s="175"/>
      <c r="E323" s="175"/>
    </row>
    <row r="324" spans="1:5" ht="12.6" customHeight="1" x14ac:dyDescent="0.25">
      <c r="A324" s="171" t="s">
        <v>450</v>
      </c>
      <c r="B324" s="172" t="s">
        <v>274</v>
      </c>
      <c r="C324" s="189"/>
      <c r="D324" s="175"/>
      <c r="E324" s="175"/>
    </row>
    <row r="325" spans="1:5" ht="12.6" customHeight="1" x14ac:dyDescent="0.25">
      <c r="A325" s="173" t="s">
        <v>451</v>
      </c>
      <c r="B325" s="172" t="s">
        <v>274</v>
      </c>
      <c r="C325" s="277">
        <f>1252146+23682312</f>
        <v>24934458</v>
      </c>
      <c r="D325" s="175"/>
      <c r="E325" s="175"/>
    </row>
    <row r="326" spans="1:5" ht="12.6" customHeight="1" x14ac:dyDescent="0.25">
      <c r="A326" s="171" t="s">
        <v>452</v>
      </c>
      <c r="B326" s="172" t="s">
        <v>274</v>
      </c>
      <c r="C326" s="189"/>
      <c r="D326" s="175"/>
      <c r="E326" s="175"/>
    </row>
    <row r="327" spans="1:5" ht="12.6" customHeight="1" x14ac:dyDescent="0.25">
      <c r="A327" s="173" t="s">
        <v>453</v>
      </c>
      <c r="B327" s="172" t="s">
        <v>274</v>
      </c>
      <c r="C327" s="189"/>
      <c r="D327" s="175"/>
      <c r="E327" s="175"/>
    </row>
    <row r="328" spans="1:5" ht="19.5" customHeight="1" x14ac:dyDescent="0.25">
      <c r="A328" s="173" t="s">
        <v>219</v>
      </c>
      <c r="B328" s="175"/>
      <c r="C328" s="191"/>
      <c r="D328" s="175">
        <f>SUM(C321:C327)</f>
        <v>28478771</v>
      </c>
      <c r="E328" s="175"/>
    </row>
    <row r="329" spans="1:5" ht="12.6" customHeight="1" x14ac:dyDescent="0.25">
      <c r="A329" s="173" t="s">
        <v>454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455</v>
      </c>
      <c r="B330" s="175"/>
      <c r="C330" s="191"/>
      <c r="D330" s="175">
        <f>D328-D329</f>
        <v>28478771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456</v>
      </c>
      <c r="B332" s="172" t="s">
        <v>274</v>
      </c>
      <c r="C332" s="217">
        <v>59858345</v>
      </c>
      <c r="D332" s="175"/>
      <c r="E332" s="175"/>
    </row>
    <row r="333" spans="1:5" ht="12.6" customHeight="1" x14ac:dyDescent="0.25">
      <c r="A333" s="173"/>
      <c r="B333" s="172"/>
      <c r="C333" s="226"/>
      <c r="D333" s="175"/>
      <c r="E333" s="175"/>
    </row>
    <row r="334" spans="1:5" ht="12.6" customHeight="1" x14ac:dyDescent="0.25">
      <c r="A334" s="173" t="s">
        <v>457</v>
      </c>
      <c r="B334" s="172" t="s">
        <v>274</v>
      </c>
      <c r="C334" s="217"/>
      <c r="D334" s="175"/>
      <c r="E334" s="175"/>
    </row>
    <row r="335" spans="1:5" ht="12.6" customHeight="1" x14ac:dyDescent="0.25">
      <c r="A335" s="173" t="s">
        <v>458</v>
      </c>
      <c r="B335" s="172" t="s">
        <v>274</v>
      </c>
      <c r="C335" s="217"/>
      <c r="D335" s="175"/>
      <c r="E335" s="175"/>
    </row>
    <row r="336" spans="1:5" ht="12.6" customHeight="1" x14ac:dyDescent="0.25">
      <c r="A336" s="173" t="s">
        <v>459</v>
      </c>
      <c r="B336" s="172" t="s">
        <v>274</v>
      </c>
      <c r="C336" s="217"/>
      <c r="D336" s="175"/>
      <c r="E336" s="175"/>
    </row>
    <row r="337" spans="1:5" ht="12.6" customHeight="1" x14ac:dyDescent="0.25">
      <c r="A337" s="173" t="s">
        <v>460</v>
      </c>
      <c r="B337" s="172" t="s">
        <v>274</v>
      </c>
      <c r="C337" s="189"/>
      <c r="D337" s="175"/>
      <c r="E337" s="175"/>
    </row>
    <row r="338" spans="1:5" ht="12.6" customHeight="1" x14ac:dyDescent="0.25">
      <c r="A338" s="173" t="s">
        <v>461</v>
      </c>
      <c r="B338" s="172" t="s">
        <v>274</v>
      </c>
      <c r="C338" s="189"/>
      <c r="D338" s="175"/>
      <c r="E338" s="175"/>
    </row>
    <row r="339" spans="1:5" ht="12.6" customHeight="1" x14ac:dyDescent="0.25">
      <c r="A339" s="173" t="s">
        <v>462</v>
      </c>
      <c r="B339" s="175"/>
      <c r="C339" s="191"/>
      <c r="D339" s="175">
        <f>D314+D319+D330+C332+C336+C337</f>
        <v>97131696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463</v>
      </c>
      <c r="B341" s="175"/>
      <c r="C341" s="191"/>
      <c r="D341" s="175">
        <f>D292</f>
        <v>97131696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464</v>
      </c>
      <c r="B357" s="205"/>
      <c r="C357" s="205"/>
      <c r="D357" s="205"/>
      <c r="E357" s="205"/>
    </row>
    <row r="358" spans="1:5" ht="12.6" customHeight="1" x14ac:dyDescent="0.25">
      <c r="A358" s="251" t="s">
        <v>465</v>
      </c>
      <c r="B358" s="251"/>
      <c r="C358" s="251"/>
      <c r="D358" s="251"/>
      <c r="E358" s="251"/>
    </row>
    <row r="359" spans="1:5" ht="12.6" customHeight="1" x14ac:dyDescent="0.25">
      <c r="A359" s="173" t="s">
        <v>466</v>
      </c>
      <c r="B359" s="172" t="s">
        <v>274</v>
      </c>
      <c r="C359" s="189">
        <v>45443363</v>
      </c>
      <c r="D359" s="175"/>
      <c r="E359" s="175"/>
    </row>
    <row r="360" spans="1:5" ht="12.6" customHeight="1" x14ac:dyDescent="0.25">
      <c r="A360" s="173" t="s">
        <v>467</v>
      </c>
      <c r="B360" s="172" t="s">
        <v>274</v>
      </c>
      <c r="C360" s="189">
        <v>215960869</v>
      </c>
      <c r="D360" s="175"/>
      <c r="E360" s="175"/>
    </row>
    <row r="361" spans="1:5" ht="12.6" customHeight="1" x14ac:dyDescent="0.25">
      <c r="A361" s="173" t="s">
        <v>468</v>
      </c>
      <c r="B361" s="175"/>
      <c r="C361" s="191"/>
      <c r="D361" s="175">
        <f>SUM(C359:C360)</f>
        <v>261404232</v>
      </c>
      <c r="E361" s="175"/>
    </row>
    <row r="362" spans="1:5" ht="12.6" customHeight="1" x14ac:dyDescent="0.25">
      <c r="A362" s="251" t="s">
        <v>469</v>
      </c>
      <c r="B362" s="251"/>
      <c r="C362" s="251"/>
      <c r="D362" s="251"/>
      <c r="E362" s="251"/>
    </row>
    <row r="363" spans="1:5" ht="12.6" customHeight="1" x14ac:dyDescent="0.25">
      <c r="A363" s="173" t="s">
        <v>375</v>
      </c>
      <c r="B363" s="251"/>
      <c r="C363" s="189">
        <v>4156476</v>
      </c>
      <c r="D363" s="175"/>
      <c r="E363" s="251"/>
    </row>
    <row r="364" spans="1:5" ht="12.6" customHeight="1" x14ac:dyDescent="0.25">
      <c r="A364" s="173" t="s">
        <v>470</v>
      </c>
      <c r="B364" s="172" t="s">
        <v>274</v>
      </c>
      <c r="C364" s="189">
        <v>115448409</v>
      </c>
      <c r="D364" s="175"/>
      <c r="E364" s="175"/>
    </row>
    <row r="365" spans="1:5" ht="12.6" customHeight="1" x14ac:dyDescent="0.25">
      <c r="A365" s="173" t="s">
        <v>471</v>
      </c>
      <c r="B365" s="172" t="s">
        <v>274</v>
      </c>
      <c r="C365" s="189">
        <v>3133646</v>
      </c>
      <c r="D365" s="175"/>
      <c r="E365" s="175"/>
    </row>
    <row r="366" spans="1:5" ht="12.6" customHeight="1" x14ac:dyDescent="0.25">
      <c r="A366" s="173" t="s">
        <v>472</v>
      </c>
      <c r="B366" s="172" t="s">
        <v>274</v>
      </c>
      <c r="C366" s="189">
        <v>21507076</v>
      </c>
      <c r="D366" s="175"/>
      <c r="E366" s="175"/>
    </row>
    <row r="367" spans="1:5" ht="12.6" customHeight="1" x14ac:dyDescent="0.25">
      <c r="A367" s="173" t="s">
        <v>392</v>
      </c>
      <c r="B367" s="175"/>
      <c r="C367" s="191"/>
      <c r="D367" s="175">
        <f>SUM(C363:C366)</f>
        <v>144245607</v>
      </c>
      <c r="E367" s="175"/>
    </row>
    <row r="368" spans="1:5" ht="12.6" customHeight="1" x14ac:dyDescent="0.25">
      <c r="A368" s="173" t="s">
        <v>473</v>
      </c>
      <c r="B368" s="175"/>
      <c r="C368" s="191"/>
      <c r="D368" s="175">
        <f>D361-D367</f>
        <v>117158625</v>
      </c>
      <c r="E368" s="175"/>
    </row>
    <row r="369" spans="1:5" ht="12.6" customHeight="1" x14ac:dyDescent="0.25">
      <c r="A369" s="251" t="s">
        <v>474</v>
      </c>
      <c r="B369" s="251"/>
      <c r="C369" s="251"/>
      <c r="D369" s="251"/>
      <c r="E369" s="251"/>
    </row>
    <row r="370" spans="1:5" ht="12.6" customHeight="1" x14ac:dyDescent="0.25">
      <c r="A370" s="173" t="s">
        <v>475</v>
      </c>
      <c r="B370" s="172" t="s">
        <v>274</v>
      </c>
      <c r="C370" s="189">
        <f>3758360+88943+2163756-472196</f>
        <v>5538863</v>
      </c>
      <c r="D370" s="175"/>
      <c r="E370" s="175"/>
    </row>
    <row r="371" spans="1:5" ht="12.6" customHeight="1" x14ac:dyDescent="0.25">
      <c r="A371" s="173" t="s">
        <v>476</v>
      </c>
      <c r="B371" s="172" t="s">
        <v>274</v>
      </c>
      <c r="C371" s="189">
        <v>472196</v>
      </c>
      <c r="D371" s="175"/>
      <c r="E371" s="175"/>
    </row>
    <row r="372" spans="1:5" ht="12.6" customHeight="1" x14ac:dyDescent="0.25">
      <c r="A372" s="173" t="s">
        <v>477</v>
      </c>
      <c r="B372" s="175"/>
      <c r="C372" s="191"/>
      <c r="D372" s="175">
        <f>SUM(C370:C371)</f>
        <v>6011059</v>
      </c>
      <c r="E372" s="175"/>
    </row>
    <row r="373" spans="1:5" ht="12.6" customHeight="1" x14ac:dyDescent="0.25">
      <c r="A373" s="173" t="s">
        <v>478</v>
      </c>
      <c r="B373" s="175"/>
      <c r="C373" s="191"/>
      <c r="D373" s="175">
        <f>D368+D372</f>
        <v>123169684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1" t="s">
        <v>479</v>
      </c>
      <c r="B377" s="251"/>
      <c r="C377" s="251"/>
      <c r="D377" s="251"/>
      <c r="E377" s="251"/>
    </row>
    <row r="378" spans="1:5" ht="12.6" customHeight="1" x14ac:dyDescent="0.25">
      <c r="A378" s="173" t="s">
        <v>480</v>
      </c>
      <c r="B378" s="172" t="s">
        <v>274</v>
      </c>
      <c r="C378" s="189">
        <v>57874283</v>
      </c>
      <c r="D378" s="175"/>
      <c r="E378" s="175"/>
    </row>
    <row r="379" spans="1:5" ht="12.6" customHeight="1" x14ac:dyDescent="0.25">
      <c r="A379" s="173" t="s">
        <v>13</v>
      </c>
      <c r="B379" s="172" t="s">
        <v>274</v>
      </c>
      <c r="C379" s="189">
        <v>13754925</v>
      </c>
      <c r="D379" s="175"/>
      <c r="E379" s="175"/>
    </row>
    <row r="380" spans="1:5" ht="12.6" customHeight="1" x14ac:dyDescent="0.25">
      <c r="A380" s="173" t="s">
        <v>253</v>
      </c>
      <c r="B380" s="172" t="s">
        <v>274</v>
      </c>
      <c r="C380" s="189">
        <v>6575946</v>
      </c>
      <c r="D380" s="175"/>
      <c r="E380" s="175"/>
    </row>
    <row r="381" spans="1:5" ht="12.6" customHeight="1" x14ac:dyDescent="0.25">
      <c r="A381" s="173" t="s">
        <v>481</v>
      </c>
      <c r="B381" s="172" t="s">
        <v>274</v>
      </c>
      <c r="C381" s="189">
        <v>23375062</v>
      </c>
      <c r="D381" s="175"/>
      <c r="E381" s="175"/>
    </row>
    <row r="382" spans="1:5" ht="12.6" customHeight="1" x14ac:dyDescent="0.25">
      <c r="A382" s="173" t="s">
        <v>482</v>
      </c>
      <c r="B382" s="172" t="s">
        <v>274</v>
      </c>
      <c r="C382" s="189">
        <v>1175553</v>
      </c>
      <c r="D382" s="175"/>
      <c r="E382" s="175"/>
    </row>
    <row r="383" spans="1:5" ht="12.6" customHeight="1" x14ac:dyDescent="0.25">
      <c r="A383" s="173" t="s">
        <v>483</v>
      </c>
      <c r="B383" s="172" t="s">
        <v>274</v>
      </c>
      <c r="C383" s="189">
        <v>6534407</v>
      </c>
      <c r="D383" s="175"/>
      <c r="E383" s="175"/>
    </row>
    <row r="384" spans="1:5" ht="12.6" customHeight="1" x14ac:dyDescent="0.25">
      <c r="A384" s="173" t="s">
        <v>18</v>
      </c>
      <c r="B384" s="172" t="s">
        <v>274</v>
      </c>
      <c r="C384" s="189">
        <v>4743342</v>
      </c>
      <c r="D384" s="175"/>
      <c r="E384" s="175"/>
    </row>
    <row r="385" spans="1:6" ht="12.6" customHeight="1" x14ac:dyDescent="0.25">
      <c r="A385" s="173" t="s">
        <v>484</v>
      </c>
      <c r="B385" s="172" t="s">
        <v>274</v>
      </c>
      <c r="C385" s="189">
        <v>1631572</v>
      </c>
      <c r="D385" s="175"/>
      <c r="E385" s="175"/>
    </row>
    <row r="386" spans="1:6" ht="12.6" customHeight="1" x14ac:dyDescent="0.25">
      <c r="A386" s="173" t="s">
        <v>485</v>
      </c>
      <c r="B386" s="172" t="s">
        <v>274</v>
      </c>
      <c r="C386" s="189">
        <v>697227</v>
      </c>
      <c r="D386" s="175"/>
      <c r="E386" s="175"/>
    </row>
    <row r="387" spans="1:6" ht="12.6" customHeight="1" x14ac:dyDescent="0.25">
      <c r="A387" s="173" t="s">
        <v>486</v>
      </c>
      <c r="B387" s="172" t="s">
        <v>274</v>
      </c>
      <c r="C387" s="189">
        <v>743041</v>
      </c>
      <c r="D387" s="175"/>
      <c r="E387" s="175"/>
    </row>
    <row r="388" spans="1:6" ht="12.6" customHeight="1" x14ac:dyDescent="0.25">
      <c r="A388" s="173" t="s">
        <v>487</v>
      </c>
      <c r="B388" s="172" t="s">
        <v>274</v>
      </c>
      <c r="C388" s="189">
        <v>1008452</v>
      </c>
      <c r="D388" s="175"/>
      <c r="E388" s="175"/>
    </row>
    <row r="389" spans="1:6" ht="12.6" customHeight="1" x14ac:dyDescent="0.25">
      <c r="A389" s="173" t="s">
        <v>488</v>
      </c>
      <c r="B389" s="172" t="s">
        <v>274</v>
      </c>
      <c r="C389" s="189">
        <f>2442598+677721</f>
        <v>3120319</v>
      </c>
      <c r="D389" s="175"/>
      <c r="E389" s="175"/>
    </row>
    <row r="390" spans="1:6" ht="12.6" customHeight="1" x14ac:dyDescent="0.25">
      <c r="A390" s="173" t="s">
        <v>489</v>
      </c>
      <c r="B390" s="175"/>
      <c r="C390" s="191"/>
      <c r="D390" s="175">
        <f>SUM(C378:C389)</f>
        <v>121234129</v>
      </c>
      <c r="E390" s="175"/>
    </row>
    <row r="391" spans="1:6" ht="12.6" customHeight="1" x14ac:dyDescent="0.25">
      <c r="A391" s="173" t="s">
        <v>490</v>
      </c>
      <c r="B391" s="175"/>
      <c r="C391" s="191"/>
      <c r="D391" s="175">
        <f>D373-D390</f>
        <v>1935555</v>
      </c>
      <c r="E391" s="175"/>
    </row>
    <row r="392" spans="1:6" ht="12.6" customHeight="1" x14ac:dyDescent="0.25">
      <c r="A392" s="173" t="s">
        <v>491</v>
      </c>
      <c r="B392" s="172" t="s">
        <v>274</v>
      </c>
      <c r="C392" s="189">
        <f>156080+1008452+1430700</f>
        <v>2595232</v>
      </c>
      <c r="D392" s="175"/>
      <c r="E392" s="175"/>
    </row>
    <row r="393" spans="1:6" ht="12.6" customHeight="1" x14ac:dyDescent="0.25">
      <c r="A393" s="173" t="s">
        <v>492</v>
      </c>
      <c r="B393" s="175"/>
      <c r="C393" s="191"/>
      <c r="D393" s="195">
        <f>D391+C392</f>
        <v>4530787</v>
      </c>
      <c r="E393" s="175"/>
      <c r="F393" s="197"/>
    </row>
    <row r="394" spans="1:6" ht="12.6" customHeight="1" x14ac:dyDescent="0.25">
      <c r="A394" s="173" t="s">
        <v>493</v>
      </c>
      <c r="B394" s="172" t="s">
        <v>274</v>
      </c>
      <c r="C394" s="189"/>
      <c r="D394" s="175"/>
      <c r="E394" s="175"/>
    </row>
    <row r="395" spans="1:6" ht="12.6" customHeight="1" x14ac:dyDescent="0.25">
      <c r="A395" s="173" t="s">
        <v>494</v>
      </c>
      <c r="B395" s="172" t="s">
        <v>274</v>
      </c>
      <c r="C395" s="189"/>
      <c r="D395" s="175"/>
      <c r="E395" s="175"/>
    </row>
    <row r="396" spans="1:6" ht="12.6" customHeight="1" x14ac:dyDescent="0.25">
      <c r="A396" s="173" t="s">
        <v>495</v>
      </c>
      <c r="B396" s="175"/>
      <c r="C396" s="191"/>
      <c r="D396" s="175">
        <f>D393+C394-C395</f>
        <v>4530787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496</v>
      </c>
      <c r="D411" s="179"/>
      <c r="E411" s="254"/>
    </row>
    <row r="412" spans="1:5" ht="12.6" customHeight="1" x14ac:dyDescent="0.25">
      <c r="A412" s="179" t="str">
        <f>C84&amp;"   "&amp;"H-"&amp;FIXED(C83,0,TRUE)&amp;"     FYE "&amp;C82</f>
        <v>Jefferson County Public Hospital District No 2   H-0     FYE 12/31/2019</v>
      </c>
      <c r="B412" s="179"/>
      <c r="C412" s="179"/>
      <c r="D412" s="179"/>
      <c r="E412" s="254"/>
    </row>
    <row r="413" spans="1:5" ht="12.6" customHeight="1" x14ac:dyDescent="0.25">
      <c r="A413" s="179" t="s">
        <v>497</v>
      </c>
      <c r="B413" s="181" t="s">
        <v>498</v>
      </c>
      <c r="C413" s="181" t="s">
        <v>499</v>
      </c>
      <c r="D413" s="181" t="s">
        <v>500</v>
      </c>
    </row>
    <row r="414" spans="1:5" ht="12.6" customHeight="1" x14ac:dyDescent="0.25">
      <c r="A414" s="179" t="s">
        <v>501</v>
      </c>
      <c r="B414" s="179">
        <f>C111</f>
        <v>1519</v>
      </c>
      <c r="C414" s="194">
        <f>E138</f>
        <v>1519</v>
      </c>
      <c r="D414" s="179"/>
    </row>
    <row r="415" spans="1:5" ht="12.6" customHeight="1" x14ac:dyDescent="0.25">
      <c r="A415" s="179" t="s">
        <v>502</v>
      </c>
      <c r="B415" s="179">
        <f>D111</f>
        <v>4127</v>
      </c>
      <c r="C415" s="179">
        <f>E139</f>
        <v>4127</v>
      </c>
      <c r="D415" s="194">
        <f>SUM(C59:H59)+N59</f>
        <v>4127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503</v>
      </c>
      <c r="B417" s="179">
        <f>C112</f>
        <v>24</v>
      </c>
      <c r="C417" s="194">
        <f>E144</f>
        <v>24</v>
      </c>
      <c r="D417" s="179"/>
    </row>
    <row r="418" spans="1:7" ht="12.6" customHeight="1" x14ac:dyDescent="0.25">
      <c r="A418" s="179" t="s">
        <v>504</v>
      </c>
      <c r="B418" s="179">
        <f>D112</f>
        <v>188</v>
      </c>
      <c r="C418" s="179">
        <f>E145</f>
        <v>188</v>
      </c>
      <c r="D418" s="179">
        <f>K59+L59</f>
        <v>188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505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506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507</v>
      </c>
      <c r="B423" s="180">
        <f>C114</f>
        <v>112</v>
      </c>
    </row>
    <row r="424" spans="1:7" ht="12.6" customHeight="1" x14ac:dyDescent="0.25">
      <c r="A424" s="179" t="s">
        <v>508</v>
      </c>
      <c r="B424" s="179">
        <f>D114</f>
        <v>238</v>
      </c>
      <c r="D424" s="179">
        <f>J59</f>
        <v>238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509</v>
      </c>
      <c r="B426" s="181" t="s">
        <v>510</v>
      </c>
      <c r="C426" s="181" t="s">
        <v>500</v>
      </c>
      <c r="D426" s="181" t="s">
        <v>511</v>
      </c>
    </row>
    <row r="427" spans="1:7" ht="12.6" customHeight="1" x14ac:dyDescent="0.25">
      <c r="A427" s="179" t="s">
        <v>512</v>
      </c>
      <c r="B427" s="179">
        <f t="shared" ref="B427:B437" si="12">C378</f>
        <v>57874283</v>
      </c>
      <c r="C427" s="179">
        <f t="shared" ref="C427:C434" si="13">CE61</f>
        <v>57874283</v>
      </c>
      <c r="D427" s="179"/>
    </row>
    <row r="428" spans="1:7" ht="12.6" customHeight="1" x14ac:dyDescent="0.25">
      <c r="A428" s="179" t="s">
        <v>13</v>
      </c>
      <c r="B428" s="179">
        <f t="shared" si="12"/>
        <v>13754925</v>
      </c>
      <c r="C428" s="179">
        <f t="shared" si="13"/>
        <v>13754927</v>
      </c>
      <c r="D428" s="179">
        <f>D173</f>
        <v>13754925</v>
      </c>
    </row>
    <row r="429" spans="1:7" ht="12.6" customHeight="1" x14ac:dyDescent="0.25">
      <c r="A429" s="179" t="s">
        <v>253</v>
      </c>
      <c r="B429" s="179">
        <f t="shared" si="12"/>
        <v>6575946</v>
      </c>
      <c r="C429" s="179">
        <f t="shared" si="13"/>
        <v>6575946</v>
      </c>
      <c r="D429" s="179"/>
    </row>
    <row r="430" spans="1:7" ht="12.6" customHeight="1" x14ac:dyDescent="0.25">
      <c r="A430" s="179" t="s">
        <v>254</v>
      </c>
      <c r="B430" s="179">
        <f t="shared" si="12"/>
        <v>23375062</v>
      </c>
      <c r="C430" s="179">
        <f t="shared" si="13"/>
        <v>23375062</v>
      </c>
      <c r="D430" s="179"/>
    </row>
    <row r="431" spans="1:7" ht="12.6" customHeight="1" x14ac:dyDescent="0.25">
      <c r="A431" s="179" t="s">
        <v>482</v>
      </c>
      <c r="B431" s="179">
        <f t="shared" si="12"/>
        <v>1175553</v>
      </c>
      <c r="C431" s="179">
        <f t="shared" si="13"/>
        <v>1175553</v>
      </c>
      <c r="D431" s="179"/>
    </row>
    <row r="432" spans="1:7" ht="12.6" customHeight="1" x14ac:dyDescent="0.25">
      <c r="A432" s="179" t="s">
        <v>483</v>
      </c>
      <c r="B432" s="179">
        <f t="shared" si="12"/>
        <v>6534407</v>
      </c>
      <c r="C432" s="179">
        <f t="shared" si="13"/>
        <v>6534407</v>
      </c>
      <c r="D432" s="179"/>
    </row>
    <row r="433" spans="1:7" ht="12.6" customHeight="1" x14ac:dyDescent="0.25">
      <c r="A433" s="179" t="s">
        <v>18</v>
      </c>
      <c r="B433" s="179">
        <f t="shared" si="12"/>
        <v>4743342</v>
      </c>
      <c r="C433" s="179">
        <f t="shared" si="13"/>
        <v>4743347</v>
      </c>
      <c r="D433" s="179">
        <f>C217</f>
        <v>4743342</v>
      </c>
    </row>
    <row r="434" spans="1:7" ht="12.6" customHeight="1" x14ac:dyDescent="0.25">
      <c r="A434" s="179" t="s">
        <v>513</v>
      </c>
      <c r="B434" s="179">
        <f t="shared" si="12"/>
        <v>1631572</v>
      </c>
      <c r="C434" s="179">
        <f t="shared" si="13"/>
        <v>1631572</v>
      </c>
      <c r="D434" s="179">
        <f>D177</f>
        <v>1631572</v>
      </c>
    </row>
    <row r="435" spans="1:7" ht="12.6" customHeight="1" x14ac:dyDescent="0.25">
      <c r="A435" s="179" t="s">
        <v>485</v>
      </c>
      <c r="B435" s="179">
        <f t="shared" si="12"/>
        <v>697227</v>
      </c>
      <c r="C435" s="179"/>
      <c r="D435" s="179">
        <f>D181</f>
        <v>697227</v>
      </c>
    </row>
    <row r="436" spans="1:7" ht="12.6" customHeight="1" x14ac:dyDescent="0.25">
      <c r="A436" s="179" t="s">
        <v>514</v>
      </c>
      <c r="B436" s="179">
        <f t="shared" si="12"/>
        <v>743041</v>
      </c>
      <c r="C436" s="179"/>
      <c r="D436" s="179">
        <f>D186</f>
        <v>743041</v>
      </c>
    </row>
    <row r="437" spans="1:7" ht="12.6" customHeight="1" x14ac:dyDescent="0.25">
      <c r="A437" s="194" t="s">
        <v>487</v>
      </c>
      <c r="B437" s="194">
        <f t="shared" si="12"/>
        <v>1008452</v>
      </c>
      <c r="C437" s="194"/>
      <c r="D437" s="194">
        <f>D190</f>
        <v>1008452</v>
      </c>
    </row>
    <row r="438" spans="1:7" ht="12.6" customHeight="1" x14ac:dyDescent="0.25">
      <c r="A438" s="194" t="s">
        <v>515</v>
      </c>
      <c r="B438" s="194">
        <f>C386+C387+C388</f>
        <v>2448720</v>
      </c>
      <c r="C438" s="194">
        <f>CD69</f>
        <v>2448720</v>
      </c>
      <c r="D438" s="194">
        <f>D181+D186+D190</f>
        <v>2448720</v>
      </c>
    </row>
    <row r="439" spans="1:7" ht="12.6" customHeight="1" x14ac:dyDescent="0.25">
      <c r="A439" s="179" t="s">
        <v>488</v>
      </c>
      <c r="B439" s="194">
        <f>C389</f>
        <v>3120319</v>
      </c>
      <c r="C439" s="194">
        <f>SUM(C69:CC69)</f>
        <v>3120319</v>
      </c>
      <c r="D439" s="179"/>
    </row>
    <row r="440" spans="1:7" ht="12.6" customHeight="1" x14ac:dyDescent="0.25">
      <c r="A440" s="179" t="s">
        <v>516</v>
      </c>
      <c r="B440" s="194">
        <f>B438+B439</f>
        <v>5569039</v>
      </c>
      <c r="C440" s="194">
        <f>CE69</f>
        <v>5569039</v>
      </c>
      <c r="D440" s="179"/>
    </row>
    <row r="441" spans="1:7" ht="12.6" customHeight="1" x14ac:dyDescent="0.25">
      <c r="A441" s="179" t="s">
        <v>517</v>
      </c>
      <c r="B441" s="179">
        <f>D390</f>
        <v>121234129</v>
      </c>
      <c r="C441" s="179">
        <f>SUM(C427:C437)+C440</f>
        <v>121234136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518</v>
      </c>
      <c r="B443" s="181" t="s">
        <v>519</v>
      </c>
      <c r="C443" s="181" t="s">
        <v>510</v>
      </c>
      <c r="D443" s="179"/>
    </row>
    <row r="444" spans="1:7" ht="12.6" customHeight="1" x14ac:dyDescent="0.25">
      <c r="A444" s="179" t="s">
        <v>520</v>
      </c>
      <c r="B444" s="179">
        <f>D221</f>
        <v>4156476</v>
      </c>
      <c r="C444" s="179">
        <f>C363</f>
        <v>4156476</v>
      </c>
      <c r="D444" s="179"/>
    </row>
    <row r="445" spans="1:7" ht="12.6" customHeight="1" x14ac:dyDescent="0.25">
      <c r="A445" s="179" t="s">
        <v>376</v>
      </c>
      <c r="B445" s="179">
        <f>D229</f>
        <v>115448409</v>
      </c>
      <c r="C445" s="179">
        <f>C364</f>
        <v>115448409</v>
      </c>
      <c r="D445" s="179"/>
    </row>
    <row r="446" spans="1:7" ht="12.6" customHeight="1" x14ac:dyDescent="0.25">
      <c r="A446" s="179" t="s">
        <v>384</v>
      </c>
      <c r="B446" s="179">
        <f>D236</f>
        <v>3133645.8</v>
      </c>
      <c r="C446" s="179">
        <f>C365</f>
        <v>3133646</v>
      </c>
      <c r="D446" s="179"/>
    </row>
    <row r="447" spans="1:7" ht="12.6" customHeight="1" x14ac:dyDescent="0.25">
      <c r="A447" s="179" t="s">
        <v>389</v>
      </c>
      <c r="B447" s="179">
        <f>D240</f>
        <v>21507076</v>
      </c>
      <c r="C447" s="179">
        <f>C366</f>
        <v>21507076</v>
      </c>
      <c r="D447" s="179"/>
    </row>
    <row r="448" spans="1:7" ht="12.6" customHeight="1" x14ac:dyDescent="0.25">
      <c r="A448" s="179" t="s">
        <v>391</v>
      </c>
      <c r="B448" s="179">
        <f>D242</f>
        <v>144245606.80000001</v>
      </c>
      <c r="C448" s="179">
        <f>D367</f>
        <v>144245607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521</v>
      </c>
      <c r="B450" s="181" t="s">
        <v>522</v>
      </c>
      <c r="C450" s="203"/>
      <c r="D450" s="203"/>
      <c r="F450" s="203"/>
      <c r="G450" s="203"/>
    </row>
    <row r="451" spans="1:7" ht="12.6" customHeight="1" x14ac:dyDescent="0.25">
      <c r="B451" s="181" t="s">
        <v>523</v>
      </c>
    </row>
    <row r="452" spans="1:7" ht="12.6" customHeight="1" x14ac:dyDescent="0.25">
      <c r="B452" s="181" t="s">
        <v>511</v>
      </c>
    </row>
    <row r="453" spans="1:7" ht="12.6" customHeight="1" x14ac:dyDescent="0.25">
      <c r="A453" s="199" t="s">
        <v>524</v>
      </c>
      <c r="B453" s="180">
        <f>C231</f>
        <v>1391</v>
      </c>
    </row>
    <row r="454" spans="1:7" ht="12.6" customHeight="1" x14ac:dyDescent="0.25">
      <c r="A454" s="179" t="s">
        <v>184</v>
      </c>
      <c r="B454" s="179">
        <f>C233</f>
        <v>382468.23</v>
      </c>
      <c r="C454" s="179"/>
      <c r="D454" s="179"/>
    </row>
    <row r="455" spans="1:7" ht="12.6" customHeight="1" x14ac:dyDescent="0.25">
      <c r="A455" s="179" t="s">
        <v>147</v>
      </c>
      <c r="B455" s="179">
        <f>C234</f>
        <v>2751177.57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525</v>
      </c>
      <c r="B457" s="181" t="s">
        <v>510</v>
      </c>
      <c r="C457" s="181" t="s">
        <v>526</v>
      </c>
      <c r="D457" s="179"/>
    </row>
    <row r="458" spans="1:7" ht="12.6" customHeight="1" x14ac:dyDescent="0.25">
      <c r="A458" s="179" t="s">
        <v>527</v>
      </c>
      <c r="B458" s="194">
        <f>C370</f>
        <v>5538863</v>
      </c>
      <c r="C458" s="194">
        <f>CE70</f>
        <v>5538863</v>
      </c>
      <c r="D458" s="194"/>
    </row>
    <row r="459" spans="1:7" ht="12.6" customHeight="1" x14ac:dyDescent="0.25">
      <c r="A459" s="179" t="s">
        <v>261</v>
      </c>
      <c r="B459" s="194">
        <f>C371</f>
        <v>472196</v>
      </c>
      <c r="C459" s="194">
        <f>CE72</f>
        <v>472196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528</v>
      </c>
      <c r="B461" s="181"/>
      <c r="C461" s="181"/>
      <c r="D461" s="181" t="s">
        <v>529</v>
      </c>
    </row>
    <row r="462" spans="1:7" ht="12.6" customHeight="1" x14ac:dyDescent="0.25">
      <c r="B462" s="181" t="s">
        <v>510</v>
      </c>
      <c r="C462" s="181" t="s">
        <v>526</v>
      </c>
      <c r="D462" s="181" t="s">
        <v>530</v>
      </c>
    </row>
    <row r="463" spans="1:7" ht="12.6" customHeight="1" x14ac:dyDescent="0.25">
      <c r="A463" s="179" t="s">
        <v>262</v>
      </c>
      <c r="B463" s="194">
        <f>C359</f>
        <v>45443363</v>
      </c>
      <c r="C463" s="194">
        <f>CE73</f>
        <v>45443363</v>
      </c>
      <c r="D463" s="194">
        <f>E141+E147+E153</f>
        <v>45443363</v>
      </c>
    </row>
    <row r="464" spans="1:7" ht="12.6" customHeight="1" x14ac:dyDescent="0.25">
      <c r="A464" s="179" t="s">
        <v>263</v>
      </c>
      <c r="B464" s="194">
        <f>C360</f>
        <v>215960869</v>
      </c>
      <c r="C464" s="194">
        <f>CE74</f>
        <v>215960869</v>
      </c>
      <c r="D464" s="194">
        <f>E142+E148+E154</f>
        <v>215960869</v>
      </c>
    </row>
    <row r="465" spans="1:7" ht="12.6" customHeight="1" x14ac:dyDescent="0.25">
      <c r="A465" s="179" t="s">
        <v>264</v>
      </c>
      <c r="B465" s="194">
        <f>D361</f>
        <v>261404232</v>
      </c>
      <c r="C465" s="194">
        <f>CE75</f>
        <v>261404232</v>
      </c>
      <c r="D465" s="194">
        <f>D463+D464</f>
        <v>261404232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531</v>
      </c>
      <c r="B467" s="181" t="s">
        <v>532</v>
      </c>
      <c r="C467" s="181" t="s">
        <v>533</v>
      </c>
      <c r="D467" s="179"/>
    </row>
    <row r="468" spans="1:7" ht="12.6" customHeight="1" x14ac:dyDescent="0.25">
      <c r="A468" s="179" t="s">
        <v>364</v>
      </c>
      <c r="B468" s="179">
        <f t="shared" ref="B468:B475" si="14">C267</f>
        <v>1549711</v>
      </c>
      <c r="C468" s="179">
        <f>E195</f>
        <v>1549711</v>
      </c>
      <c r="D468" s="179"/>
    </row>
    <row r="469" spans="1:7" ht="12.6" customHeight="1" x14ac:dyDescent="0.25">
      <c r="A469" s="179" t="s">
        <v>365</v>
      </c>
      <c r="B469" s="179">
        <f t="shared" si="14"/>
        <v>4028158</v>
      </c>
      <c r="C469" s="179">
        <f>E196</f>
        <v>4028158</v>
      </c>
      <c r="D469" s="179"/>
    </row>
    <row r="470" spans="1:7" ht="12.6" customHeight="1" x14ac:dyDescent="0.25">
      <c r="A470" s="179" t="s">
        <v>366</v>
      </c>
      <c r="B470" s="179">
        <f t="shared" si="14"/>
        <v>40757243</v>
      </c>
      <c r="C470" s="179">
        <f>E197</f>
        <v>40757241</v>
      </c>
      <c r="D470" s="179"/>
    </row>
    <row r="471" spans="1:7" ht="12.6" customHeight="1" x14ac:dyDescent="0.25">
      <c r="A471" s="179" t="s">
        <v>534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411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535</v>
      </c>
      <c r="B473" s="179">
        <f t="shared" si="14"/>
        <v>39493280</v>
      </c>
      <c r="C473" s="179">
        <f>SUM(E200:E201)</f>
        <v>39493280</v>
      </c>
      <c r="D473" s="179"/>
    </row>
    <row r="474" spans="1:7" ht="12.6" customHeight="1" x14ac:dyDescent="0.25">
      <c r="A474" s="179" t="s">
        <v>371</v>
      </c>
      <c r="B474" s="179">
        <f t="shared" si="14"/>
        <v>1361180</v>
      </c>
      <c r="C474" s="179">
        <f>E202</f>
        <v>1361180</v>
      </c>
      <c r="D474" s="179"/>
    </row>
    <row r="475" spans="1:7" ht="12.6" customHeight="1" x14ac:dyDescent="0.25">
      <c r="A475" s="179" t="s">
        <v>372</v>
      </c>
      <c r="B475" s="179">
        <f t="shared" si="14"/>
        <v>493251</v>
      </c>
      <c r="C475" s="179">
        <f>E203</f>
        <v>493251</v>
      </c>
      <c r="D475" s="179"/>
    </row>
    <row r="476" spans="1:7" ht="12.6" customHeight="1" x14ac:dyDescent="0.25">
      <c r="A476" s="179" t="s">
        <v>219</v>
      </c>
      <c r="B476" s="179">
        <f>D275</f>
        <v>87682823</v>
      </c>
      <c r="C476" s="179">
        <f>E204</f>
        <v>87682821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536</v>
      </c>
      <c r="B478" s="179">
        <f>C276</f>
        <v>45030131</v>
      </c>
      <c r="C478" s="179">
        <f>E217</f>
        <v>45030129</v>
      </c>
      <c r="D478" s="179"/>
    </row>
    <row r="480" spans="1:7" ht="12.6" customHeight="1" x14ac:dyDescent="0.25">
      <c r="A480" s="180" t="s">
        <v>537</v>
      </c>
    </row>
    <row r="481" spans="1:12" ht="12.6" customHeight="1" x14ac:dyDescent="0.25">
      <c r="A481" s="180" t="s">
        <v>538</v>
      </c>
      <c r="C481" s="180">
        <f>D341</f>
        <v>97131696</v>
      </c>
    </row>
    <row r="482" spans="1:12" ht="12.6" customHeight="1" x14ac:dyDescent="0.25">
      <c r="A482" s="180" t="s">
        <v>539</v>
      </c>
      <c r="C482" s="180">
        <f>D339</f>
        <v>97131696</v>
      </c>
    </row>
    <row r="485" spans="1:12" ht="12.6" customHeight="1" x14ac:dyDescent="0.25">
      <c r="A485" s="199" t="s">
        <v>540</v>
      </c>
    </row>
    <row r="486" spans="1:12" ht="12.6" customHeight="1" x14ac:dyDescent="0.25">
      <c r="A486" s="199" t="s">
        <v>541</v>
      </c>
    </row>
    <row r="487" spans="1:12" ht="12.6" customHeight="1" x14ac:dyDescent="0.25">
      <c r="A487" s="199" t="s">
        <v>542</v>
      </c>
    </row>
    <row r="488" spans="1:12" ht="12.6" customHeight="1" x14ac:dyDescent="0.25">
      <c r="A488" s="199"/>
    </row>
    <row r="489" spans="1:12" ht="12.6" customHeight="1" x14ac:dyDescent="0.25">
      <c r="A489" s="198" t="s">
        <v>543</v>
      </c>
    </row>
    <row r="490" spans="1:12" ht="12.6" customHeight="1" x14ac:dyDescent="0.25">
      <c r="A490" s="199" t="s">
        <v>544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085</v>
      </c>
      <c r="B493" s="255" t="str">
        <f>RIGHT('Prior Year'!C82,4)</f>
        <v>2018</v>
      </c>
      <c r="C493" s="255" t="str">
        <f>RIGHT(C82,4)</f>
        <v>2019</v>
      </c>
      <c r="D493" s="255" t="str">
        <f>RIGHT('Prior Year'!C82,4)</f>
        <v>2018</v>
      </c>
      <c r="E493" s="255" t="str">
        <f>RIGHT(C82,4)</f>
        <v>2019</v>
      </c>
      <c r="F493" s="255" t="str">
        <f>RIGHT('Prior Year'!C82,4)</f>
        <v>2018</v>
      </c>
      <c r="G493" s="255" t="str">
        <f>RIGHT(C82,4)</f>
        <v>2019</v>
      </c>
      <c r="H493" s="255"/>
      <c r="K493" s="255"/>
      <c r="L493" s="255"/>
    </row>
    <row r="494" spans="1:12" ht="12.6" customHeight="1" x14ac:dyDescent="0.25">
      <c r="A494" s="198"/>
      <c r="B494" s="181" t="s">
        <v>545</v>
      </c>
      <c r="C494" s="181" t="s">
        <v>545</v>
      </c>
      <c r="D494" s="256" t="s">
        <v>546</v>
      </c>
      <c r="E494" s="256" t="s">
        <v>546</v>
      </c>
      <c r="F494" s="255" t="s">
        <v>547</v>
      </c>
      <c r="G494" s="255" t="s">
        <v>547</v>
      </c>
      <c r="H494" s="255" t="s">
        <v>548</v>
      </c>
      <c r="K494" s="255"/>
      <c r="L494" s="255"/>
    </row>
    <row r="495" spans="1:12" ht="12.6" customHeight="1" x14ac:dyDescent="0.25">
      <c r="B495" s="181" t="s">
        <v>335</v>
      </c>
      <c r="C495" s="181" t="s">
        <v>335</v>
      </c>
      <c r="D495" s="181" t="s">
        <v>549</v>
      </c>
      <c r="E495" s="181" t="s">
        <v>549</v>
      </c>
      <c r="F495" s="255" t="s">
        <v>550</v>
      </c>
      <c r="G495" s="255" t="s">
        <v>550</v>
      </c>
      <c r="H495" s="255" t="s">
        <v>551</v>
      </c>
      <c r="K495" s="255"/>
      <c r="L495" s="255"/>
    </row>
    <row r="496" spans="1:12" ht="12.6" customHeight="1" x14ac:dyDescent="0.25">
      <c r="A496" s="180" t="s">
        <v>552</v>
      </c>
      <c r="B496" s="234">
        <f>'Prior Year'!C71</f>
        <v>1656725</v>
      </c>
      <c r="C496" s="234">
        <f>C71</f>
        <v>1602597</v>
      </c>
      <c r="D496" s="234">
        <f>'Prior Year'!C59</f>
        <v>208</v>
      </c>
      <c r="E496" s="180">
        <f>C59</f>
        <v>263</v>
      </c>
      <c r="F496" s="257">
        <f t="shared" ref="F496:G511" si="15">IF(B496=0,"",IF(D496=0,"",B496/D496))</f>
        <v>7965.0240384615381</v>
      </c>
      <c r="G496" s="258">
        <f t="shared" si="15"/>
        <v>6093.5247148288972</v>
      </c>
      <c r="H496" s="259" t="str">
        <f>IF(B496=0,"",IF(C496=0,"",IF(D496=0,"",IF(E496=0,"",IF(G496/F496-1&lt;-0.25,G496/F496-1,IF(G496/F496-1&gt;0.25,G496/F496-1,""))))))</f>
        <v/>
      </c>
      <c r="I496" s="261"/>
      <c r="K496" s="255"/>
      <c r="L496" s="255"/>
    </row>
    <row r="497" spans="1:12" ht="12.6" customHeight="1" x14ac:dyDescent="0.25">
      <c r="A497" s="180" t="s">
        <v>553</v>
      </c>
      <c r="B497" s="234">
        <f>'Prior Year'!D71</f>
        <v>0</v>
      </c>
      <c r="C497" s="234">
        <f>D71</f>
        <v>0</v>
      </c>
      <c r="D497" s="234">
        <f>'Prior Year'!D59</f>
        <v>0</v>
      </c>
      <c r="E497" s="180">
        <f>D59</f>
        <v>0</v>
      </c>
      <c r="F497" s="257" t="str">
        <f t="shared" si="15"/>
        <v/>
      </c>
      <c r="G497" s="257" t="str">
        <f t="shared" si="15"/>
        <v/>
      </c>
      <c r="H497" s="259" t="str">
        <f t="shared" ref="H497:H550" si="16">IF(B497=0,"",IF(C497=0,"",IF(D497=0,"",IF(E497=0,"",IF(G497/F497-1&lt;-0.25,G497/F497-1,IF(G497/F497-1&gt;0.25,G497/F497-1,""))))))</f>
        <v/>
      </c>
      <c r="I497" s="261"/>
      <c r="K497" s="255"/>
      <c r="L497" s="255"/>
    </row>
    <row r="498" spans="1:12" ht="12.6" customHeight="1" x14ac:dyDescent="0.25">
      <c r="A498" s="180" t="s">
        <v>554</v>
      </c>
      <c r="B498" s="234">
        <f>'Prior Year'!E71</f>
        <v>4121972</v>
      </c>
      <c r="C498" s="234">
        <f>E71</f>
        <v>4120145</v>
      </c>
      <c r="D498" s="234">
        <f>'Prior Year'!E59</f>
        <v>4390</v>
      </c>
      <c r="E498" s="180">
        <f>E59</f>
        <v>3864</v>
      </c>
      <c r="F498" s="257">
        <f t="shared" si="15"/>
        <v>938.94578587699311</v>
      </c>
      <c r="G498" s="257">
        <f t="shared" si="15"/>
        <v>1066.2901138716356</v>
      </c>
      <c r="H498" s="259" t="str">
        <f t="shared" si="16"/>
        <v/>
      </c>
      <c r="I498" s="261"/>
      <c r="K498" s="255"/>
      <c r="L498" s="255"/>
    </row>
    <row r="499" spans="1:12" ht="12.6" customHeight="1" x14ac:dyDescent="0.25">
      <c r="A499" s="180" t="s">
        <v>555</v>
      </c>
      <c r="B499" s="234">
        <f>'Prior Year'!F71</f>
        <v>0</v>
      </c>
      <c r="C499" s="234">
        <f>F71</f>
        <v>0</v>
      </c>
      <c r="D499" s="234">
        <f>'Prior Year'!F59</f>
        <v>0</v>
      </c>
      <c r="E499" s="180">
        <f>F59</f>
        <v>0</v>
      </c>
      <c r="F499" s="257" t="str">
        <f t="shared" si="15"/>
        <v/>
      </c>
      <c r="G499" s="257" t="str">
        <f t="shared" si="15"/>
        <v/>
      </c>
      <c r="H499" s="259" t="str">
        <f t="shared" si="16"/>
        <v/>
      </c>
      <c r="I499" s="261"/>
      <c r="K499" s="255"/>
      <c r="L499" s="255"/>
    </row>
    <row r="500" spans="1:12" ht="12.6" customHeight="1" x14ac:dyDescent="0.25">
      <c r="A500" s="180" t="s">
        <v>556</v>
      </c>
      <c r="B500" s="234">
        <f>'Prior Year'!G71</f>
        <v>0</v>
      </c>
      <c r="C500" s="234">
        <f>G71</f>
        <v>0</v>
      </c>
      <c r="D500" s="234">
        <f>'Prior Year'!G59</f>
        <v>0</v>
      </c>
      <c r="E500" s="180">
        <f>G59</f>
        <v>0</v>
      </c>
      <c r="F500" s="257" t="str">
        <f t="shared" si="15"/>
        <v/>
      </c>
      <c r="G500" s="257" t="str">
        <f t="shared" si="15"/>
        <v/>
      </c>
      <c r="H500" s="259" t="str">
        <f t="shared" si="16"/>
        <v/>
      </c>
      <c r="I500" s="261"/>
      <c r="K500" s="255"/>
      <c r="L500" s="255"/>
    </row>
    <row r="501" spans="1:12" ht="12.6" customHeight="1" x14ac:dyDescent="0.25">
      <c r="A501" s="180" t="s">
        <v>557</v>
      </c>
      <c r="B501" s="234">
        <f>'Prior Year'!H71</f>
        <v>0</v>
      </c>
      <c r="C501" s="234">
        <f>H71</f>
        <v>0</v>
      </c>
      <c r="D501" s="234">
        <f>'Prior Year'!H59</f>
        <v>0</v>
      </c>
      <c r="E501" s="180">
        <f>H59</f>
        <v>0</v>
      </c>
      <c r="F501" s="257" t="str">
        <f t="shared" si="15"/>
        <v/>
      </c>
      <c r="G501" s="257" t="str">
        <f t="shared" si="15"/>
        <v/>
      </c>
      <c r="H501" s="259" t="str">
        <f t="shared" si="16"/>
        <v/>
      </c>
      <c r="I501" s="261"/>
      <c r="K501" s="255"/>
      <c r="L501" s="255"/>
    </row>
    <row r="502" spans="1:12" ht="12.6" customHeight="1" x14ac:dyDescent="0.25">
      <c r="A502" s="180" t="s">
        <v>558</v>
      </c>
      <c r="B502" s="234">
        <f>'Prior Year'!I71</f>
        <v>0</v>
      </c>
      <c r="C502" s="234">
        <f>I71</f>
        <v>0</v>
      </c>
      <c r="D502" s="234">
        <f>'Prior Year'!I59</f>
        <v>0</v>
      </c>
      <c r="E502" s="180">
        <f>I59</f>
        <v>0</v>
      </c>
      <c r="F502" s="257" t="str">
        <f t="shared" si="15"/>
        <v/>
      </c>
      <c r="G502" s="257" t="str">
        <f t="shared" si="15"/>
        <v/>
      </c>
      <c r="H502" s="259" t="str">
        <f t="shared" si="16"/>
        <v/>
      </c>
      <c r="I502" s="261"/>
      <c r="K502" s="255"/>
      <c r="L502" s="255"/>
    </row>
    <row r="503" spans="1:12" ht="12.6" customHeight="1" x14ac:dyDescent="0.25">
      <c r="A503" s="180" t="s">
        <v>559</v>
      </c>
      <c r="B503" s="234">
        <f>'Prior Year'!J71</f>
        <v>2385</v>
      </c>
      <c r="C503" s="234">
        <f>J71</f>
        <v>1797</v>
      </c>
      <c r="D503" s="234">
        <f>'Prior Year'!J59</f>
        <v>278</v>
      </c>
      <c r="E503" s="180">
        <f>J59</f>
        <v>238</v>
      </c>
      <c r="F503" s="257">
        <f t="shared" si="15"/>
        <v>8.5791366906474824</v>
      </c>
      <c r="G503" s="257">
        <f t="shared" si="15"/>
        <v>7.5504201680672267</v>
      </c>
      <c r="H503" s="259" t="str">
        <f t="shared" si="16"/>
        <v/>
      </c>
      <c r="I503" s="261"/>
      <c r="K503" s="255"/>
      <c r="L503" s="255"/>
    </row>
    <row r="504" spans="1:12" ht="12.6" customHeight="1" x14ac:dyDescent="0.25">
      <c r="A504" s="180" t="s">
        <v>560</v>
      </c>
      <c r="B504" s="234">
        <f>'Prior Year'!K71</f>
        <v>0</v>
      </c>
      <c r="C504" s="234">
        <f>K71</f>
        <v>0</v>
      </c>
      <c r="D504" s="234">
        <f>'Prior Year'!K59</f>
        <v>0</v>
      </c>
      <c r="E504" s="180">
        <f>K59</f>
        <v>0</v>
      </c>
      <c r="F504" s="257" t="str">
        <f t="shared" si="15"/>
        <v/>
      </c>
      <c r="G504" s="257" t="str">
        <f t="shared" si="15"/>
        <v/>
      </c>
      <c r="H504" s="259" t="str">
        <f t="shared" si="16"/>
        <v/>
      </c>
      <c r="I504" s="261"/>
      <c r="K504" s="255"/>
      <c r="L504" s="255"/>
    </row>
    <row r="505" spans="1:12" ht="12.6" customHeight="1" x14ac:dyDescent="0.25">
      <c r="A505" s="180" t="s">
        <v>561</v>
      </c>
      <c r="B505" s="234">
        <f>'Prior Year'!L71</f>
        <v>60446</v>
      </c>
      <c r="C505" s="234">
        <f>L71</f>
        <v>45870</v>
      </c>
      <c r="D505" s="234">
        <f>'Prior Year'!L59</f>
        <v>124</v>
      </c>
      <c r="E505" s="180">
        <f>L59</f>
        <v>188</v>
      </c>
      <c r="F505" s="257">
        <f>IF(B505=0,"",IF(D505=0,"",B505/D505))</f>
        <v>487.46774193548384</v>
      </c>
      <c r="G505" s="257">
        <f t="shared" si="15"/>
        <v>243.98936170212767</v>
      </c>
      <c r="H505" s="259">
        <f>IF(B505=0,"",IF(C505=0,"",IF(D505=0,"",IF(E505=0,"",IF(G505/F505-1&lt;-0.25,G505/F505-1,IF(G505/F505-1&gt;0.25,G505/F505-1,""))))))</f>
        <v>-0.49947588176117808</v>
      </c>
      <c r="I505" s="261" t="s">
        <v>562</v>
      </c>
      <c r="K505" s="255"/>
      <c r="L505" s="255"/>
    </row>
    <row r="506" spans="1:12" ht="12.6" customHeight="1" x14ac:dyDescent="0.25">
      <c r="A506" s="180" t="s">
        <v>563</v>
      </c>
      <c r="B506" s="234">
        <f>'Prior Year'!M71</f>
        <v>0</v>
      </c>
      <c r="C506" s="234">
        <f>M71</f>
        <v>0</v>
      </c>
      <c r="D506" s="234">
        <f>'Prior Year'!M59</f>
        <v>0</v>
      </c>
      <c r="E506" s="180">
        <f>M59</f>
        <v>0</v>
      </c>
      <c r="F506" s="257" t="str">
        <f t="shared" si="15"/>
        <v/>
      </c>
      <c r="G506" s="257" t="str">
        <f t="shared" si="15"/>
        <v/>
      </c>
      <c r="H506" s="259" t="str">
        <f t="shared" si="16"/>
        <v/>
      </c>
      <c r="I506" s="261"/>
      <c r="K506" s="255"/>
      <c r="L506" s="255"/>
    </row>
    <row r="507" spans="1:12" ht="12.6" customHeight="1" x14ac:dyDescent="0.25">
      <c r="A507" s="180" t="s">
        <v>564</v>
      </c>
      <c r="B507" s="234">
        <f>'Prior Year'!N71</f>
        <v>2124093</v>
      </c>
      <c r="C507" s="234">
        <f>N71</f>
        <v>2336577</v>
      </c>
      <c r="D507" s="234">
        <f>'Prior Year'!N59</f>
        <v>0</v>
      </c>
      <c r="E507" s="180">
        <f>N59</f>
        <v>0</v>
      </c>
      <c r="F507" s="257" t="str">
        <f t="shared" si="15"/>
        <v/>
      </c>
      <c r="G507" s="257" t="str">
        <f t="shared" si="15"/>
        <v/>
      </c>
      <c r="H507" s="259" t="str">
        <f t="shared" si="16"/>
        <v/>
      </c>
      <c r="I507" s="261"/>
      <c r="K507" s="255"/>
      <c r="L507" s="255"/>
    </row>
    <row r="508" spans="1:12" ht="12.6" customHeight="1" x14ac:dyDescent="0.25">
      <c r="A508" s="180" t="s">
        <v>565</v>
      </c>
      <c r="B508" s="234">
        <f>'Prior Year'!O71</f>
        <v>1674152</v>
      </c>
      <c r="C508" s="234">
        <f>O71</f>
        <v>1523217</v>
      </c>
      <c r="D508" s="234">
        <f>'Prior Year'!O59</f>
        <v>119</v>
      </c>
      <c r="E508" s="180">
        <f>O59</f>
        <v>112</v>
      </c>
      <c r="F508" s="257">
        <f t="shared" si="15"/>
        <v>14068.504201680673</v>
      </c>
      <c r="G508" s="257">
        <f t="shared" si="15"/>
        <v>13600.151785714286</v>
      </c>
      <c r="H508" s="259" t="str">
        <f t="shared" si="16"/>
        <v/>
      </c>
      <c r="I508" s="261"/>
      <c r="K508" s="255"/>
      <c r="L508" s="255"/>
    </row>
    <row r="509" spans="1:12" ht="12.6" customHeight="1" x14ac:dyDescent="0.25">
      <c r="A509" s="180" t="s">
        <v>566</v>
      </c>
      <c r="B509" s="234">
        <f>'Prior Year'!P71</f>
        <v>3412620</v>
      </c>
      <c r="C509" s="234">
        <f>P71</f>
        <v>4117300</v>
      </c>
      <c r="D509" s="234">
        <f>'Prior Year'!P59</f>
        <v>114752</v>
      </c>
      <c r="E509" s="180">
        <f>P59</f>
        <v>174972</v>
      </c>
      <c r="F509" s="257">
        <f t="shared" si="15"/>
        <v>29.7390895147797</v>
      </c>
      <c r="G509" s="257">
        <f t="shared" si="15"/>
        <v>23.531193562398556</v>
      </c>
      <c r="H509" s="259" t="str">
        <f t="shared" si="16"/>
        <v/>
      </c>
      <c r="I509" s="261"/>
      <c r="K509" s="255"/>
      <c r="L509" s="255"/>
    </row>
    <row r="510" spans="1:12" ht="12.6" customHeight="1" x14ac:dyDescent="0.25">
      <c r="A510" s="180" t="s">
        <v>567</v>
      </c>
      <c r="B510" s="234">
        <f>'Prior Year'!Q71</f>
        <v>114271</v>
      </c>
      <c r="C510" s="234">
        <f>Q71</f>
        <v>66165</v>
      </c>
      <c r="D510" s="234">
        <f>'Prior Year'!Q59</f>
        <v>37772</v>
      </c>
      <c r="E510" s="180">
        <f>Q59</f>
        <v>37402</v>
      </c>
      <c r="F510" s="257">
        <f t="shared" si="15"/>
        <v>3.0252832786190829</v>
      </c>
      <c r="G510" s="257">
        <f t="shared" si="15"/>
        <v>1.7690230468958879</v>
      </c>
      <c r="H510" s="259">
        <f t="shared" si="16"/>
        <v>-0.4152537518062196</v>
      </c>
      <c r="I510" s="261" t="s">
        <v>568</v>
      </c>
      <c r="K510" s="255"/>
      <c r="L510" s="255"/>
    </row>
    <row r="511" spans="1:12" ht="12.6" customHeight="1" x14ac:dyDescent="0.25">
      <c r="A511" s="180" t="s">
        <v>569</v>
      </c>
      <c r="B511" s="234">
        <f>'Prior Year'!R71</f>
        <v>1405534</v>
      </c>
      <c r="C511" s="234">
        <f>R71</f>
        <v>1509489</v>
      </c>
      <c r="D511" s="234">
        <f>'Prior Year'!R59</f>
        <v>160555</v>
      </c>
      <c r="E511" s="180">
        <f>R59</f>
        <v>173729</v>
      </c>
      <c r="F511" s="257">
        <f t="shared" si="15"/>
        <v>8.754221294883374</v>
      </c>
      <c r="G511" s="257">
        <f t="shared" si="15"/>
        <v>8.6887566267002061</v>
      </c>
      <c r="H511" s="259" t="str">
        <f t="shared" si="16"/>
        <v/>
      </c>
      <c r="I511" s="261"/>
      <c r="K511" s="255"/>
      <c r="L511" s="255"/>
    </row>
    <row r="512" spans="1:12" ht="12.6" customHeight="1" x14ac:dyDescent="0.25">
      <c r="A512" s="180" t="s">
        <v>570</v>
      </c>
      <c r="B512" s="234">
        <f>'Prior Year'!S71</f>
        <v>1654540</v>
      </c>
      <c r="C512" s="234">
        <f>S71</f>
        <v>1927429</v>
      </c>
      <c r="D512" s="181" t="s">
        <v>571</v>
      </c>
      <c r="E512" s="181" t="s">
        <v>571</v>
      </c>
      <c r="F512" s="257" t="str">
        <f t="shared" ref="F512:G527" si="17">IF(B512=0,"",IF(D512=0,"",B512/D512))</f>
        <v/>
      </c>
      <c r="G512" s="257" t="str">
        <f t="shared" si="17"/>
        <v/>
      </c>
      <c r="H512" s="259" t="str">
        <f t="shared" si="16"/>
        <v/>
      </c>
      <c r="I512" s="261"/>
      <c r="K512" s="255"/>
      <c r="L512" s="255"/>
    </row>
    <row r="513" spans="1:12" ht="12.6" customHeight="1" x14ac:dyDescent="0.25">
      <c r="A513" s="180" t="s">
        <v>572</v>
      </c>
      <c r="B513" s="234">
        <f>'Prior Year'!T71</f>
        <v>0</v>
      </c>
      <c r="C513" s="234">
        <f>T71</f>
        <v>0</v>
      </c>
      <c r="D513" s="181" t="s">
        <v>571</v>
      </c>
      <c r="E513" s="181" t="s">
        <v>571</v>
      </c>
      <c r="F513" s="257" t="str">
        <f t="shared" si="17"/>
        <v/>
      </c>
      <c r="G513" s="257" t="str">
        <f t="shared" si="17"/>
        <v/>
      </c>
      <c r="H513" s="259" t="str">
        <f t="shared" si="16"/>
        <v/>
      </c>
      <c r="I513" s="261"/>
      <c r="K513" s="255"/>
      <c r="L513" s="255"/>
    </row>
    <row r="514" spans="1:12" ht="12.6" customHeight="1" x14ac:dyDescent="0.25">
      <c r="A514" s="180" t="s">
        <v>573</v>
      </c>
      <c r="B514" s="234">
        <f>'Prior Year'!U71</f>
        <v>4742102</v>
      </c>
      <c r="C514" s="234">
        <f>U71</f>
        <v>4880091</v>
      </c>
      <c r="D514" s="234">
        <f>'Prior Year'!U59</f>
        <v>211095</v>
      </c>
      <c r="E514" s="180">
        <f>U59</f>
        <v>221752</v>
      </c>
      <c r="F514" s="257">
        <f t="shared" si="17"/>
        <v>22.464302802055947</v>
      </c>
      <c r="G514" s="257">
        <f t="shared" si="17"/>
        <v>22.006976261769903</v>
      </c>
      <c r="H514" s="259" t="str">
        <f t="shared" si="16"/>
        <v/>
      </c>
      <c r="I514" s="261"/>
      <c r="K514" s="255"/>
      <c r="L514" s="255"/>
    </row>
    <row r="515" spans="1:12" ht="12.6" customHeight="1" x14ac:dyDescent="0.25">
      <c r="A515" s="180" t="s">
        <v>574</v>
      </c>
      <c r="B515" s="234">
        <f>'Prior Year'!V71</f>
        <v>156299</v>
      </c>
      <c r="C515" s="234">
        <f>V71</f>
        <v>0</v>
      </c>
      <c r="D515" s="234">
        <f>'Prior Year'!V59</f>
        <v>1226</v>
      </c>
      <c r="E515" s="180">
        <f>V59</f>
        <v>1223</v>
      </c>
      <c r="F515" s="257">
        <f t="shared" si="17"/>
        <v>127.48694942903752</v>
      </c>
      <c r="G515" s="257" t="str">
        <f t="shared" si="17"/>
        <v/>
      </c>
      <c r="H515" s="259" t="str">
        <f t="shared" si="16"/>
        <v/>
      </c>
      <c r="I515" s="261"/>
      <c r="K515" s="255"/>
      <c r="L515" s="255"/>
    </row>
    <row r="516" spans="1:12" ht="12.6" customHeight="1" x14ac:dyDescent="0.25">
      <c r="A516" s="180" t="s">
        <v>575</v>
      </c>
      <c r="B516" s="234">
        <f>'Prior Year'!W71</f>
        <v>600036</v>
      </c>
      <c r="C516" s="234">
        <f>W71</f>
        <v>622375</v>
      </c>
      <c r="D516" s="234">
        <f>'Prior Year'!W59</f>
        <v>1953</v>
      </c>
      <c r="E516" s="180">
        <f>W59</f>
        <v>2246</v>
      </c>
      <c r="F516" s="257">
        <f t="shared" si="17"/>
        <v>307.23809523809524</v>
      </c>
      <c r="G516" s="257">
        <f t="shared" si="17"/>
        <v>277.10373998219058</v>
      </c>
      <c r="H516" s="259" t="str">
        <f t="shared" si="16"/>
        <v/>
      </c>
      <c r="I516" s="261"/>
      <c r="K516" s="255"/>
      <c r="L516" s="255"/>
    </row>
    <row r="517" spans="1:12" ht="12.6" customHeight="1" x14ac:dyDescent="0.25">
      <c r="A517" s="180" t="s">
        <v>576</v>
      </c>
      <c r="B517" s="234">
        <f>'Prior Year'!X71</f>
        <v>398212</v>
      </c>
      <c r="C517" s="234">
        <f>X71</f>
        <v>435563</v>
      </c>
      <c r="D517" s="234">
        <f>'Prior Year'!X59</f>
        <v>5015</v>
      </c>
      <c r="E517" s="180">
        <f>X59</f>
        <v>5720</v>
      </c>
      <c r="F517" s="257">
        <f t="shared" si="17"/>
        <v>79.404187437686943</v>
      </c>
      <c r="G517" s="257">
        <f t="shared" si="17"/>
        <v>76.147377622377618</v>
      </c>
      <c r="H517" s="259" t="str">
        <f t="shared" si="16"/>
        <v/>
      </c>
      <c r="I517" s="261"/>
      <c r="K517" s="255"/>
      <c r="L517" s="255"/>
    </row>
    <row r="518" spans="1:12" ht="12.6" customHeight="1" x14ac:dyDescent="0.25">
      <c r="A518" s="180" t="s">
        <v>577</v>
      </c>
      <c r="B518" s="234">
        <f>'Prior Year'!Y71</f>
        <v>2668299</v>
      </c>
      <c r="C518" s="234">
        <f>Y71</f>
        <v>2702972</v>
      </c>
      <c r="D518" s="234">
        <f>'Prior Year'!Y59</f>
        <v>16773</v>
      </c>
      <c r="E518" s="180">
        <f>Y59</f>
        <v>17752</v>
      </c>
      <c r="F518" s="257">
        <f t="shared" si="17"/>
        <v>159.08299052047934</v>
      </c>
      <c r="G518" s="257">
        <f t="shared" si="17"/>
        <v>152.2629562866156</v>
      </c>
      <c r="H518" s="259" t="str">
        <f t="shared" si="16"/>
        <v/>
      </c>
      <c r="I518" s="261"/>
      <c r="K518" s="255"/>
      <c r="L518" s="255"/>
    </row>
    <row r="519" spans="1:12" ht="12.6" customHeight="1" x14ac:dyDescent="0.25">
      <c r="A519" s="180" t="s">
        <v>578</v>
      </c>
      <c r="B519" s="234">
        <f>'Prior Year'!Z71</f>
        <v>0</v>
      </c>
      <c r="C519" s="234">
        <f>Z71</f>
        <v>0</v>
      </c>
      <c r="D519" s="234">
        <f>'Prior Year'!Z59</f>
        <v>0</v>
      </c>
      <c r="E519" s="180">
        <f>Z59</f>
        <v>0</v>
      </c>
      <c r="F519" s="257" t="str">
        <f t="shared" si="17"/>
        <v/>
      </c>
      <c r="G519" s="257" t="str">
        <f t="shared" si="17"/>
        <v/>
      </c>
      <c r="H519" s="259" t="str">
        <f t="shared" si="16"/>
        <v/>
      </c>
      <c r="I519" s="261"/>
      <c r="K519" s="255"/>
      <c r="L519" s="255"/>
    </row>
    <row r="520" spans="1:12" ht="12.6" customHeight="1" x14ac:dyDescent="0.25">
      <c r="A520" s="180" t="s">
        <v>579</v>
      </c>
      <c r="B520" s="234">
        <f>'Prior Year'!AA71</f>
        <v>209426</v>
      </c>
      <c r="C520" s="234">
        <f>AA71</f>
        <v>287027</v>
      </c>
      <c r="D520" s="234">
        <f>'Prior Year'!AA59</f>
        <v>348</v>
      </c>
      <c r="E520" s="180">
        <f>AA59</f>
        <v>436</v>
      </c>
      <c r="F520" s="257">
        <f t="shared" si="17"/>
        <v>601.79885057471267</v>
      </c>
      <c r="G520" s="257">
        <f t="shared" si="17"/>
        <v>658.31880733944956</v>
      </c>
      <c r="H520" s="259" t="str">
        <f t="shared" si="16"/>
        <v/>
      </c>
      <c r="I520" s="261"/>
      <c r="K520" s="255"/>
      <c r="L520" s="255"/>
    </row>
    <row r="521" spans="1:12" ht="12.6" customHeight="1" x14ac:dyDescent="0.25">
      <c r="A521" s="180" t="s">
        <v>580</v>
      </c>
      <c r="B521" s="234">
        <f>'Prior Year'!AB71</f>
        <v>12518311</v>
      </c>
      <c r="C521" s="234">
        <f>AB71</f>
        <v>16135833</v>
      </c>
      <c r="D521" s="181" t="s">
        <v>571</v>
      </c>
      <c r="E521" s="181" t="s">
        <v>571</v>
      </c>
      <c r="F521" s="257" t="str">
        <f t="shared" si="17"/>
        <v/>
      </c>
      <c r="G521" s="257" t="str">
        <f t="shared" si="17"/>
        <v/>
      </c>
      <c r="H521" s="259" t="str">
        <f t="shared" si="16"/>
        <v/>
      </c>
      <c r="I521" s="261"/>
      <c r="K521" s="255"/>
      <c r="L521" s="255"/>
    </row>
    <row r="522" spans="1:12" ht="12.6" customHeight="1" x14ac:dyDescent="0.25">
      <c r="A522" s="180" t="s">
        <v>581</v>
      </c>
      <c r="B522" s="234">
        <f>'Prior Year'!AC71</f>
        <v>1034694</v>
      </c>
      <c r="C522" s="234">
        <f>AC71</f>
        <v>1083157</v>
      </c>
      <c r="D522" s="234">
        <f>'Prior Year'!AC59</f>
        <v>36548</v>
      </c>
      <c r="E522" s="180">
        <f>AC59</f>
        <v>42603</v>
      </c>
      <c r="F522" s="257">
        <f t="shared" si="17"/>
        <v>28.310550508919778</v>
      </c>
      <c r="G522" s="257">
        <f t="shared" si="17"/>
        <v>25.424430204445695</v>
      </c>
      <c r="H522" s="259" t="str">
        <f t="shared" si="16"/>
        <v/>
      </c>
      <c r="I522" s="261"/>
      <c r="K522" s="255"/>
      <c r="L522" s="255"/>
    </row>
    <row r="523" spans="1:12" ht="12.6" customHeight="1" x14ac:dyDescent="0.25">
      <c r="A523" s="180" t="s">
        <v>582</v>
      </c>
      <c r="B523" s="234">
        <f>'Prior Year'!AD71</f>
        <v>0</v>
      </c>
      <c r="C523" s="234">
        <f>AD71</f>
        <v>0</v>
      </c>
      <c r="D523" s="234">
        <f>'Prior Year'!AD59</f>
        <v>0</v>
      </c>
      <c r="E523" s="180">
        <f>AD59</f>
        <v>0</v>
      </c>
      <c r="F523" s="257" t="str">
        <f t="shared" si="17"/>
        <v/>
      </c>
      <c r="G523" s="257" t="str">
        <f t="shared" si="17"/>
        <v/>
      </c>
      <c r="H523" s="259" t="str">
        <f t="shared" si="16"/>
        <v/>
      </c>
      <c r="I523" s="261"/>
      <c r="K523" s="255"/>
      <c r="L523" s="255"/>
    </row>
    <row r="524" spans="1:12" ht="12.6" customHeight="1" x14ac:dyDescent="0.25">
      <c r="A524" s="180" t="s">
        <v>583</v>
      </c>
      <c r="B524" s="234">
        <f>'Prior Year'!AE71</f>
        <v>3805268</v>
      </c>
      <c r="C524" s="234">
        <f>AE71</f>
        <v>3899632</v>
      </c>
      <c r="D524" s="234">
        <f>'Prior Year'!AE59</f>
        <v>85834</v>
      </c>
      <c r="E524" s="180">
        <f>AE59</f>
        <v>98895</v>
      </c>
      <c r="F524" s="257">
        <f t="shared" si="17"/>
        <v>44.332875084465364</v>
      </c>
      <c r="G524" s="257">
        <f t="shared" si="17"/>
        <v>39.432044087163156</v>
      </c>
      <c r="H524" s="259" t="str">
        <f t="shared" si="16"/>
        <v/>
      </c>
      <c r="I524" s="261"/>
      <c r="K524" s="255"/>
      <c r="L524" s="255"/>
    </row>
    <row r="525" spans="1:12" ht="12.6" customHeight="1" x14ac:dyDescent="0.25">
      <c r="A525" s="180" t="s">
        <v>584</v>
      </c>
      <c r="B525" s="234">
        <f>'Prior Year'!AF71</f>
        <v>0</v>
      </c>
      <c r="C525" s="234">
        <f>AF71</f>
        <v>0</v>
      </c>
      <c r="D525" s="234">
        <f>'Prior Year'!AF59</f>
        <v>0</v>
      </c>
      <c r="E525" s="180">
        <f>AF59</f>
        <v>0</v>
      </c>
      <c r="F525" s="257" t="str">
        <f t="shared" si="17"/>
        <v/>
      </c>
      <c r="G525" s="257" t="str">
        <f t="shared" si="17"/>
        <v/>
      </c>
      <c r="H525" s="259" t="str">
        <f t="shared" si="16"/>
        <v/>
      </c>
      <c r="I525" s="261"/>
      <c r="K525" s="255"/>
      <c r="L525" s="255"/>
    </row>
    <row r="526" spans="1:12" ht="12.6" customHeight="1" x14ac:dyDescent="0.25">
      <c r="A526" s="180" t="s">
        <v>585</v>
      </c>
      <c r="B526" s="234">
        <f>'Prior Year'!AG71</f>
        <v>5469978</v>
      </c>
      <c r="C526" s="234">
        <f>AG71</f>
        <v>5782429</v>
      </c>
      <c r="D526" s="234">
        <f>'Prior Year'!AG59</f>
        <v>12259</v>
      </c>
      <c r="E526" s="180">
        <f>AG59</f>
        <v>12684</v>
      </c>
      <c r="F526" s="257">
        <f t="shared" si="17"/>
        <v>446.2009951872094</v>
      </c>
      <c r="G526" s="257">
        <f t="shared" si="17"/>
        <v>455.88371176285085</v>
      </c>
      <c r="H526" s="259" t="str">
        <f t="shared" si="16"/>
        <v/>
      </c>
      <c r="I526" s="261"/>
      <c r="K526" s="255"/>
      <c r="L526" s="255"/>
    </row>
    <row r="527" spans="1:12" ht="12.6" customHeight="1" x14ac:dyDescent="0.25">
      <c r="A527" s="180" t="s">
        <v>586</v>
      </c>
      <c r="B527" s="234">
        <f>'Prior Year'!AH71</f>
        <v>0</v>
      </c>
      <c r="C527" s="234">
        <f>AH71</f>
        <v>0</v>
      </c>
      <c r="D527" s="234">
        <f>'Prior Year'!AH59</f>
        <v>0</v>
      </c>
      <c r="E527" s="180">
        <f>AH59</f>
        <v>0</v>
      </c>
      <c r="F527" s="257" t="str">
        <f t="shared" si="17"/>
        <v/>
      </c>
      <c r="G527" s="257" t="str">
        <f t="shared" si="17"/>
        <v/>
      </c>
      <c r="H527" s="259" t="str">
        <f t="shared" si="16"/>
        <v/>
      </c>
      <c r="I527" s="261"/>
      <c r="K527" s="255"/>
      <c r="L527" s="255"/>
    </row>
    <row r="528" spans="1:12" ht="12.6" customHeight="1" x14ac:dyDescent="0.25">
      <c r="A528" s="180" t="s">
        <v>587</v>
      </c>
      <c r="B528" s="234">
        <f>'Prior Year'!AI71</f>
        <v>3366077</v>
      </c>
      <c r="C528" s="234">
        <f>AI71</f>
        <v>3988961</v>
      </c>
      <c r="D528" s="234">
        <f>'Prior Year'!AI59</f>
        <v>15242</v>
      </c>
      <c r="E528" s="180">
        <f>AI59</f>
        <v>17642</v>
      </c>
      <c r="F528" s="257">
        <f t="shared" ref="F528:G540" si="18">IF(B528=0,"",IF(D528=0,"",B528/D528))</f>
        <v>220.84221230809604</v>
      </c>
      <c r="G528" s="257">
        <f t="shared" si="18"/>
        <v>226.10594036957261</v>
      </c>
      <c r="H528" s="259" t="str">
        <f t="shared" si="16"/>
        <v/>
      </c>
      <c r="I528" s="261"/>
      <c r="K528" s="255"/>
      <c r="L528" s="255"/>
    </row>
    <row r="529" spans="1:12" ht="12.6" customHeight="1" x14ac:dyDescent="0.25">
      <c r="A529" s="180" t="s">
        <v>588</v>
      </c>
      <c r="B529" s="234">
        <f>'Prior Year'!AJ71</f>
        <v>24110060</v>
      </c>
      <c r="C529" s="234">
        <f>AJ71</f>
        <v>26878314</v>
      </c>
      <c r="D529" s="234">
        <f>'Prior Year'!AJ59</f>
        <v>96754</v>
      </c>
      <c r="E529" s="180">
        <f>AJ59</f>
        <v>102544</v>
      </c>
      <c r="F529" s="257">
        <f t="shared" si="18"/>
        <v>249.18928416396221</v>
      </c>
      <c r="G529" s="257">
        <f t="shared" si="18"/>
        <v>262.1149360274614</v>
      </c>
      <c r="H529" s="259" t="str">
        <f t="shared" si="16"/>
        <v/>
      </c>
      <c r="I529" s="261"/>
      <c r="K529" s="255"/>
      <c r="L529" s="255"/>
    </row>
    <row r="530" spans="1:12" ht="12.6" customHeight="1" x14ac:dyDescent="0.25">
      <c r="A530" s="180" t="s">
        <v>589</v>
      </c>
      <c r="B530" s="234">
        <f>'Prior Year'!AK71</f>
        <v>0</v>
      </c>
      <c r="C530" s="234">
        <f>AK71</f>
        <v>0</v>
      </c>
      <c r="D530" s="234">
        <f>'Prior Year'!AK59</f>
        <v>0</v>
      </c>
      <c r="E530" s="180">
        <f>AK59</f>
        <v>0</v>
      </c>
      <c r="F530" s="257" t="str">
        <f t="shared" si="18"/>
        <v/>
      </c>
      <c r="G530" s="257" t="str">
        <f t="shared" si="18"/>
        <v/>
      </c>
      <c r="H530" s="259" t="str">
        <f t="shared" si="16"/>
        <v/>
      </c>
      <c r="I530" s="261"/>
      <c r="K530" s="255"/>
      <c r="L530" s="255"/>
    </row>
    <row r="531" spans="1:12" ht="12.6" customHeight="1" x14ac:dyDescent="0.25">
      <c r="A531" s="180" t="s">
        <v>590</v>
      </c>
      <c r="B531" s="234">
        <f>'Prior Year'!AL71</f>
        <v>0</v>
      </c>
      <c r="C531" s="234">
        <f>AL71</f>
        <v>0</v>
      </c>
      <c r="D531" s="234">
        <f>'Prior Year'!AL59</f>
        <v>0</v>
      </c>
      <c r="E531" s="180">
        <f>AL59</f>
        <v>0</v>
      </c>
      <c r="F531" s="257" t="str">
        <f t="shared" si="18"/>
        <v/>
      </c>
      <c r="G531" s="257" t="str">
        <f t="shared" si="18"/>
        <v/>
      </c>
      <c r="H531" s="259" t="str">
        <f t="shared" si="16"/>
        <v/>
      </c>
      <c r="I531" s="261"/>
      <c r="K531" s="255"/>
      <c r="L531" s="255"/>
    </row>
    <row r="532" spans="1:12" ht="12.6" customHeight="1" x14ac:dyDescent="0.25">
      <c r="A532" s="180" t="s">
        <v>591</v>
      </c>
      <c r="B532" s="234">
        <f>'Prior Year'!AM71</f>
        <v>0</v>
      </c>
      <c r="C532" s="234">
        <f>AM71</f>
        <v>0</v>
      </c>
      <c r="D532" s="234">
        <f>'Prior Year'!AM59</f>
        <v>0</v>
      </c>
      <c r="E532" s="180">
        <f>AM59</f>
        <v>0</v>
      </c>
      <c r="F532" s="257" t="str">
        <f t="shared" si="18"/>
        <v/>
      </c>
      <c r="G532" s="257" t="str">
        <f t="shared" si="18"/>
        <v/>
      </c>
      <c r="H532" s="259" t="str">
        <f t="shared" si="16"/>
        <v/>
      </c>
      <c r="I532" s="261"/>
      <c r="K532" s="255"/>
      <c r="L532" s="255"/>
    </row>
    <row r="533" spans="1:12" ht="12.6" customHeight="1" x14ac:dyDescent="0.25">
      <c r="A533" s="180" t="s">
        <v>592</v>
      </c>
      <c r="B533" s="234">
        <f>'Prior Year'!AN71</f>
        <v>0</v>
      </c>
      <c r="C533" s="234">
        <f>AN71</f>
        <v>0</v>
      </c>
      <c r="D533" s="234">
        <f>'Prior Year'!AN59</f>
        <v>0</v>
      </c>
      <c r="E533" s="180">
        <f>AN59</f>
        <v>0</v>
      </c>
      <c r="F533" s="257" t="str">
        <f t="shared" si="18"/>
        <v/>
      </c>
      <c r="G533" s="257" t="str">
        <f t="shared" si="18"/>
        <v/>
      </c>
      <c r="H533" s="259" t="str">
        <f t="shared" si="16"/>
        <v/>
      </c>
      <c r="I533" s="261"/>
      <c r="K533" s="255"/>
      <c r="L533" s="255"/>
    </row>
    <row r="534" spans="1:12" ht="12.6" customHeight="1" x14ac:dyDescent="0.25">
      <c r="A534" s="180" t="s">
        <v>593</v>
      </c>
      <c r="B534" s="234">
        <f>'Prior Year'!AO71</f>
        <v>0</v>
      </c>
      <c r="C534" s="234">
        <f>AO71</f>
        <v>0</v>
      </c>
      <c r="D534" s="234">
        <f>'Prior Year'!AO59</f>
        <v>0</v>
      </c>
      <c r="E534" s="180">
        <f>AO59</f>
        <v>0</v>
      </c>
      <c r="F534" s="257" t="str">
        <f t="shared" si="18"/>
        <v/>
      </c>
      <c r="G534" s="257" t="str">
        <f t="shared" si="18"/>
        <v/>
      </c>
      <c r="H534" s="259" t="str">
        <f t="shared" si="16"/>
        <v/>
      </c>
      <c r="I534" s="261"/>
      <c r="K534" s="255"/>
      <c r="L534" s="255"/>
    </row>
    <row r="535" spans="1:12" ht="12.6" customHeight="1" x14ac:dyDescent="0.25">
      <c r="A535" s="180" t="s">
        <v>594</v>
      </c>
      <c r="B535" s="234">
        <f>'Prior Year'!AP71</f>
        <v>0</v>
      </c>
      <c r="C535" s="234">
        <f>AP71</f>
        <v>0</v>
      </c>
      <c r="D535" s="234">
        <f>'Prior Year'!AP59</f>
        <v>0</v>
      </c>
      <c r="E535" s="180">
        <f>AP59</f>
        <v>0</v>
      </c>
      <c r="F535" s="257" t="str">
        <f t="shared" si="18"/>
        <v/>
      </c>
      <c r="G535" s="257" t="str">
        <f t="shared" si="18"/>
        <v/>
      </c>
      <c r="H535" s="259" t="str">
        <f t="shared" si="16"/>
        <v/>
      </c>
      <c r="I535" s="261"/>
      <c r="K535" s="255"/>
      <c r="L535" s="255"/>
    </row>
    <row r="536" spans="1:12" ht="12.6" customHeight="1" x14ac:dyDescent="0.25">
      <c r="A536" s="180" t="s">
        <v>595</v>
      </c>
      <c r="B536" s="234">
        <f>'Prior Year'!AQ71</f>
        <v>0</v>
      </c>
      <c r="C536" s="234">
        <f>AQ71</f>
        <v>0</v>
      </c>
      <c r="D536" s="234">
        <f>'Prior Year'!AQ59</f>
        <v>0</v>
      </c>
      <c r="E536" s="180">
        <f>AQ59</f>
        <v>0</v>
      </c>
      <c r="F536" s="257" t="str">
        <f t="shared" si="18"/>
        <v/>
      </c>
      <c r="G536" s="257" t="str">
        <f t="shared" si="18"/>
        <v/>
      </c>
      <c r="H536" s="259" t="str">
        <f t="shared" si="16"/>
        <v/>
      </c>
      <c r="I536" s="261"/>
      <c r="K536" s="255"/>
      <c r="L536" s="255"/>
    </row>
    <row r="537" spans="1:12" ht="12.6" customHeight="1" x14ac:dyDescent="0.25">
      <c r="A537" s="180" t="s">
        <v>596</v>
      </c>
      <c r="B537" s="234">
        <f>'Prior Year'!AR71</f>
        <v>3872074</v>
      </c>
      <c r="C537" s="234">
        <f>AR71</f>
        <v>5111999</v>
      </c>
      <c r="D537" s="234">
        <f>'Prior Year'!AR59</f>
        <v>16797</v>
      </c>
      <c r="E537" s="180">
        <f>AR59</f>
        <v>17968</v>
      </c>
      <c r="F537" s="257">
        <f t="shared" si="18"/>
        <v>230.52175983806632</v>
      </c>
      <c r="G537" s="257">
        <f t="shared" si="18"/>
        <v>284.50573241317898</v>
      </c>
      <c r="H537" s="259" t="str">
        <f t="shared" si="16"/>
        <v/>
      </c>
      <c r="I537" s="261"/>
      <c r="K537" s="255"/>
      <c r="L537" s="255"/>
    </row>
    <row r="538" spans="1:12" ht="12.6" customHeight="1" x14ac:dyDescent="0.25">
      <c r="A538" s="180" t="s">
        <v>597</v>
      </c>
      <c r="B538" s="234">
        <f>'Prior Year'!AS71</f>
        <v>0</v>
      </c>
      <c r="C538" s="234">
        <f>AS71</f>
        <v>0</v>
      </c>
      <c r="D538" s="234">
        <f>'Prior Year'!AS59</f>
        <v>0</v>
      </c>
      <c r="E538" s="180">
        <f>AS59</f>
        <v>0</v>
      </c>
      <c r="F538" s="257" t="str">
        <f t="shared" si="18"/>
        <v/>
      </c>
      <c r="G538" s="257" t="str">
        <f t="shared" si="18"/>
        <v/>
      </c>
      <c r="H538" s="259" t="str">
        <f t="shared" si="16"/>
        <v/>
      </c>
      <c r="I538" s="261"/>
      <c r="K538" s="255"/>
      <c r="L538" s="255"/>
    </row>
    <row r="539" spans="1:12" ht="12.6" customHeight="1" x14ac:dyDescent="0.25">
      <c r="A539" s="180" t="s">
        <v>598</v>
      </c>
      <c r="B539" s="234">
        <f>'Prior Year'!AT71</f>
        <v>0</v>
      </c>
      <c r="C539" s="234">
        <f>AT71</f>
        <v>0</v>
      </c>
      <c r="D539" s="234">
        <f>'Prior Year'!AT59</f>
        <v>0</v>
      </c>
      <c r="E539" s="180">
        <f>AT59</f>
        <v>0</v>
      </c>
      <c r="F539" s="257" t="str">
        <f t="shared" si="18"/>
        <v/>
      </c>
      <c r="G539" s="257" t="str">
        <f t="shared" si="18"/>
        <v/>
      </c>
      <c r="H539" s="259" t="str">
        <f t="shared" si="16"/>
        <v/>
      </c>
      <c r="I539" s="261"/>
      <c r="K539" s="255"/>
      <c r="L539" s="255"/>
    </row>
    <row r="540" spans="1:12" ht="12.6" customHeight="1" x14ac:dyDescent="0.25">
      <c r="A540" s="180" t="s">
        <v>599</v>
      </c>
      <c r="B540" s="234">
        <f>'Prior Year'!AU71</f>
        <v>0</v>
      </c>
      <c r="C540" s="234">
        <f>AU71</f>
        <v>0</v>
      </c>
      <c r="D540" s="234">
        <f>'Prior Year'!AU59</f>
        <v>0</v>
      </c>
      <c r="E540" s="180">
        <f>AU59</f>
        <v>0</v>
      </c>
      <c r="F540" s="257" t="str">
        <f t="shared" si="18"/>
        <v/>
      </c>
      <c r="G540" s="257" t="str">
        <f t="shared" si="18"/>
        <v/>
      </c>
      <c r="H540" s="259" t="str">
        <f t="shared" si="16"/>
        <v/>
      </c>
      <c r="I540" s="261"/>
      <c r="K540" s="255"/>
      <c r="L540" s="255"/>
    </row>
    <row r="541" spans="1:12" ht="12.6" customHeight="1" x14ac:dyDescent="0.25">
      <c r="A541" s="180" t="s">
        <v>600</v>
      </c>
      <c r="B541" s="234">
        <f>'Prior Year'!AV71</f>
        <v>2171543</v>
      </c>
      <c r="C541" s="234">
        <f>AV71</f>
        <v>2372548</v>
      </c>
      <c r="D541" s="181" t="s">
        <v>571</v>
      </c>
      <c r="E541" s="181" t="s">
        <v>571</v>
      </c>
      <c r="F541" s="257"/>
      <c r="G541" s="257"/>
      <c r="H541" s="259"/>
      <c r="I541" s="261"/>
      <c r="K541" s="255"/>
      <c r="L541" s="255"/>
    </row>
    <row r="542" spans="1:12" ht="12.6" customHeight="1" x14ac:dyDescent="0.25">
      <c r="A542" s="180" t="s">
        <v>601</v>
      </c>
      <c r="B542" s="234">
        <f>'Prior Year'!AW71</f>
        <v>0</v>
      </c>
      <c r="C542" s="234">
        <f>AW71</f>
        <v>0</v>
      </c>
      <c r="D542" s="181" t="s">
        <v>571</v>
      </c>
      <c r="E542" s="181" t="s">
        <v>571</v>
      </c>
      <c r="F542" s="257"/>
      <c r="G542" s="257"/>
      <c r="H542" s="259"/>
      <c r="I542" s="261"/>
      <c r="K542" s="255"/>
      <c r="L542" s="255"/>
    </row>
    <row r="543" spans="1:12" ht="12.6" customHeight="1" x14ac:dyDescent="0.25">
      <c r="A543" s="180" t="s">
        <v>602</v>
      </c>
      <c r="B543" s="234">
        <f>'Prior Year'!AX71</f>
        <v>0</v>
      </c>
      <c r="C543" s="234">
        <f>AX71</f>
        <v>0</v>
      </c>
      <c r="D543" s="181" t="s">
        <v>571</v>
      </c>
      <c r="E543" s="181" t="s">
        <v>571</v>
      </c>
      <c r="F543" s="257"/>
      <c r="G543" s="257"/>
      <c r="H543" s="259"/>
      <c r="I543" s="261"/>
      <c r="K543" s="255"/>
      <c r="L543" s="255"/>
    </row>
    <row r="544" spans="1:12" ht="12.6" customHeight="1" x14ac:dyDescent="0.25">
      <c r="A544" s="180" t="s">
        <v>603</v>
      </c>
      <c r="B544" s="234">
        <f>'Prior Year'!AY71</f>
        <v>798907</v>
      </c>
      <c r="C544" s="234">
        <f>AY71</f>
        <v>664586</v>
      </c>
      <c r="D544" s="234">
        <f>'Prior Year'!AY59</f>
        <v>15389</v>
      </c>
      <c r="E544" s="180">
        <f>AY59</f>
        <v>15632</v>
      </c>
      <c r="F544" s="257">
        <f t="shared" ref="F544:G550" si="19">IF(B544=0,"",IF(D544=0,"",B544/D544))</f>
        <v>51.914159464552604</v>
      </c>
      <c r="G544" s="257">
        <f t="shared" si="19"/>
        <v>42.514457523029684</v>
      </c>
      <c r="H544" s="259" t="str">
        <f t="shared" si="16"/>
        <v/>
      </c>
      <c r="I544" s="261"/>
      <c r="K544" s="255"/>
      <c r="L544" s="255"/>
    </row>
    <row r="545" spans="1:13" ht="12.6" customHeight="1" x14ac:dyDescent="0.25">
      <c r="A545" s="180" t="s">
        <v>604</v>
      </c>
      <c r="B545" s="234">
        <f>'Prior Year'!AZ71</f>
        <v>0</v>
      </c>
      <c r="C545" s="234">
        <f>AZ71</f>
        <v>0</v>
      </c>
      <c r="D545" s="234">
        <f>'Prior Year'!AZ59</f>
        <v>0</v>
      </c>
      <c r="E545" s="180">
        <f>AZ59</f>
        <v>0</v>
      </c>
      <c r="F545" s="257" t="str">
        <f t="shared" si="19"/>
        <v/>
      </c>
      <c r="G545" s="257" t="str">
        <f t="shared" si="19"/>
        <v/>
      </c>
      <c r="H545" s="259" t="str">
        <f t="shared" si="16"/>
        <v/>
      </c>
      <c r="I545" s="261"/>
      <c r="K545" s="255"/>
      <c r="L545" s="255"/>
    </row>
    <row r="546" spans="1:13" ht="12.6" customHeight="1" x14ac:dyDescent="0.25">
      <c r="A546" s="180" t="s">
        <v>605</v>
      </c>
      <c r="B546" s="234">
        <f>'Prior Year'!BA71</f>
        <v>284608</v>
      </c>
      <c r="C546" s="234">
        <f>BA71</f>
        <v>355959</v>
      </c>
      <c r="D546" s="234">
        <f>'Prior Year'!BA59</f>
        <v>0</v>
      </c>
      <c r="E546" s="180">
        <f>BA59</f>
        <v>0</v>
      </c>
      <c r="F546" s="257" t="str">
        <f t="shared" si="19"/>
        <v/>
      </c>
      <c r="G546" s="257" t="str">
        <f t="shared" si="19"/>
        <v/>
      </c>
      <c r="H546" s="259" t="str">
        <f t="shared" si="16"/>
        <v/>
      </c>
      <c r="I546" s="261"/>
      <c r="K546" s="255"/>
      <c r="L546" s="255"/>
    </row>
    <row r="547" spans="1:13" ht="12.6" customHeight="1" x14ac:dyDescent="0.25">
      <c r="A547" s="180" t="s">
        <v>606</v>
      </c>
      <c r="B547" s="234">
        <f>'Prior Year'!BB71</f>
        <v>2136</v>
      </c>
      <c r="C547" s="234">
        <f>BB71</f>
        <v>1610</v>
      </c>
      <c r="D547" s="181" t="s">
        <v>571</v>
      </c>
      <c r="E547" s="181" t="s">
        <v>571</v>
      </c>
      <c r="F547" s="257"/>
      <c r="G547" s="257"/>
      <c r="H547" s="259"/>
      <c r="I547" s="261"/>
      <c r="K547" s="255"/>
      <c r="L547" s="255"/>
    </row>
    <row r="548" spans="1:13" ht="12.6" customHeight="1" x14ac:dyDescent="0.25">
      <c r="A548" s="180" t="s">
        <v>607</v>
      </c>
      <c r="B548" s="234">
        <f>'Prior Year'!BC71</f>
        <v>0</v>
      </c>
      <c r="C548" s="234">
        <f>BC71</f>
        <v>0</v>
      </c>
      <c r="D548" s="181" t="s">
        <v>571</v>
      </c>
      <c r="E548" s="181" t="s">
        <v>571</v>
      </c>
      <c r="F548" s="257"/>
      <c r="G548" s="257"/>
      <c r="H548" s="259"/>
      <c r="I548" s="261"/>
      <c r="K548" s="255"/>
      <c r="L548" s="255"/>
    </row>
    <row r="549" spans="1:13" ht="12.6" customHeight="1" x14ac:dyDescent="0.25">
      <c r="A549" s="180" t="s">
        <v>608</v>
      </c>
      <c r="B549" s="234">
        <f>'Prior Year'!BD71</f>
        <v>694454</v>
      </c>
      <c r="C549" s="234">
        <f>BD71</f>
        <v>721398</v>
      </c>
      <c r="D549" s="181" t="s">
        <v>571</v>
      </c>
      <c r="E549" s="181" t="s">
        <v>571</v>
      </c>
      <c r="F549" s="257"/>
      <c r="G549" s="257"/>
      <c r="H549" s="259"/>
      <c r="I549" s="261"/>
      <c r="K549" s="255"/>
      <c r="L549" s="255"/>
    </row>
    <row r="550" spans="1:13" ht="12.6" customHeight="1" x14ac:dyDescent="0.25">
      <c r="A550" s="180" t="s">
        <v>609</v>
      </c>
      <c r="B550" s="234">
        <f>'Prior Year'!BE71</f>
        <v>3081031</v>
      </c>
      <c r="C550" s="234">
        <f>BE71</f>
        <v>3953863</v>
      </c>
      <c r="D550" s="234">
        <f>'Prior Year'!BE59</f>
        <v>170421</v>
      </c>
      <c r="E550" s="180">
        <f>BE59</f>
        <v>228101</v>
      </c>
      <c r="F550" s="257">
        <f t="shared" si="19"/>
        <v>18.078939802019704</v>
      </c>
      <c r="G550" s="257">
        <f t="shared" si="19"/>
        <v>17.333825805235399</v>
      </c>
      <c r="H550" s="259" t="str">
        <f t="shared" si="16"/>
        <v/>
      </c>
      <c r="I550" s="261"/>
      <c r="K550" s="255"/>
      <c r="L550" s="255"/>
    </row>
    <row r="551" spans="1:13" ht="12.6" customHeight="1" x14ac:dyDescent="0.25">
      <c r="A551" s="180" t="s">
        <v>610</v>
      </c>
      <c r="B551" s="234">
        <f>'Prior Year'!BF71</f>
        <v>1490617</v>
      </c>
      <c r="C551" s="234">
        <f>BF71</f>
        <v>1552512</v>
      </c>
      <c r="D551" s="181" t="s">
        <v>571</v>
      </c>
      <c r="E551" s="181" t="s">
        <v>571</v>
      </c>
      <c r="F551" s="257"/>
      <c r="G551" s="257"/>
      <c r="H551" s="259"/>
      <c r="I551" s="261"/>
      <c r="J551" s="199"/>
      <c r="M551" s="259"/>
    </row>
    <row r="552" spans="1:13" ht="12.6" customHeight="1" x14ac:dyDescent="0.25">
      <c r="A552" s="180" t="s">
        <v>611</v>
      </c>
      <c r="B552" s="234">
        <f>'Prior Year'!BG71</f>
        <v>259648</v>
      </c>
      <c r="C552" s="234">
        <f>BG71</f>
        <v>252910</v>
      </c>
      <c r="D552" s="181" t="s">
        <v>571</v>
      </c>
      <c r="E552" s="181" t="s">
        <v>571</v>
      </c>
      <c r="F552" s="257"/>
      <c r="G552" s="257"/>
      <c r="H552" s="259"/>
      <c r="J552" s="199"/>
      <c r="M552" s="259"/>
    </row>
    <row r="553" spans="1:13" ht="12.6" customHeight="1" x14ac:dyDescent="0.25">
      <c r="A553" s="180" t="s">
        <v>612</v>
      </c>
      <c r="B553" s="234">
        <f>'Prior Year'!BH71</f>
        <v>3102039</v>
      </c>
      <c r="C553" s="234">
        <f>BH71</f>
        <v>3829356</v>
      </c>
      <c r="D553" s="181" t="s">
        <v>571</v>
      </c>
      <c r="E553" s="181" t="s">
        <v>571</v>
      </c>
      <c r="F553" s="257"/>
      <c r="G553" s="257"/>
      <c r="H553" s="259"/>
      <c r="J553" s="199"/>
      <c r="M553" s="259"/>
    </row>
    <row r="554" spans="1:13" ht="12.6" customHeight="1" x14ac:dyDescent="0.25">
      <c r="A554" s="180" t="s">
        <v>613</v>
      </c>
      <c r="B554" s="234">
        <f>'Prior Year'!BI71</f>
        <v>0</v>
      </c>
      <c r="C554" s="234">
        <f>BI71</f>
        <v>0</v>
      </c>
      <c r="D554" s="181" t="s">
        <v>571</v>
      </c>
      <c r="E554" s="181" t="s">
        <v>571</v>
      </c>
      <c r="F554" s="257"/>
      <c r="G554" s="257"/>
      <c r="H554" s="259"/>
      <c r="J554" s="199"/>
      <c r="M554" s="259"/>
    </row>
    <row r="555" spans="1:13" ht="12.6" customHeight="1" x14ac:dyDescent="0.25">
      <c r="A555" s="180" t="s">
        <v>614</v>
      </c>
      <c r="B555" s="234">
        <f>'Prior Year'!BJ71</f>
        <v>1113263</v>
      </c>
      <c r="C555" s="234">
        <f>BJ71</f>
        <v>1098511</v>
      </c>
      <c r="D555" s="181" t="s">
        <v>571</v>
      </c>
      <c r="E555" s="181" t="s">
        <v>571</v>
      </c>
      <c r="F555" s="257"/>
      <c r="G555" s="257"/>
      <c r="H555" s="259"/>
      <c r="J555" s="199"/>
      <c r="M555" s="259"/>
    </row>
    <row r="556" spans="1:13" ht="12.6" customHeight="1" x14ac:dyDescent="0.25">
      <c r="A556" s="180" t="s">
        <v>615</v>
      </c>
      <c r="B556" s="234">
        <f>'Prior Year'!BK71</f>
        <v>1364320</v>
      </c>
      <c r="C556" s="234">
        <f>BK71</f>
        <v>1430940</v>
      </c>
      <c r="D556" s="181" t="s">
        <v>571</v>
      </c>
      <c r="E556" s="181" t="s">
        <v>571</v>
      </c>
      <c r="F556" s="257"/>
      <c r="G556" s="257"/>
      <c r="H556" s="259"/>
      <c r="J556" s="199"/>
      <c r="M556" s="259"/>
    </row>
    <row r="557" spans="1:13" ht="12.6" customHeight="1" x14ac:dyDescent="0.25">
      <c r="A557" s="180" t="s">
        <v>616</v>
      </c>
      <c r="B557" s="234">
        <f>'Prior Year'!BL71</f>
        <v>827572</v>
      </c>
      <c r="C557" s="234">
        <f>BL71</f>
        <v>915973</v>
      </c>
      <c r="D557" s="181" t="s">
        <v>571</v>
      </c>
      <c r="E557" s="181" t="s">
        <v>571</v>
      </c>
      <c r="F557" s="257"/>
      <c r="G557" s="257"/>
      <c r="H557" s="259"/>
      <c r="J557" s="199"/>
      <c r="M557" s="259"/>
    </row>
    <row r="558" spans="1:13" ht="12.6" customHeight="1" x14ac:dyDescent="0.25">
      <c r="A558" s="180" t="s">
        <v>617</v>
      </c>
      <c r="B558" s="234">
        <f>'Prior Year'!BM71</f>
        <v>620369</v>
      </c>
      <c r="C558" s="234">
        <f>BM71</f>
        <v>481741</v>
      </c>
      <c r="D558" s="181" t="s">
        <v>571</v>
      </c>
      <c r="E558" s="181" t="s">
        <v>571</v>
      </c>
      <c r="F558" s="257"/>
      <c r="G558" s="257"/>
      <c r="H558" s="259"/>
      <c r="J558" s="199"/>
      <c r="M558" s="259"/>
    </row>
    <row r="559" spans="1:13" ht="12.6" customHeight="1" x14ac:dyDescent="0.25">
      <c r="A559" s="180" t="s">
        <v>618</v>
      </c>
      <c r="B559" s="234">
        <f>'Prior Year'!BN71</f>
        <v>2246562</v>
      </c>
      <c r="C559" s="234">
        <f>BN71</f>
        <v>2414602</v>
      </c>
      <c r="D559" s="181" t="s">
        <v>571</v>
      </c>
      <c r="E559" s="181" t="s">
        <v>571</v>
      </c>
      <c r="F559" s="257"/>
      <c r="G559" s="257"/>
      <c r="H559" s="259"/>
      <c r="J559" s="199"/>
      <c r="M559" s="259"/>
    </row>
    <row r="560" spans="1:13" ht="12.6" customHeight="1" x14ac:dyDescent="0.25">
      <c r="A560" s="180" t="s">
        <v>619</v>
      </c>
      <c r="B560" s="234">
        <f>'Prior Year'!BO71</f>
        <v>143607</v>
      </c>
      <c r="C560" s="234">
        <f>BO71</f>
        <v>85308</v>
      </c>
      <c r="D560" s="181" t="s">
        <v>571</v>
      </c>
      <c r="E560" s="181" t="s">
        <v>571</v>
      </c>
      <c r="F560" s="257"/>
      <c r="G560" s="257"/>
      <c r="H560" s="259"/>
      <c r="J560" s="199"/>
      <c r="M560" s="259"/>
    </row>
    <row r="561" spans="1:13" ht="12.6" customHeight="1" x14ac:dyDescent="0.25">
      <c r="A561" s="180" t="s">
        <v>620</v>
      </c>
      <c r="B561" s="234">
        <f>'Prior Year'!BP71</f>
        <v>403042</v>
      </c>
      <c r="C561" s="234">
        <f>BP71</f>
        <v>387033</v>
      </c>
      <c r="D561" s="181" t="s">
        <v>571</v>
      </c>
      <c r="E561" s="181" t="s">
        <v>571</v>
      </c>
      <c r="F561" s="257"/>
      <c r="G561" s="257"/>
      <c r="H561" s="259"/>
      <c r="J561" s="199"/>
      <c r="M561" s="259"/>
    </row>
    <row r="562" spans="1:13" ht="12.6" customHeight="1" x14ac:dyDescent="0.25">
      <c r="A562" s="180" t="s">
        <v>621</v>
      </c>
      <c r="B562" s="234">
        <f>'Prior Year'!BQ71</f>
        <v>0</v>
      </c>
      <c r="C562" s="234">
        <f>BQ71</f>
        <v>0</v>
      </c>
      <c r="D562" s="181" t="s">
        <v>571</v>
      </c>
      <c r="E562" s="181" t="s">
        <v>571</v>
      </c>
      <c r="F562" s="257"/>
      <c r="G562" s="257"/>
      <c r="H562" s="259"/>
      <c r="J562" s="199"/>
      <c r="M562" s="259"/>
    </row>
    <row r="563" spans="1:13" ht="12.6" customHeight="1" x14ac:dyDescent="0.25">
      <c r="A563" s="180" t="s">
        <v>622</v>
      </c>
      <c r="B563" s="234">
        <f>'Prior Year'!BR71</f>
        <v>1088075</v>
      </c>
      <c r="C563" s="234">
        <f>BR71</f>
        <v>1195135</v>
      </c>
      <c r="D563" s="181" t="s">
        <v>571</v>
      </c>
      <c r="E563" s="181" t="s">
        <v>571</v>
      </c>
      <c r="F563" s="257"/>
      <c r="G563" s="257"/>
      <c r="H563" s="259"/>
      <c r="J563" s="199"/>
      <c r="M563" s="259"/>
    </row>
    <row r="564" spans="1:13" ht="12.6" customHeight="1" x14ac:dyDescent="0.25">
      <c r="A564" s="180" t="s">
        <v>623</v>
      </c>
      <c r="B564" s="234">
        <f>'Prior Year'!BS71</f>
        <v>89560</v>
      </c>
      <c r="C564" s="234">
        <f>BS71</f>
        <v>108255</v>
      </c>
      <c r="D564" s="181" t="s">
        <v>571</v>
      </c>
      <c r="E564" s="181" t="s">
        <v>571</v>
      </c>
      <c r="F564" s="257"/>
      <c r="G564" s="257"/>
      <c r="H564" s="259"/>
      <c r="J564" s="199"/>
      <c r="M564" s="259"/>
    </row>
    <row r="565" spans="1:13" ht="12.6" customHeight="1" x14ac:dyDescent="0.25">
      <c r="A565" s="180" t="s">
        <v>624</v>
      </c>
      <c r="B565" s="234">
        <f>'Prior Year'!BT71</f>
        <v>0</v>
      </c>
      <c r="C565" s="234">
        <f>BT71</f>
        <v>0</v>
      </c>
      <c r="D565" s="181" t="s">
        <v>571</v>
      </c>
      <c r="E565" s="181" t="s">
        <v>571</v>
      </c>
      <c r="F565" s="257"/>
      <c r="G565" s="257"/>
      <c r="H565" s="259"/>
      <c r="J565" s="199"/>
      <c r="M565" s="259"/>
    </row>
    <row r="566" spans="1:13" ht="12.6" customHeight="1" x14ac:dyDescent="0.25">
      <c r="A566" s="180" t="s">
        <v>625</v>
      </c>
      <c r="B566" s="234">
        <f>'Prior Year'!BU71</f>
        <v>0</v>
      </c>
      <c r="C566" s="234">
        <f>BU71</f>
        <v>0</v>
      </c>
      <c r="D566" s="181" t="s">
        <v>571</v>
      </c>
      <c r="E566" s="181" t="s">
        <v>571</v>
      </c>
      <c r="F566" s="257"/>
      <c r="G566" s="257"/>
      <c r="H566" s="259"/>
      <c r="J566" s="199"/>
      <c r="M566" s="259"/>
    </row>
    <row r="567" spans="1:13" ht="12.6" customHeight="1" x14ac:dyDescent="0.25">
      <c r="A567" s="180" t="s">
        <v>626</v>
      </c>
      <c r="B567" s="234">
        <f>'Prior Year'!BV71</f>
        <v>885107</v>
      </c>
      <c r="C567" s="234">
        <f>BV71</f>
        <v>894369</v>
      </c>
      <c r="D567" s="181" t="s">
        <v>571</v>
      </c>
      <c r="E567" s="181" t="s">
        <v>571</v>
      </c>
      <c r="F567" s="257"/>
      <c r="G567" s="257"/>
      <c r="H567" s="259"/>
      <c r="J567" s="199"/>
      <c r="M567" s="259"/>
    </row>
    <row r="568" spans="1:13" ht="12.6" customHeight="1" x14ac:dyDescent="0.25">
      <c r="A568" s="180" t="s">
        <v>627</v>
      </c>
      <c r="B568" s="234">
        <f>'Prior Year'!BW71</f>
        <v>536867</v>
      </c>
      <c r="C568" s="234">
        <f>BW71</f>
        <v>908498</v>
      </c>
      <c r="D568" s="181" t="s">
        <v>571</v>
      </c>
      <c r="E568" s="181" t="s">
        <v>571</v>
      </c>
      <c r="F568" s="257"/>
      <c r="G568" s="257"/>
      <c r="H568" s="259"/>
      <c r="J568" s="199"/>
      <c r="M568" s="259"/>
    </row>
    <row r="569" spans="1:13" ht="12.6" customHeight="1" x14ac:dyDescent="0.25">
      <c r="A569" s="180" t="s">
        <v>628</v>
      </c>
      <c r="B569" s="234">
        <f>'Prior Year'!BX71</f>
        <v>478940</v>
      </c>
      <c r="C569" s="234">
        <f>BX71</f>
        <v>538096</v>
      </c>
      <c r="D569" s="181" t="s">
        <v>571</v>
      </c>
      <c r="E569" s="181" t="s">
        <v>571</v>
      </c>
      <c r="F569" s="257"/>
      <c r="G569" s="257"/>
      <c r="H569" s="259"/>
      <c r="J569" s="199"/>
      <c r="M569" s="259"/>
    </row>
    <row r="570" spans="1:13" ht="12.6" customHeight="1" x14ac:dyDescent="0.25">
      <c r="A570" s="180" t="s">
        <v>629</v>
      </c>
      <c r="B570" s="234">
        <f>'Prior Year'!BY71</f>
        <v>1495548</v>
      </c>
      <c r="C570" s="234">
        <f>BY71</f>
        <v>1425827</v>
      </c>
      <c r="D570" s="181" t="s">
        <v>571</v>
      </c>
      <c r="E570" s="181" t="s">
        <v>571</v>
      </c>
      <c r="F570" s="257"/>
      <c r="G570" s="257"/>
      <c r="H570" s="259"/>
      <c r="J570" s="199"/>
      <c r="M570" s="259"/>
    </row>
    <row r="571" spans="1:13" ht="12.6" customHeight="1" x14ac:dyDescent="0.25">
      <c r="A571" s="180" t="s">
        <v>630</v>
      </c>
      <c r="B571" s="234">
        <f>'Prior Year'!BZ71</f>
        <v>0</v>
      </c>
      <c r="C571" s="234">
        <f>BZ71</f>
        <v>0</v>
      </c>
      <c r="D571" s="181" t="s">
        <v>571</v>
      </c>
      <c r="E571" s="181" t="s">
        <v>571</v>
      </c>
      <c r="F571" s="257"/>
      <c r="G571" s="257"/>
      <c r="H571" s="259"/>
      <c r="J571" s="199"/>
      <c r="M571" s="259"/>
    </row>
    <row r="572" spans="1:13" ht="12.6" customHeight="1" x14ac:dyDescent="0.25">
      <c r="A572" s="180" t="s">
        <v>631</v>
      </c>
      <c r="B572" s="234">
        <f>'Prior Year'!CA71</f>
        <v>0</v>
      </c>
      <c r="C572" s="234">
        <f>CA71</f>
        <v>0</v>
      </c>
      <c r="D572" s="181" t="s">
        <v>571</v>
      </c>
      <c r="E572" s="181" t="s">
        <v>571</v>
      </c>
      <c r="F572" s="257"/>
      <c r="G572" s="257"/>
      <c r="H572" s="259"/>
      <c r="J572" s="199"/>
      <c r="M572" s="259"/>
    </row>
    <row r="573" spans="1:13" ht="12.6" customHeight="1" x14ac:dyDescent="0.25">
      <c r="A573" s="180" t="s">
        <v>632</v>
      </c>
      <c r="B573" s="234">
        <f>'Prior Year'!CB71</f>
        <v>121696</v>
      </c>
      <c r="C573" s="234">
        <f>CB71</f>
        <v>103848</v>
      </c>
      <c r="D573" s="181" t="s">
        <v>571</v>
      </c>
      <c r="E573" s="181" t="s">
        <v>571</v>
      </c>
      <c r="F573" s="257"/>
      <c r="G573" s="257"/>
      <c r="H573" s="259"/>
      <c r="J573" s="199"/>
      <c r="M573" s="259"/>
    </row>
    <row r="574" spans="1:13" ht="12.6" customHeight="1" x14ac:dyDescent="0.25">
      <c r="A574" s="180" t="s">
        <v>633</v>
      </c>
      <c r="B574" s="234">
        <f>'Prior Year'!CC71</f>
        <v>1690440</v>
      </c>
      <c r="C574" s="234">
        <f>CC71</f>
        <v>2277279</v>
      </c>
      <c r="D574" s="181" t="s">
        <v>571</v>
      </c>
      <c r="E574" s="181" t="s">
        <v>571</v>
      </c>
      <c r="F574" s="257"/>
      <c r="G574" s="257"/>
      <c r="H574" s="259"/>
      <c r="J574" s="199"/>
      <c r="M574" s="259"/>
    </row>
    <row r="575" spans="1:13" ht="12.6" customHeight="1" x14ac:dyDescent="0.25">
      <c r="A575" s="180" t="s">
        <v>634</v>
      </c>
      <c r="B575" s="234">
        <f>'Prior Year'!CD71</f>
        <v>-1166625</v>
      </c>
      <c r="C575" s="234">
        <f>CD71</f>
        <v>-1333823</v>
      </c>
      <c r="D575" s="181" t="s">
        <v>571</v>
      </c>
      <c r="E575" s="181" t="s">
        <v>571</v>
      </c>
      <c r="F575" s="257"/>
      <c r="G575" s="257"/>
      <c r="H575" s="259"/>
    </row>
    <row r="576" spans="1:13" ht="12.6" customHeight="1" x14ac:dyDescent="0.25">
      <c r="M576" s="259"/>
    </row>
    <row r="577" spans="13:13" ht="12.6" customHeight="1" x14ac:dyDescent="0.25">
      <c r="M577" s="259"/>
    </row>
    <row r="578" spans="13:13" ht="12.6" customHeight="1" x14ac:dyDescent="0.25">
      <c r="M578" s="259"/>
    </row>
    <row r="612" spans="1:14" ht="12.6" customHeight="1" x14ac:dyDescent="0.25">
      <c r="A612" s="196"/>
      <c r="C612" s="181" t="s">
        <v>635</v>
      </c>
      <c r="D612" s="180">
        <f>CE76-(BE76+CD76)</f>
        <v>168579.39999999997</v>
      </c>
      <c r="E612" s="180">
        <f>SUM(C624:D647)+SUM(C668:D713)</f>
        <v>108934267.58602555</v>
      </c>
      <c r="F612" s="180">
        <f>CE64-(AX64+BD64+BE64+BG64+BJ64+BN64+BP64+BQ64+CB64+CC64+CD64)</f>
        <v>23113466</v>
      </c>
      <c r="G612" s="180">
        <f>CE77-(AX77+AY77+BD77+BE77+BG77+BJ77+BN77+BP77+BQ77+CB77+CC77+CD77)</f>
        <v>15632</v>
      </c>
      <c r="H612" s="197">
        <f>CE60-(AX60+AY60+AZ60+BD60+BE60+BG60+BJ60+BN60+BO60+BP60+BQ60+BR60+CB60+CC60+CD60)</f>
        <v>567.71461026258612</v>
      </c>
      <c r="I612" s="180">
        <f>CE78-(AX78+AY78+AZ78+BD78+BE78+BF78+BG78+BJ78+BN78+BO78+BP78+BQ78+BR78+CB78+CC78+CD78)</f>
        <v>92428.88</v>
      </c>
      <c r="J612" s="180">
        <f>CE79-(AX79+AY79+AZ79+BA79+BD79+BE79+BF79+BG79+BJ79+BN79+BO79+BP79+BQ79+BR79+CB79+CC79+CD79)</f>
        <v>286110</v>
      </c>
      <c r="K612" s="180">
        <f>CE75-(AW75+AX75+AY75+AZ75+BA75+BB75+BC75+BD75+BE75+BF75+BG75+BH75+BI75+BJ75+BK75+BL75+BM75+BN75+BO75+BP75+BQ75+BR75+BS75+BT75+BU75+BV75+BW75+BX75+CB75+CC75+CD75)</f>
        <v>261404232</v>
      </c>
      <c r="L612" s="197">
        <f>CE80-(AW80+AX80+AY80+AZ80+BA80+BB80+BC80+BD80+BE80+BF80+BG80+BH80+BI80+BJ80+BK80+BL80+BM80+BN80+BO80+BP80+BQ80+BR80+BS80+BT80+BU80+BV80+BW80+BX80+BY80+BZ80+CA80+CB80+CC80+CD80)</f>
        <v>113.2860336538462</v>
      </c>
    </row>
    <row r="613" spans="1:14" ht="12.6" customHeight="1" x14ac:dyDescent="0.25">
      <c r="A613" s="196"/>
      <c r="C613" s="181" t="s">
        <v>636</v>
      </c>
      <c r="D613" s="181" t="s">
        <v>637</v>
      </c>
      <c r="E613" s="198" t="s">
        <v>638</v>
      </c>
      <c r="F613" s="181" t="s">
        <v>639</v>
      </c>
      <c r="G613" s="181" t="s">
        <v>640</v>
      </c>
      <c r="H613" s="181" t="s">
        <v>641</v>
      </c>
      <c r="I613" s="181" t="s">
        <v>642</v>
      </c>
      <c r="J613" s="181" t="s">
        <v>643</v>
      </c>
      <c r="K613" s="181" t="s">
        <v>644</v>
      </c>
      <c r="L613" s="198" t="s">
        <v>645</v>
      </c>
    </row>
    <row r="614" spans="1:14" ht="12.6" customHeight="1" x14ac:dyDescent="0.25">
      <c r="A614" s="196">
        <v>8430</v>
      </c>
      <c r="B614" s="198" t="s">
        <v>156</v>
      </c>
      <c r="C614" s="180">
        <f>BE71</f>
        <v>3953863</v>
      </c>
      <c r="N614" s="199" t="s">
        <v>646</v>
      </c>
    </row>
    <row r="615" spans="1:14" ht="12.6" customHeight="1" x14ac:dyDescent="0.25">
      <c r="A615" s="196"/>
      <c r="B615" s="198" t="s">
        <v>647</v>
      </c>
      <c r="C615" s="266">
        <f>CD69-CD70</f>
        <v>-1333823</v>
      </c>
      <c r="D615" s="260">
        <f>SUM(C614:C615)</f>
        <v>2620040</v>
      </c>
      <c r="N615" s="199" t="s">
        <v>648</v>
      </c>
    </row>
    <row r="616" spans="1:14" ht="12.6" customHeight="1" x14ac:dyDescent="0.25">
      <c r="A616" s="196">
        <v>8310</v>
      </c>
      <c r="B616" s="200" t="s">
        <v>649</v>
      </c>
      <c r="C616" s="180">
        <f>AX71</f>
        <v>0</v>
      </c>
      <c r="D616" s="180">
        <f>(D615/D612)*AX76</f>
        <v>0</v>
      </c>
      <c r="N616" s="199" t="s">
        <v>650</v>
      </c>
    </row>
    <row r="617" spans="1:14" ht="12.6" customHeight="1" x14ac:dyDescent="0.25">
      <c r="A617" s="196">
        <v>8510</v>
      </c>
      <c r="B617" s="200" t="s">
        <v>161</v>
      </c>
      <c r="C617" s="180">
        <f>BJ71</f>
        <v>1098511</v>
      </c>
      <c r="D617" s="180">
        <f>(D615/D612)*BJ76</f>
        <v>17073.682445186067</v>
      </c>
      <c r="N617" s="199" t="s">
        <v>651</v>
      </c>
    </row>
    <row r="618" spans="1:14" ht="12.6" customHeight="1" x14ac:dyDescent="0.25">
      <c r="A618" s="196">
        <v>8470</v>
      </c>
      <c r="B618" s="200" t="s">
        <v>652</v>
      </c>
      <c r="C618" s="180">
        <f>BG71</f>
        <v>252910</v>
      </c>
      <c r="D618" s="180">
        <f>(D615/D612)*BG76</f>
        <v>0</v>
      </c>
      <c r="N618" s="199" t="s">
        <v>653</v>
      </c>
    </row>
    <row r="619" spans="1:14" ht="12.6" customHeight="1" x14ac:dyDescent="0.25">
      <c r="A619" s="196">
        <v>8610</v>
      </c>
      <c r="B619" s="200" t="s">
        <v>654</v>
      </c>
      <c r="C619" s="180">
        <f>BN71</f>
        <v>2414602</v>
      </c>
      <c r="D619" s="180">
        <f>(D615/D612)*BN76</f>
        <v>137095.83975938545</v>
      </c>
      <c r="N619" s="199" t="s">
        <v>655</v>
      </c>
    </row>
    <row r="620" spans="1:14" ht="12.6" customHeight="1" x14ac:dyDescent="0.25">
      <c r="A620" s="196">
        <v>8790</v>
      </c>
      <c r="B620" s="200" t="s">
        <v>656</v>
      </c>
      <c r="C620" s="180">
        <f>CC71</f>
        <v>2277279</v>
      </c>
      <c r="D620" s="180">
        <f>(D615/D612)*CC76</f>
        <v>43249.218035141508</v>
      </c>
      <c r="N620" s="199" t="s">
        <v>657</v>
      </c>
    </row>
    <row r="621" spans="1:14" ht="12.6" customHeight="1" x14ac:dyDescent="0.25">
      <c r="A621" s="196">
        <v>8630</v>
      </c>
      <c r="B621" s="200" t="s">
        <v>658</v>
      </c>
      <c r="C621" s="180">
        <f>BP71</f>
        <v>387033</v>
      </c>
      <c r="D621" s="180">
        <f>(D615/D612)*BP76</f>
        <v>4490.0477519791857</v>
      </c>
      <c r="N621" s="199" t="s">
        <v>659</v>
      </c>
    </row>
    <row r="622" spans="1:14" ht="12.6" customHeight="1" x14ac:dyDescent="0.25">
      <c r="A622" s="196">
        <v>8770</v>
      </c>
      <c r="B622" s="198" t="s">
        <v>660</v>
      </c>
      <c r="C622" s="180">
        <f>CB71</f>
        <v>103848</v>
      </c>
      <c r="D622" s="180">
        <f>(D615/D612)*CB76</f>
        <v>24913.625982771326</v>
      </c>
      <c r="N622" s="199" t="s">
        <v>661</v>
      </c>
    </row>
    <row r="623" spans="1:14" ht="12.6" customHeight="1" x14ac:dyDescent="0.25">
      <c r="A623" s="196">
        <v>8640</v>
      </c>
      <c r="B623" s="200" t="s">
        <v>662</v>
      </c>
      <c r="C623" s="180">
        <f>BQ71</f>
        <v>0</v>
      </c>
      <c r="D623" s="180">
        <f>(D615/D612)*BQ76</f>
        <v>0</v>
      </c>
      <c r="E623" s="180">
        <f>SUM(C616:D623)</f>
        <v>6761005.4139744639</v>
      </c>
      <c r="N623" s="199" t="s">
        <v>663</v>
      </c>
    </row>
    <row r="624" spans="1:14" ht="12.6" customHeight="1" x14ac:dyDescent="0.25">
      <c r="A624" s="196">
        <v>8420</v>
      </c>
      <c r="B624" s="200" t="s">
        <v>155</v>
      </c>
      <c r="C624" s="180">
        <f>BD71</f>
        <v>721398</v>
      </c>
      <c r="D624" s="180">
        <f>(D615/D612)*BD76</f>
        <v>36582.465900341333</v>
      </c>
      <c r="E624" s="180">
        <f>(E623/E612)*SUM(C624:D624)</f>
        <v>47044.058285810781</v>
      </c>
      <c r="F624" s="180">
        <f>SUM(C624:E624)</f>
        <v>805024.52418615203</v>
      </c>
      <c r="N624" s="199" t="s">
        <v>664</v>
      </c>
    </row>
    <row r="625" spans="1:14" ht="12.6" customHeight="1" x14ac:dyDescent="0.25">
      <c r="A625" s="196">
        <v>8320</v>
      </c>
      <c r="B625" s="200" t="s">
        <v>151</v>
      </c>
      <c r="C625" s="180">
        <f>AY71</f>
        <v>664586</v>
      </c>
      <c r="D625" s="180">
        <f>(D615/D612)*AY76</f>
        <v>90023.203855275337</v>
      </c>
      <c r="E625" s="180">
        <f>(E623/E612)*SUM(C625:D625)</f>
        <v>46834.820904005115</v>
      </c>
      <c r="F625" s="180">
        <f>(F624/F612)*AY64</f>
        <v>12018.979666646703</v>
      </c>
      <c r="G625" s="180">
        <f>SUM(C625:F625)</f>
        <v>813463.00442592707</v>
      </c>
      <c r="N625" s="199" t="s">
        <v>665</v>
      </c>
    </row>
    <row r="626" spans="1:14" ht="12.6" customHeight="1" x14ac:dyDescent="0.25">
      <c r="A626" s="196">
        <v>8650</v>
      </c>
      <c r="B626" s="200" t="s">
        <v>168</v>
      </c>
      <c r="C626" s="180">
        <f>BR71</f>
        <v>1195135</v>
      </c>
      <c r="D626" s="180">
        <f>(D615/D612)*BR76</f>
        <v>40213.047952478191</v>
      </c>
      <c r="E626" s="180">
        <f>(E623/E612)*SUM(C626:D626)</f>
        <v>76671.877687650034</v>
      </c>
      <c r="F626" s="180">
        <f>(F624/F612)*BR64</f>
        <v>1058.1472319772156</v>
      </c>
      <c r="G626" s="180">
        <f>(G625/G612)*BR77</f>
        <v>0</v>
      </c>
      <c r="N626" s="199" t="s">
        <v>666</v>
      </c>
    </row>
    <row r="627" spans="1:14" ht="12.6" customHeight="1" x14ac:dyDescent="0.25">
      <c r="A627" s="196">
        <v>8620</v>
      </c>
      <c r="B627" s="198" t="s">
        <v>667</v>
      </c>
      <c r="C627" s="180">
        <f>BO71</f>
        <v>85308</v>
      </c>
      <c r="D627" s="180">
        <f>(D615/D612)*BO76</f>
        <v>3776.6756792348301</v>
      </c>
      <c r="E627" s="180">
        <f>(E623/E612)*SUM(C627:D627)</f>
        <v>5529.0404747415887</v>
      </c>
      <c r="F627" s="180">
        <f>(F624/F612)*BO64</f>
        <v>1647.318706784713</v>
      </c>
      <c r="G627" s="180">
        <f>(G625/G612)*BO77</f>
        <v>0</v>
      </c>
      <c r="N627" s="199" t="s">
        <v>668</v>
      </c>
    </row>
    <row r="628" spans="1:14" ht="12.6" customHeight="1" x14ac:dyDescent="0.25">
      <c r="A628" s="196">
        <v>8330</v>
      </c>
      <c r="B628" s="200" t="s">
        <v>152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1409339.1077328664</v>
      </c>
      <c r="N628" s="199" t="s">
        <v>669</v>
      </c>
    </row>
    <row r="629" spans="1:14" ht="12.6" customHeight="1" x14ac:dyDescent="0.25">
      <c r="A629" s="196">
        <v>8460</v>
      </c>
      <c r="B629" s="200" t="s">
        <v>157</v>
      </c>
      <c r="C629" s="180">
        <f>BF71</f>
        <v>1552512</v>
      </c>
      <c r="D629" s="180">
        <f>(D615/D612)*BF76</f>
        <v>42925.62324143204</v>
      </c>
      <c r="E629" s="180">
        <f>(E623/E612)*SUM(C629:D629)</f>
        <v>99020.837496112508</v>
      </c>
      <c r="F629" s="180">
        <f>(F624/F612)*BF64</f>
        <v>6074.7075908651486</v>
      </c>
      <c r="G629" s="180">
        <f>(G625/G612)*BF77</f>
        <v>0</v>
      </c>
      <c r="H629" s="180">
        <f>(H628/H612)*BF60</f>
        <v>62212.203014023929</v>
      </c>
      <c r="I629" s="180">
        <f>SUM(C629:H629)</f>
        <v>1762745.3713424336</v>
      </c>
      <c r="N629" s="199" t="s">
        <v>670</v>
      </c>
    </row>
    <row r="630" spans="1:14" ht="12.6" customHeight="1" x14ac:dyDescent="0.25">
      <c r="A630" s="196">
        <v>8350</v>
      </c>
      <c r="B630" s="200" t="s">
        <v>671</v>
      </c>
      <c r="C630" s="180">
        <f>BA71</f>
        <v>355959</v>
      </c>
      <c r="D630" s="180">
        <f>(D615/D612)*BA76</f>
        <v>0</v>
      </c>
      <c r="E630" s="180">
        <f>(E623/E612)*SUM(C630:D630)</f>
        <v>22092.595649504034</v>
      </c>
      <c r="F630" s="180">
        <f>(F624/F612)*BA64</f>
        <v>2029.6741365811606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380081.26978608518</v>
      </c>
      <c r="N630" s="199" t="s">
        <v>672</v>
      </c>
    </row>
    <row r="631" spans="1:14" ht="12.6" customHeight="1" x14ac:dyDescent="0.25">
      <c r="A631" s="196">
        <v>8200</v>
      </c>
      <c r="B631" s="200" t="s">
        <v>673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674</v>
      </c>
    </row>
    <row r="632" spans="1:14" ht="12.6" customHeight="1" x14ac:dyDescent="0.25">
      <c r="A632" s="196">
        <v>8360</v>
      </c>
      <c r="B632" s="200" t="s">
        <v>675</v>
      </c>
      <c r="C632" s="180">
        <f>BB71</f>
        <v>1610</v>
      </c>
      <c r="D632" s="180">
        <f>(D615/D612)*BB76</f>
        <v>1202.941142274798</v>
      </c>
      <c r="E632" s="180">
        <f>(E623/E612)*SUM(C632:D632)</f>
        <v>174.58519448063149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676</v>
      </c>
    </row>
    <row r="633" spans="1:14" ht="12.6" customHeight="1" x14ac:dyDescent="0.25">
      <c r="A633" s="196">
        <v>8370</v>
      </c>
      <c r="B633" s="200" t="s">
        <v>677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678</v>
      </c>
    </row>
    <row r="634" spans="1:14" ht="12.6" customHeight="1" x14ac:dyDescent="0.25">
      <c r="A634" s="196">
        <v>8490</v>
      </c>
      <c r="B634" s="200" t="s">
        <v>679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680</v>
      </c>
    </row>
    <row r="635" spans="1:14" ht="12.6" customHeight="1" x14ac:dyDescent="0.25">
      <c r="A635" s="196">
        <v>8530</v>
      </c>
      <c r="B635" s="200" t="s">
        <v>681</v>
      </c>
      <c r="C635" s="180">
        <f>BK71</f>
        <v>1430940</v>
      </c>
      <c r="D635" s="180">
        <f>(D615/D612)*BK76</f>
        <v>62465.51635015905</v>
      </c>
      <c r="E635" s="180">
        <f>(E623/E612)*SUM(C635:D635)</f>
        <v>92688.214691756191</v>
      </c>
      <c r="F635" s="180">
        <f>(F624/F612)*BK64</f>
        <v>709.33236320226365</v>
      </c>
      <c r="G635" s="180">
        <f>(G625/G612)*BK77</f>
        <v>0</v>
      </c>
      <c r="H635" s="180">
        <f>(H628/H612)*BK60</f>
        <v>35751.81467210385</v>
      </c>
      <c r="I635" s="180">
        <f>(I629/I612)*BK78</f>
        <v>0</v>
      </c>
      <c r="J635" s="180">
        <f>(J630/J612)*BK79</f>
        <v>0</v>
      </c>
      <c r="N635" s="199" t="s">
        <v>682</v>
      </c>
    </row>
    <row r="636" spans="1:14" ht="12.6" customHeight="1" x14ac:dyDescent="0.25">
      <c r="A636" s="196">
        <v>8480</v>
      </c>
      <c r="B636" s="200" t="s">
        <v>683</v>
      </c>
      <c r="C636" s="180">
        <f>BH71</f>
        <v>3829356</v>
      </c>
      <c r="D636" s="180">
        <f>(D615/D612)*BH76</f>
        <v>58597.014091480545</v>
      </c>
      <c r="E636" s="180">
        <f>(E623/E612)*SUM(C636:D636)</f>
        <v>241305.80725474993</v>
      </c>
      <c r="F636" s="180">
        <f>(F624/F612)*BH64</f>
        <v>13567.522640246616</v>
      </c>
      <c r="G636" s="180">
        <f>(G625/G612)*BH77</f>
        <v>0</v>
      </c>
      <c r="H636" s="180">
        <f>(H628/H612)*BH60</f>
        <v>36648.263784164359</v>
      </c>
      <c r="I636" s="180">
        <f>(I629/I612)*BH78</f>
        <v>0</v>
      </c>
      <c r="J636" s="180">
        <f>(J630/J612)*BH79</f>
        <v>0</v>
      </c>
      <c r="N636" s="199" t="s">
        <v>684</v>
      </c>
    </row>
    <row r="637" spans="1:14" ht="12.6" customHeight="1" x14ac:dyDescent="0.25">
      <c r="A637" s="196">
        <v>8560</v>
      </c>
      <c r="B637" s="200" t="s">
        <v>163</v>
      </c>
      <c r="C637" s="180">
        <f>BL71</f>
        <v>915973</v>
      </c>
      <c r="D637" s="180">
        <f>(D615/D612)*BL76</f>
        <v>28143.745716657362</v>
      </c>
      <c r="E637" s="180">
        <f>(E623/E612)*SUM(C637:D637)</f>
        <v>58596.606657069293</v>
      </c>
      <c r="F637" s="180">
        <f>(F624/F612)*BL64</f>
        <v>602.09312396531141</v>
      </c>
      <c r="G637" s="180">
        <f>(G625/G612)*BL77</f>
        <v>0</v>
      </c>
      <c r="H637" s="180">
        <f>(H628/H612)*BL60</f>
        <v>35137.055218586735</v>
      </c>
      <c r="I637" s="180">
        <f>(I629/I612)*BL78</f>
        <v>0</v>
      </c>
      <c r="J637" s="180">
        <f>(J630/J612)*BL79</f>
        <v>0</v>
      </c>
      <c r="N637" s="199" t="s">
        <v>685</v>
      </c>
    </row>
    <row r="638" spans="1:14" ht="12.6" customHeight="1" x14ac:dyDescent="0.25">
      <c r="A638" s="196">
        <v>8590</v>
      </c>
      <c r="B638" s="200" t="s">
        <v>686</v>
      </c>
      <c r="C638" s="180">
        <f>BM71</f>
        <v>481741</v>
      </c>
      <c r="D638" s="180">
        <f>(D615/D612)*BM76</f>
        <v>622.45210268870346</v>
      </c>
      <c r="E638" s="180">
        <f>(E623/E612)*SUM(C638:D638)</f>
        <v>29937.888080940804</v>
      </c>
      <c r="F638" s="180">
        <f>(F624/F612)*BM64</f>
        <v>92.193006255346745</v>
      </c>
      <c r="G638" s="180">
        <f>(G625/G612)*BM77</f>
        <v>0</v>
      </c>
      <c r="H638" s="180">
        <f>(H628/H612)*BM60</f>
        <v>11788.524830681208</v>
      </c>
      <c r="I638" s="180">
        <f>(I629/I612)*BM78</f>
        <v>0</v>
      </c>
      <c r="J638" s="180">
        <f>(J630/J612)*BM79</f>
        <v>0</v>
      </c>
      <c r="N638" s="199" t="s">
        <v>687</v>
      </c>
    </row>
    <row r="639" spans="1:14" ht="12.6" customHeight="1" x14ac:dyDescent="0.25">
      <c r="A639" s="196">
        <v>8660</v>
      </c>
      <c r="B639" s="200" t="s">
        <v>688</v>
      </c>
      <c r="C639" s="180">
        <f>BS71</f>
        <v>108255</v>
      </c>
      <c r="D639" s="180">
        <f>(D615/D612)*BS76</f>
        <v>8940.5932377661011</v>
      </c>
      <c r="E639" s="180">
        <f>(E623/E612)*SUM(C639:D639)</f>
        <v>7273.7445978489532</v>
      </c>
      <c r="F639" s="180">
        <f>(F624/F612)*BS64</f>
        <v>118.14079230001367</v>
      </c>
      <c r="G639" s="180">
        <f>(G625/G612)*BS77</f>
        <v>0</v>
      </c>
      <c r="H639" s="180">
        <f>(H628/H612)*BS60</f>
        <v>1828.4406274403091</v>
      </c>
      <c r="I639" s="180">
        <f>(I629/I612)*BS78</f>
        <v>0</v>
      </c>
      <c r="J639" s="180">
        <f>(J630/J612)*BS79</f>
        <v>0</v>
      </c>
      <c r="N639" s="199" t="s">
        <v>689</v>
      </c>
    </row>
    <row r="640" spans="1:14" ht="12.6" customHeight="1" x14ac:dyDescent="0.25">
      <c r="A640" s="196">
        <v>8670</v>
      </c>
      <c r="B640" s="200" t="s">
        <v>690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691</v>
      </c>
    </row>
    <row r="641" spans="1:14" ht="12.6" customHeight="1" x14ac:dyDescent="0.25">
      <c r="A641" s="196">
        <v>8680</v>
      </c>
      <c r="B641" s="200" t="s">
        <v>692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693</v>
      </c>
    </row>
    <row r="642" spans="1:14" ht="12.6" customHeight="1" x14ac:dyDescent="0.25">
      <c r="A642" s="196">
        <v>8690</v>
      </c>
      <c r="B642" s="200" t="s">
        <v>694</v>
      </c>
      <c r="C642" s="180">
        <f>BV71</f>
        <v>894369</v>
      </c>
      <c r="D642" s="180">
        <f>(D615/D612)*BV76</f>
        <v>17158.23024640022</v>
      </c>
      <c r="E642" s="180">
        <f>(E623/E612)*SUM(C642:D642)</f>
        <v>56573.938350613644</v>
      </c>
      <c r="F642" s="180">
        <f>(F624/F612)*BV64</f>
        <v>366.33397801047869</v>
      </c>
      <c r="G642" s="180">
        <f>(G625/G612)*BV77</f>
        <v>0</v>
      </c>
      <c r="H642" s="180">
        <f>(H628/H612)*BV60</f>
        <v>29824.361046678972</v>
      </c>
      <c r="I642" s="180">
        <f>(I629/I612)*BV78</f>
        <v>0</v>
      </c>
      <c r="J642" s="180">
        <f>(J630/J612)*BV79</f>
        <v>0</v>
      </c>
      <c r="N642" s="199" t="s">
        <v>695</v>
      </c>
    </row>
    <row r="643" spans="1:14" ht="12.6" customHeight="1" x14ac:dyDescent="0.25">
      <c r="A643" s="196">
        <v>8700</v>
      </c>
      <c r="B643" s="200" t="s">
        <v>696</v>
      </c>
      <c r="C643" s="180">
        <f>BW71</f>
        <v>908498</v>
      </c>
      <c r="D643" s="180">
        <f>(D615/D612)*BW76</f>
        <v>5985.176148449932</v>
      </c>
      <c r="E643" s="180">
        <f>(E623/E612)*SUM(C643:D643)</f>
        <v>56757.399135636049</v>
      </c>
      <c r="F643" s="180">
        <f>(F624/F612)*BW64</f>
        <v>835.24007669417097</v>
      </c>
      <c r="G643" s="180">
        <f>(G625/G612)*BW77</f>
        <v>0</v>
      </c>
      <c r="H643" s="180">
        <f>(H628/H612)*BW60</f>
        <v>8962.06028119646</v>
      </c>
      <c r="I643" s="180">
        <f>(I629/I612)*BW78</f>
        <v>0</v>
      </c>
      <c r="J643" s="180">
        <f>(J630/J612)*BW79</f>
        <v>0</v>
      </c>
      <c r="N643" s="199" t="s">
        <v>697</v>
      </c>
    </row>
    <row r="644" spans="1:14" ht="12.6" customHeight="1" x14ac:dyDescent="0.25">
      <c r="A644" s="196">
        <v>8710</v>
      </c>
      <c r="B644" s="200" t="s">
        <v>698</v>
      </c>
      <c r="C644" s="180">
        <f>BX71</f>
        <v>538096</v>
      </c>
      <c r="D644" s="180">
        <f>(D615/D612)*BX76</f>
        <v>1736.8045561913264</v>
      </c>
      <c r="E644" s="180">
        <f>(E623/E612)*SUM(C644:D644)</f>
        <v>33504.72349174392</v>
      </c>
      <c r="F644" s="180">
        <f>(F624/F612)*BX64</f>
        <v>137.40136368618926</v>
      </c>
      <c r="G644" s="180">
        <f>(G625/G612)*BX77</f>
        <v>0</v>
      </c>
      <c r="H644" s="180">
        <f>(H628/H612)*BX60</f>
        <v>10497.003645190363</v>
      </c>
      <c r="I644" s="180">
        <f>(I629/I612)*BX78</f>
        <v>0</v>
      </c>
      <c r="J644" s="180">
        <f>(J630/J612)*BX79</f>
        <v>0</v>
      </c>
      <c r="K644" s="180">
        <f>SUM(C631:J644)</f>
        <v>10057369.16249731</v>
      </c>
      <c r="N644" s="199" t="s">
        <v>699</v>
      </c>
    </row>
    <row r="645" spans="1:14" ht="12.6" customHeight="1" x14ac:dyDescent="0.25">
      <c r="A645" s="196">
        <v>8720</v>
      </c>
      <c r="B645" s="200" t="s">
        <v>700</v>
      </c>
      <c r="C645" s="180">
        <f>BY71</f>
        <v>1425827</v>
      </c>
      <c r="D645" s="180">
        <f>(D615/D612)*BY76</f>
        <v>12076.153612481716</v>
      </c>
      <c r="E645" s="180">
        <f>(E623/E612)*SUM(C645:D645)</f>
        <v>89243.460499403693</v>
      </c>
      <c r="F645" s="180">
        <f>(F624/F612)*BY64</f>
        <v>166.55344008804994</v>
      </c>
      <c r="G645" s="180">
        <f>(G625/G612)*BY77</f>
        <v>0</v>
      </c>
      <c r="H645" s="180">
        <f>(H628/H612)*BY60</f>
        <v>20424.612737809435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701</v>
      </c>
    </row>
    <row r="646" spans="1:14" ht="12.6" customHeight="1" x14ac:dyDescent="0.25">
      <c r="A646" s="196">
        <v>8730</v>
      </c>
      <c r="B646" s="200" t="s">
        <v>702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703</v>
      </c>
    </row>
    <row r="647" spans="1:14" ht="12.6" customHeight="1" x14ac:dyDescent="0.25">
      <c r="A647" s="196">
        <v>8740</v>
      </c>
      <c r="B647" s="200" t="s">
        <v>704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1547737.7802897829</v>
      </c>
      <c r="N647" s="199" t="s">
        <v>705</v>
      </c>
    </row>
    <row r="648" spans="1:14" ht="12.6" customHeight="1" x14ac:dyDescent="0.25">
      <c r="A648" s="196"/>
      <c r="B648" s="196"/>
      <c r="C648" s="180">
        <f>SUM(C614:C647)</f>
        <v>24263786</v>
      </c>
      <c r="L648" s="260"/>
    </row>
    <row r="666" spans="1:14" ht="12.6" customHeight="1" x14ac:dyDescent="0.25">
      <c r="C666" s="181" t="s">
        <v>706</v>
      </c>
      <c r="M666" s="181" t="s">
        <v>707</v>
      </c>
    </row>
    <row r="667" spans="1:14" ht="12.6" customHeight="1" x14ac:dyDescent="0.25">
      <c r="C667" s="181" t="s">
        <v>636</v>
      </c>
      <c r="D667" s="181" t="s">
        <v>637</v>
      </c>
      <c r="E667" s="198" t="s">
        <v>638</v>
      </c>
      <c r="F667" s="181" t="s">
        <v>639</v>
      </c>
      <c r="G667" s="181" t="s">
        <v>640</v>
      </c>
      <c r="H667" s="181" t="s">
        <v>641</v>
      </c>
      <c r="I667" s="181" t="s">
        <v>642</v>
      </c>
      <c r="J667" s="181" t="s">
        <v>643</v>
      </c>
      <c r="K667" s="181" t="s">
        <v>644</v>
      </c>
      <c r="L667" s="198" t="s">
        <v>645</v>
      </c>
      <c r="M667" s="181" t="s">
        <v>708</v>
      </c>
    </row>
    <row r="668" spans="1:14" ht="12.6" customHeight="1" x14ac:dyDescent="0.25">
      <c r="A668" s="196">
        <v>6010</v>
      </c>
      <c r="B668" s="198" t="s">
        <v>313</v>
      </c>
      <c r="C668" s="180">
        <f>C71</f>
        <v>1602597</v>
      </c>
      <c r="D668" s="180">
        <f>(D615/D612)*C76</f>
        <v>39728.141445514702</v>
      </c>
      <c r="E668" s="180">
        <f>(E623/E612)*SUM(C668:D668)</f>
        <v>101930.91135487591</v>
      </c>
      <c r="F668" s="180">
        <f>(F624/F612)*C64</f>
        <v>2952.6490764250175</v>
      </c>
      <c r="G668" s="180">
        <f>(G625/G612)*C77</f>
        <v>46730.410566433122</v>
      </c>
      <c r="H668" s="180">
        <f>(H628/H612)*C60</f>
        <v>31168.539412641523</v>
      </c>
      <c r="I668" s="180">
        <f>(I629/I612)*C78</f>
        <v>65763.322126836312</v>
      </c>
      <c r="J668" s="180">
        <f>(J630/J612)*C79</f>
        <v>14179.817111239288</v>
      </c>
      <c r="K668" s="180">
        <f>(K644/K612)*C75</f>
        <v>107073.27395143684</v>
      </c>
      <c r="L668" s="180">
        <f>(L647/L612)*C80</f>
        <v>122915.63494458515</v>
      </c>
      <c r="M668" s="180">
        <f t="shared" ref="M668:M713" si="20">ROUND(SUM(D668:L668),0)</f>
        <v>532443</v>
      </c>
      <c r="N668" s="198" t="s">
        <v>709</v>
      </c>
    </row>
    <row r="669" spans="1:14" ht="12.6" customHeight="1" x14ac:dyDescent="0.25">
      <c r="A669" s="196">
        <v>6030</v>
      </c>
      <c r="B669" s="198" t="s">
        <v>314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710</v>
      </c>
    </row>
    <row r="670" spans="1:14" ht="12.6" customHeight="1" x14ac:dyDescent="0.25">
      <c r="A670" s="196">
        <v>6070</v>
      </c>
      <c r="B670" s="198" t="s">
        <v>711</v>
      </c>
      <c r="C670" s="180">
        <f>E71</f>
        <v>4120145</v>
      </c>
      <c r="D670" s="180">
        <f>(D615/D612)*E76</f>
        <v>89724.022757228959</v>
      </c>
      <c r="E670" s="180">
        <f>(E623/E612)*SUM(C670:D670)</f>
        <v>261285.52461701533</v>
      </c>
      <c r="F670" s="180">
        <f>(F624/F612)*E64</f>
        <v>10727.685481940627</v>
      </c>
      <c r="G670" s="180">
        <f>(G625/G612)*E77</f>
        <v>733323.9929868324</v>
      </c>
      <c r="H670" s="180">
        <f>(H628/H612)*E60</f>
        <v>98538.448804918356</v>
      </c>
      <c r="I670" s="180">
        <f>(I629/I612)*E78</f>
        <v>325119.96520827728</v>
      </c>
      <c r="J670" s="180">
        <f>(J630/J612)*E79</f>
        <v>70102.018827065505</v>
      </c>
      <c r="K670" s="180">
        <f>(K644/K612)*E75</f>
        <v>428164.78370498179</v>
      </c>
      <c r="L670" s="180">
        <f>(L647/L612)*E80</f>
        <v>285746.60382856685</v>
      </c>
      <c r="M670" s="180">
        <f t="shared" si="20"/>
        <v>2302733</v>
      </c>
      <c r="N670" s="198" t="s">
        <v>712</v>
      </c>
    </row>
    <row r="671" spans="1:14" ht="12.6" customHeight="1" x14ac:dyDescent="0.25">
      <c r="A671" s="196">
        <v>6100</v>
      </c>
      <c r="B671" s="198" t="s">
        <v>713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714</v>
      </c>
    </row>
    <row r="672" spans="1:14" ht="12.6" customHeight="1" x14ac:dyDescent="0.25">
      <c r="A672" s="196">
        <v>6120</v>
      </c>
      <c r="B672" s="198" t="s">
        <v>715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716</v>
      </c>
    </row>
    <row r="673" spans="1:14" ht="12.6" customHeight="1" x14ac:dyDescent="0.25">
      <c r="A673" s="196">
        <v>6140</v>
      </c>
      <c r="B673" s="198" t="s">
        <v>717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718</v>
      </c>
    </row>
    <row r="674" spans="1:14" ht="12.6" customHeight="1" x14ac:dyDescent="0.25">
      <c r="A674" s="196">
        <v>6150</v>
      </c>
      <c r="B674" s="198" t="s">
        <v>719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720</v>
      </c>
    </row>
    <row r="675" spans="1:14" ht="12.6" customHeight="1" x14ac:dyDescent="0.25">
      <c r="A675" s="196">
        <v>6170</v>
      </c>
      <c r="B675" s="198" t="s">
        <v>114</v>
      </c>
      <c r="C675" s="180">
        <f>J71</f>
        <v>1797</v>
      </c>
      <c r="D675" s="180">
        <f>(D615/D612)*J76</f>
        <v>1342.8180192834955</v>
      </c>
      <c r="E675" s="180">
        <f>(E623/E612)*SUM(C675:D675)</f>
        <v>194.87280814098509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14239.642182320873</v>
      </c>
      <c r="L675" s="180">
        <f>(L647/L612)*J80</f>
        <v>0</v>
      </c>
      <c r="M675" s="180">
        <f t="shared" si="20"/>
        <v>15777</v>
      </c>
      <c r="N675" s="198" t="s">
        <v>721</v>
      </c>
    </row>
    <row r="676" spans="1:14" ht="12.6" customHeight="1" x14ac:dyDescent="0.25">
      <c r="A676" s="196">
        <v>6200</v>
      </c>
      <c r="B676" s="198" t="s">
        <v>319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722</v>
      </c>
    </row>
    <row r="677" spans="1:14" ht="12.6" customHeight="1" x14ac:dyDescent="0.25">
      <c r="A677" s="196">
        <v>6210</v>
      </c>
      <c r="B677" s="198" t="s">
        <v>320</v>
      </c>
      <c r="C677" s="180">
        <f>L71</f>
        <v>45870</v>
      </c>
      <c r="D677" s="180">
        <f>(D615/D612)*L76</f>
        <v>34038.260926305345</v>
      </c>
      <c r="E677" s="180">
        <f>(E623/E612)*SUM(C677:D677)</f>
        <v>4959.5062849932901</v>
      </c>
      <c r="F677" s="180">
        <f>(F624/F612)*L64</f>
        <v>0</v>
      </c>
      <c r="G677" s="180">
        <f>(G625/G612)*L77</f>
        <v>33408.60087266154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15028.828932216893</v>
      </c>
      <c r="L677" s="180">
        <f>(L647/L612)*L80</f>
        <v>0</v>
      </c>
      <c r="M677" s="180">
        <f t="shared" si="20"/>
        <v>87435</v>
      </c>
      <c r="N677" s="198" t="s">
        <v>723</v>
      </c>
    </row>
    <row r="678" spans="1:14" ht="12.6" customHeight="1" x14ac:dyDescent="0.25">
      <c r="A678" s="196">
        <v>6330</v>
      </c>
      <c r="B678" s="198" t="s">
        <v>724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725</v>
      </c>
    </row>
    <row r="679" spans="1:14" ht="12.6" customHeight="1" x14ac:dyDescent="0.25">
      <c r="A679" s="196">
        <v>6400</v>
      </c>
      <c r="B679" s="198" t="s">
        <v>726</v>
      </c>
      <c r="C679" s="180">
        <f>N71</f>
        <v>2336577</v>
      </c>
      <c r="D679" s="180">
        <f>(D615/D612)*N76</f>
        <v>4507.1438147246945</v>
      </c>
      <c r="E679" s="180">
        <f>(E623/E612)*SUM(C679:D679)</f>
        <v>145299.38945430249</v>
      </c>
      <c r="F679" s="180">
        <f>(F624/F612)*N64</f>
        <v>901.90324782100652</v>
      </c>
      <c r="G679" s="180">
        <f>(G625/G612)*N77</f>
        <v>0</v>
      </c>
      <c r="H679" s="180">
        <f>(H628/H612)*N60</f>
        <v>14637.723270450258</v>
      </c>
      <c r="I679" s="180">
        <f>(I629/I612)*N78</f>
        <v>0</v>
      </c>
      <c r="J679" s="180">
        <f>(J630/J612)*N79</f>
        <v>0</v>
      </c>
      <c r="K679" s="180">
        <f>(K644/K612)*N75</f>
        <v>96905.453732600537</v>
      </c>
      <c r="L679" s="180">
        <f>(L647/L612)*N80</f>
        <v>0</v>
      </c>
      <c r="M679" s="180">
        <f t="shared" si="20"/>
        <v>262252</v>
      </c>
      <c r="N679" s="198" t="s">
        <v>727</v>
      </c>
    </row>
    <row r="680" spans="1:14" ht="12.6" customHeight="1" x14ac:dyDescent="0.25">
      <c r="A680" s="196">
        <v>7010</v>
      </c>
      <c r="B680" s="198" t="s">
        <v>728</v>
      </c>
      <c r="C680" s="180">
        <f>O71</f>
        <v>1523217</v>
      </c>
      <c r="D680" s="180">
        <f>(D615/D612)*O76</f>
        <v>42642.243049862547</v>
      </c>
      <c r="E680" s="180">
        <f>(E623/E612)*SUM(C680:D680)</f>
        <v>97185.055303389076</v>
      </c>
      <c r="F680" s="180">
        <f>(F624/F612)*O64</f>
        <v>1988.2969958817453</v>
      </c>
      <c r="G680" s="180">
        <f>(G625/G612)*O77</f>
        <v>0</v>
      </c>
      <c r="H680" s="180">
        <f>(H628/H612)*O60</f>
        <v>25519.14720848365</v>
      </c>
      <c r="I680" s="180">
        <f>(I629/I612)*O78</f>
        <v>65282.75822146875</v>
      </c>
      <c r="J680" s="180">
        <f>(J630/J612)*O79</f>
        <v>14076.198436452267</v>
      </c>
      <c r="K680" s="180">
        <f>(K644/K612)*O75</f>
        <v>53927.286725380531</v>
      </c>
      <c r="L680" s="180">
        <f>(L647/L612)*O80</f>
        <v>136356.68964356085</v>
      </c>
      <c r="M680" s="180">
        <f t="shared" si="20"/>
        <v>436978</v>
      </c>
      <c r="N680" s="198" t="s">
        <v>729</v>
      </c>
    </row>
    <row r="681" spans="1:14" ht="12.6" customHeight="1" x14ac:dyDescent="0.25">
      <c r="A681" s="196">
        <v>7020</v>
      </c>
      <c r="B681" s="198" t="s">
        <v>730</v>
      </c>
      <c r="C681" s="180">
        <f>P71</f>
        <v>4117300</v>
      </c>
      <c r="D681" s="180">
        <f>(D615/D612)*P76</f>
        <v>151795.94111736069</v>
      </c>
      <c r="E681" s="180">
        <f>(E623/E612)*SUM(C681:D681)</f>
        <v>264961.4433573662</v>
      </c>
      <c r="F681" s="180">
        <f>(F624/F612)*P64</f>
        <v>54189.809155841554</v>
      </c>
      <c r="G681" s="180">
        <f>(G625/G612)*P77</f>
        <v>0</v>
      </c>
      <c r="H681" s="180">
        <f>(H628/H612)*P60</f>
        <v>36616.385423094573</v>
      </c>
      <c r="I681" s="180">
        <f>(I629/I612)*P78</f>
        <v>284376.77153910277</v>
      </c>
      <c r="J681" s="180">
        <f>(J630/J612)*P79</f>
        <v>61317.015027494082</v>
      </c>
      <c r="K681" s="180">
        <f>(K644/K612)*P75</f>
        <v>898300.55175636173</v>
      </c>
      <c r="L681" s="180">
        <f>(L647/L612)*P80</f>
        <v>131017.45788076775</v>
      </c>
      <c r="M681" s="180">
        <f t="shared" si="20"/>
        <v>1882575</v>
      </c>
      <c r="N681" s="198" t="s">
        <v>731</v>
      </c>
    </row>
    <row r="682" spans="1:14" ht="12.6" customHeight="1" x14ac:dyDescent="0.25">
      <c r="A682" s="196">
        <v>7030</v>
      </c>
      <c r="B682" s="198" t="s">
        <v>732</v>
      </c>
      <c r="C682" s="180">
        <f>Q71</f>
        <v>66165</v>
      </c>
      <c r="D682" s="180">
        <f>(D615/D612)*Q76</f>
        <v>9146.3935688464917</v>
      </c>
      <c r="E682" s="180">
        <f>(E623/E612)*SUM(C682:D682)</f>
        <v>4674.2017083910896</v>
      </c>
      <c r="F682" s="180">
        <f>(F624/F612)*Q64</f>
        <v>247.98421025238719</v>
      </c>
      <c r="G682" s="180">
        <f>(G625/G612)*Q77</f>
        <v>0</v>
      </c>
      <c r="H682" s="180">
        <f>(H628/H612)*Q60</f>
        <v>1195.7667523710479</v>
      </c>
      <c r="I682" s="180">
        <f>(I629/I612)*Q78</f>
        <v>0</v>
      </c>
      <c r="J682" s="180">
        <f>(J630/J612)*Q79</f>
        <v>0</v>
      </c>
      <c r="K682" s="180">
        <f>(K644/K612)*Q75</f>
        <v>180058.73584261021</v>
      </c>
      <c r="L682" s="180">
        <f>(L647/L612)*Q80</f>
        <v>6580.8509394397252</v>
      </c>
      <c r="M682" s="180">
        <f t="shared" si="20"/>
        <v>201904</v>
      </c>
      <c r="N682" s="198" t="s">
        <v>733</v>
      </c>
    </row>
    <row r="683" spans="1:14" ht="12.6" customHeight="1" x14ac:dyDescent="0.25">
      <c r="A683" s="196">
        <v>7040</v>
      </c>
      <c r="B683" s="198" t="s">
        <v>122</v>
      </c>
      <c r="C683" s="180">
        <f>R71</f>
        <v>1509489</v>
      </c>
      <c r="D683" s="180">
        <f>(D615/D612)*R76</f>
        <v>2113.6950303536491</v>
      </c>
      <c r="E683" s="180">
        <f>(E623/E612)*SUM(C683:D683)</f>
        <v>93817.622602620424</v>
      </c>
      <c r="F683" s="180">
        <f>(F624/F612)*R64</f>
        <v>3821.7431773278008</v>
      </c>
      <c r="G683" s="180">
        <f>(G625/G612)*R77</f>
        <v>0</v>
      </c>
      <c r="H683" s="180">
        <f>(H628/H612)*R60</f>
        <v>12412.390682362411</v>
      </c>
      <c r="I683" s="180">
        <f>(I629/I612)*R78</f>
        <v>0</v>
      </c>
      <c r="J683" s="180">
        <f>(J630/J612)*R79</f>
        <v>0</v>
      </c>
      <c r="K683" s="180">
        <f>(K644/K612)*R75</f>
        <v>382369.71401183953</v>
      </c>
      <c r="L683" s="180">
        <f>(L647/L612)*R80</f>
        <v>0</v>
      </c>
      <c r="M683" s="180">
        <f t="shared" si="20"/>
        <v>494535</v>
      </c>
      <c r="N683" s="198" t="s">
        <v>734</v>
      </c>
    </row>
    <row r="684" spans="1:14" ht="12.6" customHeight="1" x14ac:dyDescent="0.25">
      <c r="A684" s="196">
        <v>7050</v>
      </c>
      <c r="B684" s="198" t="s">
        <v>735</v>
      </c>
      <c r="C684" s="180">
        <f>S71</f>
        <v>1927429</v>
      </c>
      <c r="D684" s="180">
        <f>(D615/D612)*S76</f>
        <v>11595.793104021013</v>
      </c>
      <c r="E684" s="180">
        <f>(E623/E612)*SUM(C684:D684)</f>
        <v>120345.57549720713</v>
      </c>
      <c r="F684" s="180">
        <f>(F624/F612)*S64</f>
        <v>60041.191640507503</v>
      </c>
      <c r="G684" s="180">
        <f>(G625/G612)*S77</f>
        <v>0</v>
      </c>
      <c r="H684" s="180">
        <f>(H628/H612)*S60</f>
        <v>6738.8539913291215</v>
      </c>
      <c r="I684" s="180">
        <f>(I629/I612)*S78</f>
        <v>20695.053309353865</v>
      </c>
      <c r="J684" s="180">
        <f>(J630/J612)*S79</f>
        <v>4462.24523858467</v>
      </c>
      <c r="K684" s="180">
        <f>(K644/K612)*S75</f>
        <v>24151.723110665818</v>
      </c>
      <c r="L684" s="180">
        <f>(L647/L612)*S80</f>
        <v>0</v>
      </c>
      <c r="M684" s="180">
        <f t="shared" si="20"/>
        <v>248030</v>
      </c>
      <c r="N684" s="198" t="s">
        <v>736</v>
      </c>
    </row>
    <row r="685" spans="1:14" ht="12.6" customHeight="1" x14ac:dyDescent="0.25">
      <c r="A685" s="196">
        <v>7060</v>
      </c>
      <c r="B685" s="198" t="s">
        <v>737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738</v>
      </c>
    </row>
    <row r="686" spans="1:14" ht="12.6" customHeight="1" x14ac:dyDescent="0.25">
      <c r="A686" s="196">
        <v>7070</v>
      </c>
      <c r="B686" s="198" t="s">
        <v>125</v>
      </c>
      <c r="C686" s="180">
        <f>U71</f>
        <v>4880091</v>
      </c>
      <c r="D686" s="180">
        <f>(D615/D612)*U76</f>
        <v>60838.152498664356</v>
      </c>
      <c r="E686" s="180">
        <f>(E623/E612)*SUM(C686:D686)</f>
        <v>306658.77221533837</v>
      </c>
      <c r="F686" s="180">
        <f>(F624/F612)*U64</f>
        <v>43997.553626739405</v>
      </c>
      <c r="G686" s="180">
        <f>(G625/G612)*U77</f>
        <v>0</v>
      </c>
      <c r="H686" s="180">
        <f>(H628/H612)*U60</f>
        <v>63073.57518741567</v>
      </c>
      <c r="I686" s="180">
        <f>(I629/I612)*U78</f>
        <v>3487.1688517696603</v>
      </c>
      <c r="J686" s="180">
        <f>(J630/J612)*U79</f>
        <v>751.89961448017959</v>
      </c>
      <c r="K686" s="180">
        <f>(K644/K612)*U75</f>
        <v>631890.08056210983</v>
      </c>
      <c r="L686" s="180">
        <f>(L647/L612)*U80</f>
        <v>0</v>
      </c>
      <c r="M686" s="180">
        <f t="shared" si="20"/>
        <v>1110697</v>
      </c>
      <c r="N686" s="198" t="s">
        <v>739</v>
      </c>
    </row>
    <row r="687" spans="1:14" ht="12.6" customHeight="1" x14ac:dyDescent="0.25">
      <c r="A687" s="196">
        <v>7110</v>
      </c>
      <c r="B687" s="198" t="s">
        <v>740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151.33568639649553</v>
      </c>
      <c r="I687" s="180">
        <f>(I629/I612)*V78</f>
        <v>0</v>
      </c>
      <c r="J687" s="180">
        <f>(J630/J612)*V79</f>
        <v>0</v>
      </c>
      <c r="K687" s="180">
        <f>(K644/K612)*V75</f>
        <v>991.40815967826677</v>
      </c>
      <c r="L687" s="180">
        <f>(L647/L612)*V80</f>
        <v>674.57170524050275</v>
      </c>
      <c r="M687" s="180">
        <f t="shared" si="20"/>
        <v>1817</v>
      </c>
      <c r="N687" s="198" t="s">
        <v>741</v>
      </c>
    </row>
    <row r="688" spans="1:14" ht="12.6" customHeight="1" x14ac:dyDescent="0.25">
      <c r="A688" s="196">
        <v>7120</v>
      </c>
      <c r="B688" s="198" t="s">
        <v>742</v>
      </c>
      <c r="C688" s="180">
        <f>W71</f>
        <v>622375</v>
      </c>
      <c r="D688" s="180">
        <f>(D615/D612)*W76</f>
        <v>17207.964247114422</v>
      </c>
      <c r="E688" s="180">
        <f>(E623/E612)*SUM(C688:D688)</f>
        <v>39695.717241094317</v>
      </c>
      <c r="F688" s="180">
        <f>(F624/F612)*W64</f>
        <v>1162.460814801078</v>
      </c>
      <c r="G688" s="180">
        <f>(G625/G612)*W77</f>
        <v>0</v>
      </c>
      <c r="H688" s="180">
        <f>(H628/H612)*W60</f>
        <v>3924.3444041034468</v>
      </c>
      <c r="I688" s="180">
        <f>(I629/I612)*W78</f>
        <v>0</v>
      </c>
      <c r="J688" s="180">
        <f>(J630/J612)*W79</f>
        <v>0</v>
      </c>
      <c r="K688" s="180">
        <f>(K644/K612)*W75</f>
        <v>200426.57934725159</v>
      </c>
      <c r="L688" s="180">
        <f>(L647/L612)*W80</f>
        <v>0</v>
      </c>
      <c r="M688" s="180">
        <f t="shared" si="20"/>
        <v>262417</v>
      </c>
      <c r="N688" s="198" t="s">
        <v>743</v>
      </c>
    </row>
    <row r="689" spans="1:14" ht="12.6" customHeight="1" x14ac:dyDescent="0.25">
      <c r="A689" s="196">
        <v>7130</v>
      </c>
      <c r="B689" s="198" t="s">
        <v>744</v>
      </c>
      <c r="C689" s="180">
        <f>X71</f>
        <v>435563</v>
      </c>
      <c r="D689" s="180">
        <f>(D615/D612)*X76</f>
        <v>8296.2529941380762</v>
      </c>
      <c r="E689" s="180">
        <f>(E623/E612)*SUM(C689:D689)</f>
        <v>27548.124929248603</v>
      </c>
      <c r="F689" s="180">
        <f>(F624/F612)*X64</f>
        <v>6024.8669441135798</v>
      </c>
      <c r="G689" s="180">
        <f>(G625/G612)*X77</f>
        <v>0</v>
      </c>
      <c r="H689" s="180">
        <f>(H628/H612)*X60</f>
        <v>3692.4475281820028</v>
      </c>
      <c r="I689" s="180">
        <f>(I629/I612)*X78</f>
        <v>0</v>
      </c>
      <c r="J689" s="180">
        <f>(J630/J612)*X79</f>
        <v>0</v>
      </c>
      <c r="K689" s="180">
        <f>(K644/K612)*X75</f>
        <v>560073.66310324869</v>
      </c>
      <c r="L689" s="180">
        <f>(L647/L612)*X80</f>
        <v>0</v>
      </c>
      <c r="M689" s="180">
        <f t="shared" si="20"/>
        <v>605635</v>
      </c>
      <c r="N689" s="198" t="s">
        <v>745</v>
      </c>
    </row>
    <row r="690" spans="1:14" ht="12.6" customHeight="1" x14ac:dyDescent="0.25">
      <c r="A690" s="196">
        <v>7140</v>
      </c>
      <c r="B690" s="198" t="s">
        <v>746</v>
      </c>
      <c r="C690" s="180">
        <f>Y71</f>
        <v>2702972</v>
      </c>
      <c r="D690" s="180">
        <f>(D615/D612)*Y76</f>
        <v>85772.500981733276</v>
      </c>
      <c r="E690" s="180">
        <f>(E623/E612)*SUM(C690:D690)</f>
        <v>173083.42991739872</v>
      </c>
      <c r="F690" s="180">
        <f>(F624/F612)*Y64</f>
        <v>2211.3086388938291</v>
      </c>
      <c r="G690" s="180">
        <f>(G625/G612)*Y77</f>
        <v>0</v>
      </c>
      <c r="H690" s="180">
        <f>(H628/H612)*Y60</f>
        <v>47548.717866495659</v>
      </c>
      <c r="I690" s="180">
        <f>(I629/I612)*Y78</f>
        <v>193882.89151296718</v>
      </c>
      <c r="J690" s="180">
        <f>(J630/J612)*Y79</f>
        <v>41804.821498368859</v>
      </c>
      <c r="K690" s="180">
        <f>(K644/K612)*Y75</f>
        <v>499092.90437749343</v>
      </c>
      <c r="L690" s="180">
        <f>(L647/L612)*Y80</f>
        <v>0</v>
      </c>
      <c r="M690" s="180">
        <f t="shared" si="20"/>
        <v>1043397</v>
      </c>
      <c r="N690" s="198" t="s">
        <v>747</v>
      </c>
    </row>
    <row r="691" spans="1:14" ht="12.6" customHeight="1" x14ac:dyDescent="0.25">
      <c r="A691" s="196">
        <v>7150</v>
      </c>
      <c r="B691" s="198" t="s">
        <v>748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749</v>
      </c>
    </row>
    <row r="692" spans="1:14" ht="12.6" customHeight="1" x14ac:dyDescent="0.25">
      <c r="A692" s="196">
        <v>7160</v>
      </c>
      <c r="B692" s="198" t="s">
        <v>750</v>
      </c>
      <c r="C692" s="180">
        <f>AA71</f>
        <v>287027</v>
      </c>
      <c r="D692" s="180">
        <f>(D615/D612)*AA76</f>
        <v>5556.2203922899271</v>
      </c>
      <c r="E692" s="180">
        <f>(E623/E612)*SUM(C692:D692)</f>
        <v>18159.177832156467</v>
      </c>
      <c r="F692" s="180">
        <f>(F624/F612)*AA64</f>
        <v>3601.4830445137422</v>
      </c>
      <c r="G692" s="180">
        <f>(G625/G612)*AA77</f>
        <v>0</v>
      </c>
      <c r="H692" s="180">
        <f>(H628/H612)*AA60</f>
        <v>2117.0883857604385</v>
      </c>
      <c r="I692" s="180">
        <f>(I629/I612)*AA78</f>
        <v>0</v>
      </c>
      <c r="J692" s="180">
        <f>(J630/J612)*AA79</f>
        <v>0</v>
      </c>
      <c r="K692" s="180">
        <f>(K644/K612)*AA75</f>
        <v>76066.375862089117</v>
      </c>
      <c r="L692" s="180">
        <f>(L647/L612)*AA80</f>
        <v>3090.7469902718467</v>
      </c>
      <c r="M692" s="180">
        <f t="shared" si="20"/>
        <v>108591</v>
      </c>
      <c r="N692" s="198" t="s">
        <v>751</v>
      </c>
    </row>
    <row r="693" spans="1:14" ht="12.6" customHeight="1" x14ac:dyDescent="0.25">
      <c r="A693" s="196">
        <v>7170</v>
      </c>
      <c r="B693" s="198" t="s">
        <v>131</v>
      </c>
      <c r="C693" s="180">
        <f>AB71</f>
        <v>16135833</v>
      </c>
      <c r="D693" s="180">
        <f>(D615/D612)*AB76</f>
        <v>38557.838241208599</v>
      </c>
      <c r="E693" s="180">
        <f>(E623/E612)*SUM(C693:D693)</f>
        <v>1003863.5816661627</v>
      </c>
      <c r="F693" s="180">
        <f>(F624/F612)*AB64</f>
        <v>465037.37085753994</v>
      </c>
      <c r="G693" s="180">
        <f>(G625/G612)*AB77</f>
        <v>0</v>
      </c>
      <c r="H693" s="180">
        <f>(H628/H612)*AB60</f>
        <v>29492.425075854102</v>
      </c>
      <c r="I693" s="180">
        <f>(I629/I612)*AB78</f>
        <v>0</v>
      </c>
      <c r="J693" s="180">
        <f>(J630/J612)*AB79</f>
        <v>0</v>
      </c>
      <c r="K693" s="180">
        <f>(K644/K612)*AB75</f>
        <v>1616746.1665300098</v>
      </c>
      <c r="L693" s="180">
        <f>(L647/L612)*AB80</f>
        <v>0</v>
      </c>
      <c r="M693" s="180">
        <f t="shared" si="20"/>
        <v>3153697</v>
      </c>
      <c r="N693" s="198" t="s">
        <v>752</v>
      </c>
    </row>
    <row r="694" spans="1:14" ht="12.6" customHeight="1" x14ac:dyDescent="0.25">
      <c r="A694" s="196">
        <v>7180</v>
      </c>
      <c r="B694" s="198" t="s">
        <v>753</v>
      </c>
      <c r="C694" s="180">
        <f>AC71</f>
        <v>1083157</v>
      </c>
      <c r="D694" s="180">
        <f>(D615/D612)*AC76</f>
        <v>26480.247005268739</v>
      </c>
      <c r="E694" s="180">
        <f>(E623/E612)*SUM(C694:D694)</f>
        <v>68869.636715790955</v>
      </c>
      <c r="F694" s="180">
        <f>(F624/F612)*AC64</f>
        <v>3920.240276568496</v>
      </c>
      <c r="G694" s="180">
        <f>(G625/G612)*AC77</f>
        <v>0</v>
      </c>
      <c r="H694" s="180">
        <f>(H628/H612)*AC60</f>
        <v>19898.230460750015</v>
      </c>
      <c r="I694" s="180">
        <f>(I629/I612)*AC78</f>
        <v>0</v>
      </c>
      <c r="J694" s="180">
        <f>(J630/J612)*AC79</f>
        <v>0</v>
      </c>
      <c r="K694" s="180">
        <f>(K644/K612)*AC75</f>
        <v>189826.53779708085</v>
      </c>
      <c r="L694" s="180">
        <f>(L647/L612)*AC80</f>
        <v>0</v>
      </c>
      <c r="M694" s="180">
        <f t="shared" si="20"/>
        <v>308995</v>
      </c>
      <c r="N694" s="198" t="s">
        <v>754</v>
      </c>
    </row>
    <row r="695" spans="1:14" ht="12.6" customHeight="1" x14ac:dyDescent="0.25">
      <c r="A695" s="196">
        <v>7190</v>
      </c>
      <c r="B695" s="198" t="s">
        <v>133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755</v>
      </c>
    </row>
    <row r="696" spans="1:14" ht="12.6" customHeight="1" x14ac:dyDescent="0.25">
      <c r="A696" s="196">
        <v>7200</v>
      </c>
      <c r="B696" s="198" t="s">
        <v>756</v>
      </c>
      <c r="C696" s="180">
        <f>AE71</f>
        <v>3899632</v>
      </c>
      <c r="D696" s="180">
        <f>(D615/D612)*AE76</f>
        <v>100829.46969795834</v>
      </c>
      <c r="E696" s="180">
        <f>(E623/E612)*SUM(C696:D696)</f>
        <v>248288.64465137169</v>
      </c>
      <c r="F696" s="180">
        <f>(F624/F612)*AE64</f>
        <v>2546.3311274356424</v>
      </c>
      <c r="G696" s="180">
        <f>(G625/G612)*AE77</f>
        <v>0</v>
      </c>
      <c r="H696" s="180">
        <f>(H628/H612)*AE60</f>
        <v>77295.119551696611</v>
      </c>
      <c r="I696" s="180">
        <f>(I629/I612)*AE78</f>
        <v>147798.04520336108</v>
      </c>
      <c r="J696" s="180">
        <f>(J630/J612)*AE79</f>
        <v>31868.056275203231</v>
      </c>
      <c r="K696" s="180">
        <f>(K644/K612)*AE75</f>
        <v>350291.88119241403</v>
      </c>
      <c r="L696" s="180">
        <f>(L647/L612)*AE80</f>
        <v>0</v>
      </c>
      <c r="M696" s="180">
        <f t="shared" si="20"/>
        <v>958918</v>
      </c>
      <c r="N696" s="198" t="s">
        <v>757</v>
      </c>
    </row>
    <row r="697" spans="1:14" ht="12.6" customHeight="1" x14ac:dyDescent="0.25">
      <c r="A697" s="196">
        <v>7220</v>
      </c>
      <c r="B697" s="198" t="s">
        <v>758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759</v>
      </c>
    </row>
    <row r="698" spans="1:14" ht="12.6" customHeight="1" x14ac:dyDescent="0.25">
      <c r="A698" s="196">
        <v>7230</v>
      </c>
      <c r="B698" s="198" t="s">
        <v>760</v>
      </c>
      <c r="C698" s="180">
        <f>AG71</f>
        <v>5782429</v>
      </c>
      <c r="D698" s="180">
        <f>(D615/D612)*AG76</f>
        <v>104436.73893726047</v>
      </c>
      <c r="E698" s="180">
        <f>(E623/E612)*SUM(C698:D698)</f>
        <v>365368.32728842273</v>
      </c>
      <c r="F698" s="180">
        <f>(F624/F612)*AG64</f>
        <v>10405.758788771693</v>
      </c>
      <c r="G698" s="180">
        <f>(G625/G612)*AG77</f>
        <v>0</v>
      </c>
      <c r="H698" s="180">
        <f>(H628/H612)*AG60</f>
        <v>63900.35975677141</v>
      </c>
      <c r="I698" s="180">
        <f>(I629/I612)*AG78</f>
        <v>414634.23419654823</v>
      </c>
      <c r="J698" s="180">
        <f>(J630/J612)*AG79</f>
        <v>89402.989672971045</v>
      </c>
      <c r="K698" s="180">
        <f>(K644/K612)*AG75</f>
        <v>1339784.5932135254</v>
      </c>
      <c r="L698" s="180">
        <f>(L647/L612)*AG80</f>
        <v>202708.4690062195</v>
      </c>
      <c r="M698" s="180">
        <f t="shared" si="20"/>
        <v>2590641</v>
      </c>
      <c r="N698" s="198" t="s">
        <v>761</v>
      </c>
    </row>
    <row r="699" spans="1:14" ht="12.6" customHeight="1" x14ac:dyDescent="0.25">
      <c r="A699" s="196">
        <v>7240</v>
      </c>
      <c r="B699" s="198" t="s">
        <v>135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762</v>
      </c>
    </row>
    <row r="700" spans="1:14" ht="12.6" customHeight="1" x14ac:dyDescent="0.25">
      <c r="A700" s="196">
        <v>7250</v>
      </c>
      <c r="B700" s="198" t="s">
        <v>763</v>
      </c>
      <c r="C700" s="180">
        <f>AI71</f>
        <v>3988961</v>
      </c>
      <c r="D700" s="180">
        <f>(D615/D612)*AI76</f>
        <v>99017.28704693458</v>
      </c>
      <c r="E700" s="180">
        <f>(E623/E612)*SUM(C700:D700)</f>
        <v>253720.37599746053</v>
      </c>
      <c r="F700" s="180">
        <f>(F624/F612)*AI64</f>
        <v>13793.91271983096</v>
      </c>
      <c r="G700" s="180">
        <f>(G625/G612)*AI77</f>
        <v>0</v>
      </c>
      <c r="H700" s="180">
        <f>(H628/H612)*AI60</f>
        <v>61216.909764402939</v>
      </c>
      <c r="I700" s="180">
        <f>(I629/I612)*AI78</f>
        <v>60292.286896498037</v>
      </c>
      <c r="J700" s="180">
        <f>(J630/J612)*AI79</f>
        <v>13000.158352125509</v>
      </c>
      <c r="K700" s="180">
        <f>(K644/K612)*AI75</f>
        <v>319044.21035146486</v>
      </c>
      <c r="L700" s="180">
        <f>(L647/L612)*AI80</f>
        <v>140284.83825701775</v>
      </c>
      <c r="M700" s="180">
        <f t="shared" si="20"/>
        <v>960370</v>
      </c>
      <c r="N700" s="198" t="s">
        <v>764</v>
      </c>
    </row>
    <row r="701" spans="1:14" ht="12.6" customHeight="1" x14ac:dyDescent="0.25">
      <c r="A701" s="196">
        <v>7260</v>
      </c>
      <c r="B701" s="198" t="s">
        <v>137</v>
      </c>
      <c r="C701" s="180">
        <f>AJ71</f>
        <v>26878314</v>
      </c>
      <c r="D701" s="180">
        <f>(D615/D612)*AJ76</f>
        <v>966538.34081744275</v>
      </c>
      <c r="E701" s="180">
        <f>(E623/E612)*SUM(C701:D701)</f>
        <v>1728190.7851348768</v>
      </c>
      <c r="F701" s="180">
        <f>(F624/F612)*AJ64</f>
        <v>62710.017215619788</v>
      </c>
      <c r="G701" s="180">
        <f>(G625/G612)*AJ77</f>
        <v>0</v>
      </c>
      <c r="H701" s="180">
        <f>(H628/H612)*AJ60</f>
        <v>425066.74826044921</v>
      </c>
      <c r="I701" s="180">
        <f>(I629/I612)*AJ78</f>
        <v>115341.49836392191</v>
      </c>
      <c r="J701" s="180">
        <f>(J630/J612)*AJ79</f>
        <v>24869.810393433647</v>
      </c>
      <c r="K701" s="180">
        <f>(K644/K612)*AJ75</f>
        <v>1534254.7978777424</v>
      </c>
      <c r="L701" s="180">
        <f>(L647/L612)*AJ80</f>
        <v>267808.31684970728</v>
      </c>
      <c r="M701" s="180">
        <f t="shared" si="20"/>
        <v>5124780</v>
      </c>
      <c r="N701" s="198" t="s">
        <v>765</v>
      </c>
    </row>
    <row r="702" spans="1:14" ht="12.6" customHeight="1" x14ac:dyDescent="0.25">
      <c r="A702" s="196">
        <v>7310</v>
      </c>
      <c r="B702" s="198" t="s">
        <v>766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767</v>
      </c>
    </row>
    <row r="703" spans="1:14" ht="12.6" customHeight="1" x14ac:dyDescent="0.25">
      <c r="A703" s="196">
        <v>7320</v>
      </c>
      <c r="B703" s="198" t="s">
        <v>768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769</v>
      </c>
    </row>
    <row r="704" spans="1:14" ht="12.6" customHeight="1" x14ac:dyDescent="0.25">
      <c r="A704" s="196">
        <v>7330</v>
      </c>
      <c r="B704" s="198" t="s">
        <v>770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771</v>
      </c>
    </row>
    <row r="705" spans="1:15" ht="12.6" customHeight="1" x14ac:dyDescent="0.25">
      <c r="A705" s="196">
        <v>7340</v>
      </c>
      <c r="B705" s="198" t="s">
        <v>772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773</v>
      </c>
    </row>
    <row r="706" spans="1:15" ht="12.6" customHeight="1" x14ac:dyDescent="0.25">
      <c r="A706" s="196">
        <v>7350</v>
      </c>
      <c r="B706" s="198" t="s">
        <v>774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775</v>
      </c>
    </row>
    <row r="707" spans="1:15" ht="12.6" customHeight="1" x14ac:dyDescent="0.25">
      <c r="A707" s="196">
        <v>7380</v>
      </c>
      <c r="B707" s="198" t="s">
        <v>776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777</v>
      </c>
    </row>
    <row r="708" spans="1:15" ht="12.6" customHeight="1" x14ac:dyDescent="0.25">
      <c r="A708" s="196">
        <v>7390</v>
      </c>
      <c r="B708" s="198" t="s">
        <v>778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779</v>
      </c>
    </row>
    <row r="709" spans="1:15" ht="12.6" customHeight="1" x14ac:dyDescent="0.25">
      <c r="A709" s="196">
        <v>7400</v>
      </c>
      <c r="B709" s="198" t="s">
        <v>780</v>
      </c>
      <c r="C709" s="180">
        <f>AR71</f>
        <v>5111999</v>
      </c>
      <c r="D709" s="180">
        <f>(D615/D612)*AR76</f>
        <v>68897.132864395069</v>
      </c>
      <c r="E709" s="180">
        <f>(E623/E612)*SUM(C709:D709)</f>
        <v>321552.32306375791</v>
      </c>
      <c r="F709" s="180">
        <f>(F624/F612)*AR64</f>
        <v>11722.965930279423</v>
      </c>
      <c r="G709" s="180">
        <f>(G625/G612)*AR77</f>
        <v>0</v>
      </c>
      <c r="H709" s="180">
        <f>(H628/H612)*AR60</f>
        <v>88319.888500708214</v>
      </c>
      <c r="I709" s="180">
        <f>(I629/I612)*AR78</f>
        <v>0</v>
      </c>
      <c r="J709" s="180">
        <f>(J630/J612)*AR79</f>
        <v>0</v>
      </c>
      <c r="K709" s="180">
        <f>(K644/K612)*AR75</f>
        <v>198790.49425790983</v>
      </c>
      <c r="L709" s="180">
        <f>(L647/L612)*AR80</f>
        <v>200760.29015739448</v>
      </c>
      <c r="M709" s="180">
        <f t="shared" si="20"/>
        <v>890043</v>
      </c>
      <c r="N709" s="198" t="s">
        <v>781</v>
      </c>
    </row>
    <row r="710" spans="1:15" ht="12.6" customHeight="1" x14ac:dyDescent="0.25">
      <c r="A710" s="196">
        <v>7410</v>
      </c>
      <c r="B710" s="198" t="s">
        <v>145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782</v>
      </c>
    </row>
    <row r="711" spans="1:15" ht="12.6" customHeight="1" x14ac:dyDescent="0.25">
      <c r="A711" s="196">
        <v>7420</v>
      </c>
      <c r="B711" s="198" t="s">
        <v>783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784</v>
      </c>
    </row>
    <row r="712" spans="1:15" ht="12.6" customHeight="1" x14ac:dyDescent="0.25">
      <c r="A712" s="196">
        <v>7430</v>
      </c>
      <c r="B712" s="198" t="s">
        <v>785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786</v>
      </c>
    </row>
    <row r="713" spans="1:15" ht="12.6" customHeight="1" x14ac:dyDescent="0.25">
      <c r="A713" s="196">
        <v>7490</v>
      </c>
      <c r="B713" s="198" t="s">
        <v>787</v>
      </c>
      <c r="C713" s="180">
        <f>AV71</f>
        <v>2372548</v>
      </c>
      <c r="D713" s="180">
        <f>(D615/D612)*AV76</f>
        <v>13705.34363431515</v>
      </c>
      <c r="E713" s="180">
        <f>(E623/E612)*SUM(C713:D713)</f>
        <v>148102.81588101416</v>
      </c>
      <c r="F713" s="180">
        <f>(F624/F612)*AV64</f>
        <v>3595.3530977434584</v>
      </c>
      <c r="G713" s="180">
        <f>(G625/G612)*AV77</f>
        <v>0</v>
      </c>
      <c r="H713" s="180">
        <f>(H628/H612)*AV60</f>
        <v>43740.321900352945</v>
      </c>
      <c r="I713" s="180">
        <f>(I629/I612)*AV78</f>
        <v>66071.375912328323</v>
      </c>
      <c r="J713" s="180">
        <f>(J630/J612)*AV79</f>
        <v>14246.239338666866</v>
      </c>
      <c r="K713" s="180">
        <f>(K644/K612)*AV75</f>
        <v>339869.47591487737</v>
      </c>
      <c r="L713" s="180">
        <f>(L647/L612)*AV80</f>
        <v>49793.310087011167</v>
      </c>
      <c r="M713" s="180">
        <f t="shared" si="20"/>
        <v>679124</v>
      </c>
      <c r="N713" s="199" t="s">
        <v>788</v>
      </c>
    </row>
    <row r="715" spans="1:15" ht="12.6" customHeight="1" x14ac:dyDescent="0.25">
      <c r="C715" s="180">
        <f>SUM(C614:C647)+SUM(C668:C713)</f>
        <v>115695273</v>
      </c>
      <c r="D715" s="180">
        <f>SUM(D616:D647)+SUM(D668:D713)</f>
        <v>2620040.0000000005</v>
      </c>
      <c r="E715" s="180">
        <f>SUM(E624:E647)+SUM(E668:E713)</f>
        <v>6761005.4139744621</v>
      </c>
      <c r="F715" s="180">
        <f>SUM(F625:F648)+SUM(F668:F713)</f>
        <v>805024.52418615215</v>
      </c>
      <c r="G715" s="180">
        <f>SUM(G626:G647)+SUM(G668:G713)</f>
        <v>813463.00442592707</v>
      </c>
      <c r="H715" s="180">
        <f>SUM(H629:H647)+SUM(H668:H713)</f>
        <v>1409339.1077328655</v>
      </c>
      <c r="I715" s="180">
        <f>SUM(I630:I647)+SUM(I668:I713)</f>
        <v>1762745.3713424332</v>
      </c>
      <c r="J715" s="180">
        <f>SUM(J631:J647)+SUM(J668:J713)</f>
        <v>380081.26978608512</v>
      </c>
      <c r="K715" s="180">
        <f>SUM(K668:K713)</f>
        <v>10057369.162497312</v>
      </c>
      <c r="L715" s="180">
        <f>SUM(L668:L713)</f>
        <v>1547737.7802897831</v>
      </c>
      <c r="M715" s="180">
        <f>SUM(M668:M713)</f>
        <v>24263784</v>
      </c>
      <c r="N715" s="198" t="s">
        <v>789</v>
      </c>
    </row>
    <row r="716" spans="1:15" ht="12.6" customHeight="1" x14ac:dyDescent="0.25">
      <c r="C716" s="180">
        <f>CE71</f>
        <v>115695273</v>
      </c>
      <c r="D716" s="180">
        <f>D615</f>
        <v>2620040</v>
      </c>
      <c r="E716" s="180">
        <f>E623</f>
        <v>6761005.4139744639</v>
      </c>
      <c r="F716" s="180">
        <f>F624</f>
        <v>805024.52418615203</v>
      </c>
      <c r="G716" s="180">
        <f>G625</f>
        <v>813463.00442592707</v>
      </c>
      <c r="H716" s="180">
        <f>H628</f>
        <v>1409339.1077328664</v>
      </c>
      <c r="I716" s="180">
        <f>I629</f>
        <v>1762745.3713424336</v>
      </c>
      <c r="J716" s="180">
        <f>J630</f>
        <v>380081.26978608518</v>
      </c>
      <c r="K716" s="180">
        <f>K644</f>
        <v>10057369.16249731</v>
      </c>
      <c r="L716" s="180">
        <f>L647</f>
        <v>1547737.7802897829</v>
      </c>
      <c r="M716" s="180">
        <f>C648</f>
        <v>24263786</v>
      </c>
      <c r="N716" s="198" t="s">
        <v>790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76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7" transitionEvaluation="1" transitionEntry="1" codeName="Sheet10">
    <pageSetUpPr autoPageBreaks="0" fitToPage="1"/>
  </sheetPr>
  <dimension ref="A1:CF719"/>
  <sheetViews>
    <sheetView showGridLines="0" topLeftCell="A37" zoomScale="75" workbookViewId="0">
      <selection activeCell="L59" sqref="L59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7" t="s">
        <v>0</v>
      </c>
      <c r="B1" s="228"/>
      <c r="C1" s="228"/>
      <c r="D1" s="228"/>
      <c r="E1" s="228"/>
      <c r="F1" s="228"/>
    </row>
    <row r="2" spans="1:6" ht="12.75" customHeight="1" x14ac:dyDescent="0.25">
      <c r="A2" s="228" t="s">
        <v>1</v>
      </c>
      <c r="B2" s="228"/>
      <c r="C2" s="229"/>
      <c r="D2" s="228"/>
      <c r="E2" s="228"/>
      <c r="F2" s="228"/>
    </row>
    <row r="3" spans="1:6" ht="12.75" customHeight="1" x14ac:dyDescent="0.25">
      <c r="A3" s="199"/>
      <c r="C3" s="230"/>
    </row>
    <row r="4" spans="1:6" ht="12.75" customHeight="1" x14ac:dyDescent="0.25">
      <c r="C4" s="230"/>
    </row>
    <row r="5" spans="1:6" ht="12.75" customHeight="1" x14ac:dyDescent="0.25">
      <c r="A5" s="199" t="s">
        <v>2</v>
      </c>
      <c r="C5" s="230"/>
    </row>
    <row r="6" spans="1:6" ht="12.75" customHeight="1" x14ac:dyDescent="0.25">
      <c r="A6" s="199" t="s">
        <v>3</v>
      </c>
      <c r="C6" s="230"/>
    </row>
    <row r="7" spans="1:6" ht="12.75" customHeight="1" x14ac:dyDescent="0.25">
      <c r="A7" s="199" t="s">
        <v>4</v>
      </c>
      <c r="C7" s="230"/>
    </row>
    <row r="8" spans="1:6" ht="12.75" customHeight="1" x14ac:dyDescent="0.25">
      <c r="C8" s="230"/>
    </row>
    <row r="9" spans="1:6" ht="12.75" customHeight="1" x14ac:dyDescent="0.25">
      <c r="C9" s="230"/>
    </row>
    <row r="10" spans="1:6" ht="12.75" customHeight="1" x14ac:dyDescent="0.25">
      <c r="A10" s="198" t="s">
        <v>5</v>
      </c>
      <c r="C10" s="230"/>
    </row>
    <row r="11" spans="1:6" ht="12.75" customHeight="1" x14ac:dyDescent="0.25">
      <c r="A11" s="198" t="s">
        <v>6</v>
      </c>
      <c r="C11" s="230"/>
    </row>
    <row r="12" spans="1:6" ht="12.75" customHeight="1" x14ac:dyDescent="0.25">
      <c r="C12" s="230"/>
    </row>
    <row r="13" spans="1:6" ht="12.75" customHeight="1" x14ac:dyDescent="0.25">
      <c r="C13" s="230"/>
    </row>
    <row r="14" spans="1:6" ht="12.75" customHeight="1" x14ac:dyDescent="0.25">
      <c r="A14" s="199" t="s">
        <v>7</v>
      </c>
      <c r="C14" s="230"/>
    </row>
    <row r="15" spans="1:6" ht="12.75" customHeight="1" x14ac:dyDescent="0.25">
      <c r="A15" s="199"/>
      <c r="C15" s="230"/>
    </row>
    <row r="16" spans="1:6" ht="12.75" customHeight="1" x14ac:dyDescent="0.25">
      <c r="A16" s="180" t="s">
        <v>8</v>
      </c>
      <c r="C16" s="230"/>
      <c r="F16" s="270" t="s">
        <v>9</v>
      </c>
    </row>
    <row r="17" spans="1:6" ht="12.75" customHeight="1" x14ac:dyDescent="0.25">
      <c r="A17" s="180" t="s">
        <v>10</v>
      </c>
      <c r="C17" s="270" t="s">
        <v>9</v>
      </c>
    </row>
    <row r="18" spans="1:6" ht="12.75" customHeight="1" x14ac:dyDescent="0.25">
      <c r="A18" s="222"/>
      <c r="C18" s="230"/>
    </row>
    <row r="19" spans="1:6" ht="12.75" customHeight="1" x14ac:dyDescent="0.25">
      <c r="C19" s="230"/>
    </row>
    <row r="20" spans="1:6" ht="12.75" customHeight="1" x14ac:dyDescent="0.25">
      <c r="A20" s="266" t="s">
        <v>11</v>
      </c>
      <c r="B20" s="266"/>
      <c r="C20" s="271"/>
      <c r="D20" s="266"/>
      <c r="E20" s="266"/>
      <c r="F20" s="266"/>
    </row>
    <row r="21" spans="1:6" ht="22.5" customHeight="1" x14ac:dyDescent="0.25">
      <c r="A21" s="199"/>
      <c r="C21" s="230"/>
    </row>
    <row r="22" spans="1:6" ht="12.6" customHeight="1" x14ac:dyDescent="0.25">
      <c r="A22" s="231" t="s">
        <v>12</v>
      </c>
      <c r="B22" s="232"/>
      <c r="C22" s="233"/>
      <c r="D22" s="231"/>
      <c r="E22" s="231"/>
    </row>
    <row r="23" spans="1:6" ht="12.6" customHeight="1" x14ac:dyDescent="0.25">
      <c r="B23" s="199"/>
      <c r="C23" s="230"/>
    </row>
    <row r="24" spans="1:6" ht="12.6" customHeight="1" x14ac:dyDescent="0.25">
      <c r="A24" s="234" t="s">
        <v>13</v>
      </c>
      <c r="C24" s="230"/>
    </row>
    <row r="25" spans="1:6" ht="12.6" customHeight="1" x14ac:dyDescent="0.25">
      <c r="A25" s="198" t="s">
        <v>14</v>
      </c>
      <c r="C25" s="230"/>
    </row>
    <row r="26" spans="1:6" ht="12.6" customHeight="1" x14ac:dyDescent="0.25">
      <c r="A26" s="199" t="s">
        <v>15</v>
      </c>
      <c r="C26" s="230"/>
    </row>
    <row r="27" spans="1:6" ht="12.6" customHeight="1" x14ac:dyDescent="0.25">
      <c r="A27" s="198" t="s">
        <v>16</v>
      </c>
      <c r="C27" s="230"/>
    </row>
    <row r="28" spans="1:6" ht="12.6" customHeight="1" x14ac:dyDescent="0.25">
      <c r="A28" s="199" t="s">
        <v>17</v>
      </c>
      <c r="C28" s="230"/>
    </row>
    <row r="29" spans="1:6" ht="12.6" customHeight="1" x14ac:dyDescent="0.25">
      <c r="A29" s="198"/>
      <c r="C29" s="230"/>
    </row>
    <row r="30" spans="1:6" ht="12.6" customHeight="1" x14ac:dyDescent="0.25">
      <c r="A30" s="180" t="s">
        <v>18</v>
      </c>
      <c r="C30" s="230"/>
    </row>
    <row r="31" spans="1:6" ht="12.6" customHeight="1" x14ac:dyDescent="0.25">
      <c r="A31" s="199" t="s">
        <v>19</v>
      </c>
      <c r="C31" s="230"/>
    </row>
    <row r="32" spans="1:6" ht="12.6" customHeight="1" x14ac:dyDescent="0.25">
      <c r="A32" s="199" t="s">
        <v>20</v>
      </c>
      <c r="C32" s="230"/>
    </row>
    <row r="33" spans="1:83" ht="12.6" customHeight="1" x14ac:dyDescent="0.25">
      <c r="A33" s="198" t="s">
        <v>21</v>
      </c>
      <c r="C33" s="230"/>
    </row>
    <row r="34" spans="1:83" ht="12.6" customHeight="1" x14ac:dyDescent="0.25">
      <c r="A34" s="199" t="s">
        <v>22</v>
      </c>
      <c r="C34" s="230"/>
    </row>
    <row r="35" spans="1:83" ht="12.6" customHeight="1" x14ac:dyDescent="0.25">
      <c r="A35" s="199"/>
      <c r="C35" s="230"/>
    </row>
    <row r="36" spans="1:83" ht="12.6" customHeight="1" x14ac:dyDescent="0.25">
      <c r="A36" s="198" t="s">
        <v>23</v>
      </c>
      <c r="C36" s="230"/>
    </row>
    <row r="37" spans="1:83" ht="12.6" customHeight="1" x14ac:dyDescent="0.25">
      <c r="A37" s="199" t="s">
        <v>24</v>
      </c>
      <c r="C37" s="230"/>
    </row>
    <row r="38" spans="1:83" ht="12" customHeight="1" x14ac:dyDescent="0.25">
      <c r="A38" s="198"/>
      <c r="C38" s="230"/>
    </row>
    <row r="39" spans="1:83" ht="12.6" customHeight="1" x14ac:dyDescent="0.25">
      <c r="A39" s="199"/>
      <c r="C39" s="230"/>
    </row>
    <row r="40" spans="1:83" ht="12" customHeight="1" x14ac:dyDescent="0.25">
      <c r="A40" s="199"/>
      <c r="C40" s="230"/>
    </row>
    <row r="41" spans="1:83" ht="12" customHeight="1" x14ac:dyDescent="0.25">
      <c r="A41" s="199"/>
      <c r="C41" s="235"/>
      <c r="D41" s="236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  <c r="BF41" s="235"/>
      <c r="BG41" s="235"/>
      <c r="BH41" s="235"/>
      <c r="BI41" s="235"/>
      <c r="BJ41" s="235"/>
      <c r="BK41" s="235"/>
      <c r="BL41" s="235"/>
      <c r="BM41" s="235"/>
      <c r="BN41" s="235"/>
      <c r="BO41" s="235"/>
      <c r="BP41" s="235"/>
      <c r="BQ41" s="235"/>
      <c r="BR41" s="235"/>
      <c r="BS41" s="235"/>
      <c r="BT41" s="235"/>
      <c r="BU41" s="235"/>
      <c r="BV41" s="235"/>
      <c r="BW41" s="235"/>
      <c r="BX41" s="235"/>
      <c r="BY41" s="235"/>
      <c r="BZ41" s="235"/>
      <c r="CA41" s="235"/>
      <c r="CB41" s="235"/>
      <c r="CC41" s="235"/>
    </row>
    <row r="42" spans="1:83" ht="12" customHeight="1" x14ac:dyDescent="0.25">
      <c r="A42" s="199"/>
      <c r="C42" s="235"/>
      <c r="D42" s="236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  <c r="BF42" s="235"/>
      <c r="BG42" s="235"/>
      <c r="BH42" s="235"/>
      <c r="BI42" s="235"/>
      <c r="BJ42" s="235"/>
      <c r="BK42" s="235"/>
      <c r="BL42" s="235"/>
      <c r="BM42" s="235"/>
      <c r="BN42" s="235"/>
      <c r="BO42" s="235"/>
      <c r="BP42" s="235"/>
      <c r="BQ42" s="235"/>
      <c r="BR42" s="235"/>
      <c r="BS42" s="235"/>
      <c r="BT42" s="235"/>
      <c r="BU42" s="235"/>
      <c r="BV42" s="235"/>
      <c r="BW42" s="235"/>
      <c r="BX42" s="235"/>
      <c r="BY42" s="235"/>
      <c r="BZ42" s="235"/>
      <c r="CA42" s="235"/>
      <c r="CB42" s="235"/>
      <c r="CC42" s="235"/>
      <c r="CD42" s="237"/>
    </row>
    <row r="43" spans="1:83" ht="12" customHeight="1" x14ac:dyDescent="0.25">
      <c r="A43" s="199"/>
      <c r="C43" s="230"/>
      <c r="F43" s="181"/>
    </row>
    <row r="44" spans="1:83" ht="12" customHeight="1" x14ac:dyDescent="0.25">
      <c r="A44" s="175"/>
      <c r="B44" s="175"/>
      <c r="C44" s="182" t="s">
        <v>25</v>
      </c>
      <c r="D44" s="170" t="s">
        <v>26</v>
      </c>
      <c r="E44" s="170" t="s">
        <v>27</v>
      </c>
      <c r="F44" s="170" t="s">
        <v>28</v>
      </c>
      <c r="G44" s="170" t="s">
        <v>29</v>
      </c>
      <c r="H44" s="170" t="s">
        <v>30</v>
      </c>
      <c r="I44" s="170" t="s">
        <v>31</v>
      </c>
      <c r="J44" s="170" t="s">
        <v>32</v>
      </c>
      <c r="K44" s="170" t="s">
        <v>33</v>
      </c>
      <c r="L44" s="170" t="s">
        <v>34</v>
      </c>
      <c r="M44" s="170" t="s">
        <v>35</v>
      </c>
      <c r="N44" s="170" t="s">
        <v>36</v>
      </c>
      <c r="O44" s="170" t="s">
        <v>37</v>
      </c>
      <c r="P44" s="170" t="s">
        <v>38</v>
      </c>
      <c r="Q44" s="170" t="s">
        <v>39</v>
      </c>
      <c r="R44" s="170" t="s">
        <v>40</v>
      </c>
      <c r="S44" s="170" t="s">
        <v>41</v>
      </c>
      <c r="T44" s="170" t="s">
        <v>42</v>
      </c>
      <c r="U44" s="170" t="s">
        <v>43</v>
      </c>
      <c r="V44" s="170" t="s">
        <v>44</v>
      </c>
      <c r="W44" s="170" t="s">
        <v>45</v>
      </c>
      <c r="X44" s="170" t="s">
        <v>46</v>
      </c>
      <c r="Y44" s="170" t="s">
        <v>47</v>
      </c>
      <c r="Z44" s="170" t="s">
        <v>48</v>
      </c>
      <c r="AA44" s="170" t="s">
        <v>49</v>
      </c>
      <c r="AB44" s="170" t="s">
        <v>50</v>
      </c>
      <c r="AC44" s="170" t="s">
        <v>51</v>
      </c>
      <c r="AD44" s="170" t="s">
        <v>52</v>
      </c>
      <c r="AE44" s="170" t="s">
        <v>53</v>
      </c>
      <c r="AF44" s="170" t="s">
        <v>54</v>
      </c>
      <c r="AG44" s="170" t="s">
        <v>55</v>
      </c>
      <c r="AH44" s="170" t="s">
        <v>56</v>
      </c>
      <c r="AI44" s="170" t="s">
        <v>57</v>
      </c>
      <c r="AJ44" s="170" t="s">
        <v>58</v>
      </c>
      <c r="AK44" s="170" t="s">
        <v>59</v>
      </c>
      <c r="AL44" s="170" t="s">
        <v>60</v>
      </c>
      <c r="AM44" s="170" t="s">
        <v>61</v>
      </c>
      <c r="AN44" s="170" t="s">
        <v>62</v>
      </c>
      <c r="AO44" s="170" t="s">
        <v>63</v>
      </c>
      <c r="AP44" s="170" t="s">
        <v>64</v>
      </c>
      <c r="AQ44" s="170" t="s">
        <v>65</v>
      </c>
      <c r="AR44" s="170" t="s">
        <v>66</v>
      </c>
      <c r="AS44" s="170" t="s">
        <v>67</v>
      </c>
      <c r="AT44" s="170" t="s">
        <v>68</v>
      </c>
      <c r="AU44" s="170" t="s">
        <v>69</v>
      </c>
      <c r="AV44" s="170" t="s">
        <v>70</v>
      </c>
      <c r="AW44" s="170" t="s">
        <v>71</v>
      </c>
      <c r="AX44" s="170" t="s">
        <v>72</v>
      </c>
      <c r="AY44" s="170" t="s">
        <v>73</v>
      </c>
      <c r="AZ44" s="170" t="s">
        <v>74</v>
      </c>
      <c r="BA44" s="170" t="s">
        <v>75</v>
      </c>
      <c r="BB44" s="170" t="s">
        <v>76</v>
      </c>
      <c r="BC44" s="170" t="s">
        <v>77</v>
      </c>
      <c r="BD44" s="170" t="s">
        <v>78</v>
      </c>
      <c r="BE44" s="170" t="s">
        <v>79</v>
      </c>
      <c r="BF44" s="170" t="s">
        <v>80</v>
      </c>
      <c r="BG44" s="170" t="s">
        <v>81</v>
      </c>
      <c r="BH44" s="170" t="s">
        <v>82</v>
      </c>
      <c r="BI44" s="170" t="s">
        <v>83</v>
      </c>
      <c r="BJ44" s="170" t="s">
        <v>84</v>
      </c>
      <c r="BK44" s="170" t="s">
        <v>85</v>
      </c>
      <c r="BL44" s="170" t="s">
        <v>86</v>
      </c>
      <c r="BM44" s="170" t="s">
        <v>87</v>
      </c>
      <c r="BN44" s="170" t="s">
        <v>88</v>
      </c>
      <c r="BO44" s="170" t="s">
        <v>89</v>
      </c>
      <c r="BP44" s="170" t="s">
        <v>90</v>
      </c>
      <c r="BQ44" s="170" t="s">
        <v>91</v>
      </c>
      <c r="BR44" s="170" t="s">
        <v>92</v>
      </c>
      <c r="BS44" s="170" t="s">
        <v>93</v>
      </c>
      <c r="BT44" s="170" t="s">
        <v>94</v>
      </c>
      <c r="BU44" s="170" t="s">
        <v>95</v>
      </c>
      <c r="BV44" s="170" t="s">
        <v>96</v>
      </c>
      <c r="BW44" s="170" t="s">
        <v>97</v>
      </c>
      <c r="BX44" s="170" t="s">
        <v>98</v>
      </c>
      <c r="BY44" s="170" t="s">
        <v>99</v>
      </c>
      <c r="BZ44" s="170" t="s">
        <v>100</v>
      </c>
      <c r="CA44" s="170" t="s">
        <v>101</v>
      </c>
      <c r="CB44" s="170" t="s">
        <v>102</v>
      </c>
      <c r="CC44" s="170" t="s">
        <v>103</v>
      </c>
      <c r="CD44" s="170" t="s">
        <v>104</v>
      </c>
      <c r="CE44" s="170" t="s">
        <v>105</v>
      </c>
    </row>
    <row r="45" spans="1:83" ht="12" customHeight="1" x14ac:dyDescent="0.25">
      <c r="A45" s="175"/>
      <c r="B45" s="238" t="s">
        <v>106</v>
      </c>
      <c r="C45" s="182" t="s">
        <v>107</v>
      </c>
      <c r="D45" s="170" t="s">
        <v>108</v>
      </c>
      <c r="E45" s="170" t="s">
        <v>109</v>
      </c>
      <c r="F45" s="170" t="s">
        <v>110</v>
      </c>
      <c r="G45" s="170" t="s">
        <v>111</v>
      </c>
      <c r="H45" s="170" t="s">
        <v>112</v>
      </c>
      <c r="I45" s="170" t="s">
        <v>113</v>
      </c>
      <c r="J45" s="170" t="s">
        <v>114</v>
      </c>
      <c r="K45" s="170" t="s">
        <v>115</v>
      </c>
      <c r="L45" s="170" t="s">
        <v>116</v>
      </c>
      <c r="M45" s="170" t="s">
        <v>117</v>
      </c>
      <c r="N45" s="170" t="s">
        <v>118</v>
      </c>
      <c r="O45" s="170" t="s">
        <v>119</v>
      </c>
      <c r="P45" s="170" t="s">
        <v>120</v>
      </c>
      <c r="Q45" s="170" t="s">
        <v>121</v>
      </c>
      <c r="R45" s="170" t="s">
        <v>122</v>
      </c>
      <c r="S45" s="170" t="s">
        <v>123</v>
      </c>
      <c r="T45" s="170" t="s">
        <v>124</v>
      </c>
      <c r="U45" s="170" t="s">
        <v>125</v>
      </c>
      <c r="V45" s="170" t="s">
        <v>126</v>
      </c>
      <c r="W45" s="170" t="s">
        <v>127</v>
      </c>
      <c r="X45" s="170" t="s">
        <v>128</v>
      </c>
      <c r="Y45" s="170" t="s">
        <v>129</v>
      </c>
      <c r="Z45" s="170" t="s">
        <v>129</v>
      </c>
      <c r="AA45" s="170" t="s">
        <v>130</v>
      </c>
      <c r="AB45" s="170" t="s">
        <v>131</v>
      </c>
      <c r="AC45" s="170" t="s">
        <v>132</v>
      </c>
      <c r="AD45" s="170" t="s">
        <v>133</v>
      </c>
      <c r="AE45" s="170" t="s">
        <v>111</v>
      </c>
      <c r="AF45" s="170" t="s">
        <v>112</v>
      </c>
      <c r="AG45" s="170" t="s">
        <v>134</v>
      </c>
      <c r="AH45" s="170" t="s">
        <v>135</v>
      </c>
      <c r="AI45" s="170" t="s">
        <v>136</v>
      </c>
      <c r="AJ45" s="170" t="s">
        <v>137</v>
      </c>
      <c r="AK45" s="170" t="s">
        <v>138</v>
      </c>
      <c r="AL45" s="170" t="s">
        <v>139</v>
      </c>
      <c r="AM45" s="170" t="s">
        <v>140</v>
      </c>
      <c r="AN45" s="170" t="s">
        <v>126</v>
      </c>
      <c r="AO45" s="170" t="s">
        <v>141</v>
      </c>
      <c r="AP45" s="170" t="s">
        <v>142</v>
      </c>
      <c r="AQ45" s="170" t="s">
        <v>143</v>
      </c>
      <c r="AR45" s="170" t="s">
        <v>144</v>
      </c>
      <c r="AS45" s="170" t="s">
        <v>145</v>
      </c>
      <c r="AT45" s="170" t="s">
        <v>146</v>
      </c>
      <c r="AU45" s="170" t="s">
        <v>147</v>
      </c>
      <c r="AV45" s="170" t="s">
        <v>148</v>
      </c>
      <c r="AW45" s="170" t="s">
        <v>149</v>
      </c>
      <c r="AX45" s="170" t="s">
        <v>150</v>
      </c>
      <c r="AY45" s="170" t="s">
        <v>151</v>
      </c>
      <c r="AZ45" s="170" t="s">
        <v>152</v>
      </c>
      <c r="BA45" s="170" t="s">
        <v>153</v>
      </c>
      <c r="BB45" s="170" t="s">
        <v>154</v>
      </c>
      <c r="BC45" s="170" t="s">
        <v>123</v>
      </c>
      <c r="BD45" s="170" t="s">
        <v>155</v>
      </c>
      <c r="BE45" s="170" t="s">
        <v>156</v>
      </c>
      <c r="BF45" s="170" t="s">
        <v>157</v>
      </c>
      <c r="BG45" s="170" t="s">
        <v>158</v>
      </c>
      <c r="BH45" s="170" t="s">
        <v>159</v>
      </c>
      <c r="BI45" s="170" t="s">
        <v>160</v>
      </c>
      <c r="BJ45" s="170" t="s">
        <v>161</v>
      </c>
      <c r="BK45" s="170" t="s">
        <v>162</v>
      </c>
      <c r="BL45" s="170" t="s">
        <v>163</v>
      </c>
      <c r="BM45" s="170" t="s">
        <v>148</v>
      </c>
      <c r="BN45" s="170" t="s">
        <v>164</v>
      </c>
      <c r="BO45" s="170" t="s">
        <v>165</v>
      </c>
      <c r="BP45" s="170" t="s">
        <v>166</v>
      </c>
      <c r="BQ45" s="170" t="s">
        <v>167</v>
      </c>
      <c r="BR45" s="170" t="s">
        <v>168</v>
      </c>
      <c r="BS45" s="170" t="s">
        <v>169</v>
      </c>
      <c r="BT45" s="170" t="s">
        <v>170</v>
      </c>
      <c r="BU45" s="170" t="s">
        <v>171</v>
      </c>
      <c r="BV45" s="170" t="s">
        <v>171</v>
      </c>
      <c r="BW45" s="170" t="s">
        <v>171</v>
      </c>
      <c r="BX45" s="170" t="s">
        <v>172</v>
      </c>
      <c r="BY45" s="170" t="s">
        <v>173</v>
      </c>
      <c r="BZ45" s="170" t="s">
        <v>174</v>
      </c>
      <c r="CA45" s="170" t="s">
        <v>175</v>
      </c>
      <c r="CB45" s="170" t="s">
        <v>176</v>
      </c>
      <c r="CC45" s="170" t="s">
        <v>148</v>
      </c>
      <c r="CD45" s="170"/>
      <c r="CE45" s="170" t="s">
        <v>177</v>
      </c>
    </row>
    <row r="46" spans="1:83" ht="12.6" customHeight="1" x14ac:dyDescent="0.25">
      <c r="A46" s="175" t="s">
        <v>13</v>
      </c>
      <c r="B46" s="170" t="s">
        <v>178</v>
      </c>
      <c r="C46" s="182" t="s">
        <v>179</v>
      </c>
      <c r="D46" s="170" t="s">
        <v>179</v>
      </c>
      <c r="E46" s="170" t="s">
        <v>179</v>
      </c>
      <c r="F46" s="170" t="s">
        <v>180</v>
      </c>
      <c r="G46" s="170" t="s">
        <v>181</v>
      </c>
      <c r="H46" s="170" t="s">
        <v>179</v>
      </c>
      <c r="I46" s="170" t="s">
        <v>182</v>
      </c>
      <c r="J46" s="170"/>
      <c r="K46" s="170" t="s">
        <v>173</v>
      </c>
      <c r="L46" s="170" t="s">
        <v>183</v>
      </c>
      <c r="M46" s="170" t="s">
        <v>184</v>
      </c>
      <c r="N46" s="170" t="s">
        <v>185</v>
      </c>
      <c r="O46" s="170" t="s">
        <v>186</v>
      </c>
      <c r="P46" s="170" t="s">
        <v>185</v>
      </c>
      <c r="Q46" s="170" t="s">
        <v>187</v>
      </c>
      <c r="R46" s="170"/>
      <c r="S46" s="170" t="s">
        <v>185</v>
      </c>
      <c r="T46" s="170" t="s">
        <v>188</v>
      </c>
      <c r="U46" s="170"/>
      <c r="V46" s="170" t="s">
        <v>189</v>
      </c>
      <c r="W46" s="170" t="s">
        <v>190</v>
      </c>
      <c r="X46" s="170" t="s">
        <v>191</v>
      </c>
      <c r="Y46" s="170" t="s">
        <v>192</v>
      </c>
      <c r="Z46" s="170" t="s">
        <v>193</v>
      </c>
      <c r="AA46" s="170" t="s">
        <v>194</v>
      </c>
      <c r="AB46" s="170"/>
      <c r="AC46" s="170" t="s">
        <v>188</v>
      </c>
      <c r="AD46" s="170"/>
      <c r="AE46" s="170" t="s">
        <v>188</v>
      </c>
      <c r="AF46" s="170" t="s">
        <v>195</v>
      </c>
      <c r="AG46" s="170" t="s">
        <v>187</v>
      </c>
      <c r="AH46" s="170"/>
      <c r="AI46" s="170" t="s">
        <v>196</v>
      </c>
      <c r="AJ46" s="170"/>
      <c r="AK46" s="170" t="s">
        <v>188</v>
      </c>
      <c r="AL46" s="170" t="s">
        <v>188</v>
      </c>
      <c r="AM46" s="170" t="s">
        <v>188</v>
      </c>
      <c r="AN46" s="170" t="s">
        <v>197</v>
      </c>
      <c r="AO46" s="170" t="s">
        <v>198</v>
      </c>
      <c r="AP46" s="170" t="s">
        <v>137</v>
      </c>
      <c r="AQ46" s="170" t="s">
        <v>199</v>
      </c>
      <c r="AR46" s="170" t="s">
        <v>185</v>
      </c>
      <c r="AS46" s="170"/>
      <c r="AT46" s="170" t="s">
        <v>200</v>
      </c>
      <c r="AU46" s="170" t="s">
        <v>201</v>
      </c>
      <c r="AV46" s="170" t="s">
        <v>202</v>
      </c>
      <c r="AW46" s="170" t="s">
        <v>203</v>
      </c>
      <c r="AX46" s="170" t="s">
        <v>204</v>
      </c>
      <c r="AY46" s="170"/>
      <c r="AZ46" s="170"/>
      <c r="BA46" s="170" t="s">
        <v>205</v>
      </c>
      <c r="BB46" s="170" t="s">
        <v>185</v>
      </c>
      <c r="BC46" s="170" t="s">
        <v>199</v>
      </c>
      <c r="BD46" s="170"/>
      <c r="BE46" s="170"/>
      <c r="BF46" s="170"/>
      <c r="BG46" s="170"/>
      <c r="BH46" s="170" t="s">
        <v>206</v>
      </c>
      <c r="BI46" s="170" t="s">
        <v>185</v>
      </c>
      <c r="BJ46" s="170"/>
      <c r="BK46" s="170" t="s">
        <v>207</v>
      </c>
      <c r="BL46" s="170"/>
      <c r="BM46" s="170" t="s">
        <v>208</v>
      </c>
      <c r="BN46" s="170" t="s">
        <v>209</v>
      </c>
      <c r="BO46" s="170" t="s">
        <v>210</v>
      </c>
      <c r="BP46" s="170" t="s">
        <v>211</v>
      </c>
      <c r="BQ46" s="170" t="s">
        <v>212</v>
      </c>
      <c r="BR46" s="170"/>
      <c r="BS46" s="170" t="s">
        <v>213</v>
      </c>
      <c r="BT46" s="170" t="s">
        <v>185</v>
      </c>
      <c r="BU46" s="170" t="s">
        <v>214</v>
      </c>
      <c r="BV46" s="170" t="s">
        <v>215</v>
      </c>
      <c r="BW46" s="170" t="s">
        <v>216</v>
      </c>
      <c r="BX46" s="170" t="s">
        <v>167</v>
      </c>
      <c r="BY46" s="170" t="s">
        <v>209</v>
      </c>
      <c r="BZ46" s="170" t="s">
        <v>168</v>
      </c>
      <c r="CA46" s="170" t="s">
        <v>217</v>
      </c>
      <c r="CB46" s="170" t="s">
        <v>217</v>
      </c>
      <c r="CC46" s="170" t="s">
        <v>218</v>
      </c>
      <c r="CD46" s="170"/>
      <c r="CE46" s="170" t="s">
        <v>219</v>
      </c>
    </row>
    <row r="47" spans="1:83" ht="12.6" customHeight="1" x14ac:dyDescent="0.25">
      <c r="A47" s="175" t="s">
        <v>220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221</v>
      </c>
      <c r="B48" s="183">
        <v>13499328</v>
      </c>
      <c r="C48" s="239">
        <f>ROUND(((B48/CE61)*C61),0)</f>
        <v>283513</v>
      </c>
      <c r="D48" s="239">
        <f>ROUND(((B48/CE61)*D61),0)</f>
        <v>0</v>
      </c>
      <c r="E48" s="195">
        <f>ROUND(((B48/CE61)*E61),0)</f>
        <v>723070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413029</v>
      </c>
      <c r="O48" s="195">
        <f>ROUND(((B48/CE61)*O61),0)</f>
        <v>300246</v>
      </c>
      <c r="P48" s="195">
        <f>ROUND(((B48/CE61)*P61),0)</f>
        <v>336725</v>
      </c>
      <c r="Q48" s="195">
        <f>ROUND(((B48/CE61)*Q61),0)</f>
        <v>18759</v>
      </c>
      <c r="R48" s="195">
        <f>ROUND(((B48/CE61)*R61),0)</f>
        <v>253327</v>
      </c>
      <c r="S48" s="195">
        <f>ROUND(((B48/CE61)*S61),0)</f>
        <v>24755</v>
      </c>
      <c r="T48" s="195">
        <f>ROUND(((B48/CE61)*T61),0)</f>
        <v>0</v>
      </c>
      <c r="U48" s="195">
        <f>ROUND(((B48/CE61)*U61),0)</f>
        <v>400292</v>
      </c>
      <c r="V48" s="195">
        <f>ROUND(((B48/CE61)*V61),0)</f>
        <v>29595</v>
      </c>
      <c r="W48" s="195">
        <f>ROUND(((B48/CE61)*W61),0)</f>
        <v>35005</v>
      </c>
      <c r="X48" s="195">
        <f>ROUND(((B48/CE61)*X61),0)</f>
        <v>36390</v>
      </c>
      <c r="Y48" s="195">
        <f>ROUND(((B48/CE61)*Y61),0)</f>
        <v>388289</v>
      </c>
      <c r="Z48" s="195">
        <f>ROUND(((B48/CE61)*Z61),0)</f>
        <v>0</v>
      </c>
      <c r="AA48" s="195">
        <f>ROUND(((B48/CE61)*AA61),0)</f>
        <v>16349</v>
      </c>
      <c r="AB48" s="195">
        <f>ROUND(((B48/CE61)*AB61),0)</f>
        <v>233100</v>
      </c>
      <c r="AC48" s="195">
        <f>ROUND(((B48/CE61)*AC61),0)</f>
        <v>158326</v>
      </c>
      <c r="AD48" s="195">
        <f>ROUND(((B48/CE61)*AD61),0)</f>
        <v>0</v>
      </c>
      <c r="AE48" s="195">
        <f>ROUND(((B48/CE61)*AE61),0)</f>
        <v>642891</v>
      </c>
      <c r="AF48" s="195">
        <f>ROUND(((B48/CE61)*AF61),0)</f>
        <v>0</v>
      </c>
      <c r="AG48" s="195">
        <f>ROUND(((B48/CE61)*AG61),0)</f>
        <v>519675</v>
      </c>
      <c r="AH48" s="195">
        <f>ROUND(((B48/CE61)*AH61),0)</f>
        <v>0</v>
      </c>
      <c r="AI48" s="195">
        <f>ROUND(((B48/CE61)*AI61),0)</f>
        <v>548799</v>
      </c>
      <c r="AJ48" s="195">
        <f>ROUND(((B48/CE61)*AJ61),0)</f>
        <v>4124329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616756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303928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178929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113914</v>
      </c>
      <c r="BE48" s="195">
        <f>ROUND(((B48/CE61)*BE61),0)</f>
        <v>243123</v>
      </c>
      <c r="BF48" s="195">
        <f>ROUND(((B48/CE61)*BF61),0)</f>
        <v>247092</v>
      </c>
      <c r="BG48" s="195">
        <f>ROUND(((B48/CE61)*BG61),0)</f>
        <v>0</v>
      </c>
      <c r="BH48" s="195">
        <f>ROUND(((B48/CE61)*BH61),0)</f>
        <v>296626</v>
      </c>
      <c r="BI48" s="195">
        <f>ROUND(((B48/CE61)*BI61),0)</f>
        <v>0</v>
      </c>
      <c r="BJ48" s="195">
        <f>ROUND(((B48/CE61)*BJ61),0)</f>
        <v>162974</v>
      </c>
      <c r="BK48" s="195">
        <f>ROUND(((B48/CE61)*BK61),0)</f>
        <v>204964</v>
      </c>
      <c r="BL48" s="195">
        <f>ROUND(((B48/CE61)*BL61),0)</f>
        <v>159035</v>
      </c>
      <c r="BM48" s="195">
        <f>ROUND(((B48/CE61)*BM61),0)</f>
        <v>105742</v>
      </c>
      <c r="BN48" s="195">
        <f>ROUND(((B48/CE61)*BN61),0)</f>
        <v>304424</v>
      </c>
      <c r="BO48" s="195">
        <f>ROUND(((B48/CE61)*BO61),0)</f>
        <v>23503</v>
      </c>
      <c r="BP48" s="195">
        <f>ROUND(((B48/CE61)*BP61),0)</f>
        <v>23069</v>
      </c>
      <c r="BQ48" s="195">
        <f>ROUND(((B48/CE61)*BQ61),0)</f>
        <v>0</v>
      </c>
      <c r="BR48" s="195">
        <f>ROUND(((B48/CE61)*BR61),0)</f>
        <v>160832</v>
      </c>
      <c r="BS48" s="195">
        <f>ROUND(((B48/CE61)*BS61),0)</f>
        <v>13138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153717</v>
      </c>
      <c r="BW48" s="195">
        <f>ROUND(((B48/CE61)*BW61),0)</f>
        <v>81473</v>
      </c>
      <c r="BX48" s="195">
        <f>ROUND(((B48/CE61)*BX61),0)</f>
        <v>92607</v>
      </c>
      <c r="BY48" s="195">
        <f>ROUND(((B48/CE61)*BY61),0)</f>
        <v>253558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14539</v>
      </c>
      <c r="CC48" s="195">
        <f>ROUND(((B48/CE61)*CC61),0)</f>
        <v>258923</v>
      </c>
      <c r="CD48" s="195"/>
      <c r="CE48" s="195">
        <f>SUM(C48:CD48)</f>
        <v>13499330</v>
      </c>
    </row>
    <row r="49" spans="1:84" ht="12.6" customHeight="1" x14ac:dyDescent="0.25">
      <c r="A49" s="175" t="s">
        <v>222</v>
      </c>
      <c r="B49" s="195">
        <f>B47+B48</f>
        <v>13499328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18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223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224</v>
      </c>
      <c r="B52" s="184">
        <v>4703575</v>
      </c>
      <c r="C52" s="195">
        <f>ROUND((B52/(CE76+CF76)*C76),0)</f>
        <v>70550</v>
      </c>
      <c r="D52" s="195">
        <f>ROUND((B52/(CE76+CF76)*D76),0)</f>
        <v>0</v>
      </c>
      <c r="E52" s="195">
        <f>ROUND((B52/(CE76+CF76)*E76),0)</f>
        <v>159491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2385</v>
      </c>
      <c r="K52" s="195">
        <f>ROUND((B52/(CE76+CF76)*K76),0)</f>
        <v>0</v>
      </c>
      <c r="L52" s="195">
        <f>ROUND((B52/(CE76+CF76)*L76),0)</f>
        <v>60446</v>
      </c>
      <c r="M52" s="195">
        <f>ROUND((B52/(CE76+CF76)*M76),0)</f>
        <v>0</v>
      </c>
      <c r="N52" s="195">
        <f>ROUND((B52/(CE76+CF76)*N76),0)</f>
        <v>8004</v>
      </c>
      <c r="O52" s="195">
        <f>ROUND((B52/(CE76+CF76)*O76),0)</f>
        <v>75725</v>
      </c>
      <c r="P52" s="195">
        <f>ROUND((B52/(CE76+CF76)*P76),0)</f>
        <v>269564</v>
      </c>
      <c r="Q52" s="195">
        <f>ROUND((B52/(CE76+CF76)*Q76),0)</f>
        <v>16242</v>
      </c>
      <c r="R52" s="195">
        <f>ROUND((B52/(CE76+CF76)*R76),0)</f>
        <v>3754</v>
      </c>
      <c r="S52" s="195">
        <f>ROUND((B52/(CE76+CF76)*S76),0)</f>
        <v>20592</v>
      </c>
      <c r="T52" s="195">
        <f>ROUND((B52/(CE76+CF76)*T76),0)</f>
        <v>0</v>
      </c>
      <c r="U52" s="195">
        <f>ROUND((B52/(CE76+CF76)*U76),0)</f>
        <v>117164</v>
      </c>
      <c r="V52" s="195">
        <f>ROUND((B52/(CE76+CF76)*V76),0)</f>
        <v>0</v>
      </c>
      <c r="W52" s="195">
        <f>ROUND((B52/(CE76+CF76)*W76),0)</f>
        <v>30558</v>
      </c>
      <c r="X52" s="195">
        <f>ROUND((B52/(CE76+CF76)*X76),0)</f>
        <v>14733</v>
      </c>
      <c r="Y52" s="195">
        <f>ROUND((B52/(CE76+CF76)*Y76),0)</f>
        <v>154807</v>
      </c>
      <c r="Z52" s="195">
        <f>ROUND((B52/(CE76+CF76)*Z76),0)</f>
        <v>0</v>
      </c>
      <c r="AA52" s="195">
        <f>ROUND((B52/(CE76+CF76)*AA76),0)</f>
        <v>9867</v>
      </c>
      <c r="AB52" s="195">
        <f>ROUND((B52/(CE76+CF76)*AB76),0)</f>
        <v>31351</v>
      </c>
      <c r="AC52" s="195">
        <f>ROUND((B52/(CE76+CF76)*AC76),0)</f>
        <v>27241</v>
      </c>
      <c r="AD52" s="195">
        <f>ROUND((B52/(CE76+CF76)*AD76),0)</f>
        <v>0</v>
      </c>
      <c r="AE52" s="195">
        <f>ROUND((B52/(CE76+CF76)*AE76),0)</f>
        <v>148511</v>
      </c>
      <c r="AF52" s="195">
        <f>ROUND((B52/(CE76+CF76)*AF76),0)</f>
        <v>0</v>
      </c>
      <c r="AG52" s="195">
        <f>ROUND((B52/(CE76+CF76)*AG76),0)</f>
        <v>226563</v>
      </c>
      <c r="AH52" s="195">
        <f>ROUND((B52/(CE76+CF76)*AH76),0)</f>
        <v>0</v>
      </c>
      <c r="AI52" s="195">
        <f>ROUND((B52/(CE76+CF76)*AI76),0)</f>
        <v>175838</v>
      </c>
      <c r="AJ52" s="195">
        <f>ROUND((B52/(CE76+CF76)*AJ76),0)</f>
        <v>414653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50756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19209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150744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2136</v>
      </c>
      <c r="BC52" s="195">
        <f>ROUND((B52/(CE76+CF76)*BC76),0)</f>
        <v>0</v>
      </c>
      <c r="BD52" s="195">
        <f>ROUND((B52/(CE76+CF76)*BD76),0)</f>
        <v>64964</v>
      </c>
      <c r="BE52" s="195">
        <f>ROUND((B52/(CE76+CF76)*BE76),0)</f>
        <v>623194</v>
      </c>
      <c r="BF52" s="195">
        <f>ROUND((B52/(CE76+CF76)*BF76),0)</f>
        <v>76883</v>
      </c>
      <c r="BG52" s="195">
        <f>ROUND((B52/(CE76+CF76)*BG76),0)</f>
        <v>0</v>
      </c>
      <c r="BH52" s="195">
        <f>ROUND((B52/(CE76+CF76)*BH76),0)</f>
        <v>101927</v>
      </c>
      <c r="BI52" s="195">
        <f>ROUND((B52/(CE76+CF76)*BI76),0)</f>
        <v>0</v>
      </c>
      <c r="BJ52" s="195">
        <f>ROUND((B52/(CE76+CF76)*BJ76),0)</f>
        <v>27746</v>
      </c>
      <c r="BK52" s="195">
        <f>ROUND((B52/(CE76+CF76)*BK76),0)</f>
        <v>99469</v>
      </c>
      <c r="BL52" s="195">
        <f>ROUND((B52/(CE76+CF76)*BL76),0)</f>
        <v>23631</v>
      </c>
      <c r="BM52" s="195">
        <f>ROUND((B52/(CE76+CF76)*BM76),0)</f>
        <v>12591</v>
      </c>
      <c r="BN52" s="195">
        <f>ROUND((B52/(CE76+CF76)*BN76),0)</f>
        <v>291462</v>
      </c>
      <c r="BO52" s="195">
        <f>ROUND((B52/(CE76+CF76)*BO76),0)</f>
        <v>0</v>
      </c>
      <c r="BP52" s="195">
        <f>ROUND((B52/(CE76+CF76)*BP76),0)</f>
        <v>3044</v>
      </c>
      <c r="BQ52" s="195">
        <f>ROUND((B52/(CE76+CF76)*BQ76),0)</f>
        <v>0</v>
      </c>
      <c r="BR52" s="195">
        <f>ROUND((B52/(CE76+CF76)*BR76),0)</f>
        <v>4477</v>
      </c>
      <c r="BS52" s="195">
        <f>ROUND((B52/(CE76+CF76)*BS76),0)</f>
        <v>18522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30470</v>
      </c>
      <c r="BW52" s="195">
        <f>ROUND((B52/(CE76+CF76)*BW76),0)</f>
        <v>9773</v>
      </c>
      <c r="BX52" s="195">
        <f>ROUND((B52/(CE76+CF76)*BX76),0)</f>
        <v>2865</v>
      </c>
      <c r="BY52" s="195">
        <f>ROUND((B52/(CE76+CF76)*BY76),0)</f>
        <v>37897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44242</v>
      </c>
      <c r="CC52" s="195">
        <f>ROUND((B52/(CE76+CF76)*CC76),0)</f>
        <v>37097</v>
      </c>
      <c r="CD52" s="195"/>
      <c r="CE52" s="195">
        <f>SUM(C52:CD52)</f>
        <v>3771138</v>
      </c>
    </row>
    <row r="53" spans="1:84" ht="12.6" customHeight="1" x14ac:dyDescent="0.25">
      <c r="A53" s="175" t="s">
        <v>222</v>
      </c>
      <c r="B53" s="195">
        <f>B51+B52</f>
        <v>4703575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225</v>
      </c>
      <c r="B55" s="175"/>
      <c r="C55" s="182" t="s">
        <v>25</v>
      </c>
      <c r="D55" s="170" t="s">
        <v>26</v>
      </c>
      <c r="E55" s="170" t="s">
        <v>27</v>
      </c>
      <c r="F55" s="170" t="s">
        <v>28</v>
      </c>
      <c r="G55" s="170" t="s">
        <v>29</v>
      </c>
      <c r="H55" s="170" t="s">
        <v>30</v>
      </c>
      <c r="I55" s="170" t="s">
        <v>31</v>
      </c>
      <c r="J55" s="170" t="s">
        <v>32</v>
      </c>
      <c r="K55" s="170" t="s">
        <v>33</v>
      </c>
      <c r="L55" s="170" t="s">
        <v>34</v>
      </c>
      <c r="M55" s="170" t="s">
        <v>35</v>
      </c>
      <c r="N55" s="170" t="s">
        <v>36</v>
      </c>
      <c r="O55" s="170" t="s">
        <v>37</v>
      </c>
      <c r="P55" s="170" t="s">
        <v>38</v>
      </c>
      <c r="Q55" s="170" t="s">
        <v>39</v>
      </c>
      <c r="R55" s="170" t="s">
        <v>40</v>
      </c>
      <c r="S55" s="170" t="s">
        <v>41</v>
      </c>
      <c r="T55" s="240" t="s">
        <v>42</v>
      </c>
      <c r="U55" s="170" t="s">
        <v>43</v>
      </c>
      <c r="V55" s="170" t="s">
        <v>44</v>
      </c>
      <c r="W55" s="170" t="s">
        <v>45</v>
      </c>
      <c r="X55" s="170" t="s">
        <v>46</v>
      </c>
      <c r="Y55" s="170" t="s">
        <v>47</v>
      </c>
      <c r="Z55" s="170" t="s">
        <v>48</v>
      </c>
      <c r="AA55" s="170" t="s">
        <v>49</v>
      </c>
      <c r="AB55" s="170" t="s">
        <v>50</v>
      </c>
      <c r="AC55" s="170" t="s">
        <v>51</v>
      </c>
      <c r="AD55" s="170" t="s">
        <v>52</v>
      </c>
      <c r="AE55" s="170" t="s">
        <v>53</v>
      </c>
      <c r="AF55" s="170" t="s">
        <v>54</v>
      </c>
      <c r="AG55" s="170" t="s">
        <v>55</v>
      </c>
      <c r="AH55" s="170" t="s">
        <v>56</v>
      </c>
      <c r="AI55" s="170" t="s">
        <v>57</v>
      </c>
      <c r="AJ55" s="170" t="s">
        <v>58</v>
      </c>
      <c r="AK55" s="170" t="s">
        <v>59</v>
      </c>
      <c r="AL55" s="170" t="s">
        <v>60</v>
      </c>
      <c r="AM55" s="170" t="s">
        <v>61</v>
      </c>
      <c r="AN55" s="170" t="s">
        <v>62</v>
      </c>
      <c r="AO55" s="170" t="s">
        <v>63</v>
      </c>
      <c r="AP55" s="170" t="s">
        <v>64</v>
      </c>
      <c r="AQ55" s="170" t="s">
        <v>65</v>
      </c>
      <c r="AR55" s="170" t="s">
        <v>66</v>
      </c>
      <c r="AS55" s="170" t="s">
        <v>67</v>
      </c>
      <c r="AT55" s="170" t="s">
        <v>68</v>
      </c>
      <c r="AU55" s="170" t="s">
        <v>69</v>
      </c>
      <c r="AV55" s="170" t="s">
        <v>70</v>
      </c>
      <c r="AW55" s="170" t="s">
        <v>71</v>
      </c>
      <c r="AX55" s="170" t="s">
        <v>72</v>
      </c>
      <c r="AY55" s="170" t="s">
        <v>73</v>
      </c>
      <c r="AZ55" s="170" t="s">
        <v>74</v>
      </c>
      <c r="BA55" s="170" t="s">
        <v>75</v>
      </c>
      <c r="BB55" s="170" t="s">
        <v>76</v>
      </c>
      <c r="BC55" s="170" t="s">
        <v>77</v>
      </c>
      <c r="BD55" s="170" t="s">
        <v>78</v>
      </c>
      <c r="BE55" s="170" t="s">
        <v>79</v>
      </c>
      <c r="BF55" s="170" t="s">
        <v>80</v>
      </c>
      <c r="BG55" s="170" t="s">
        <v>81</v>
      </c>
      <c r="BH55" s="170" t="s">
        <v>82</v>
      </c>
      <c r="BI55" s="170" t="s">
        <v>83</v>
      </c>
      <c r="BJ55" s="170" t="s">
        <v>84</v>
      </c>
      <c r="BK55" s="170" t="s">
        <v>85</v>
      </c>
      <c r="BL55" s="170" t="s">
        <v>86</v>
      </c>
      <c r="BM55" s="170" t="s">
        <v>87</v>
      </c>
      <c r="BN55" s="170" t="s">
        <v>88</v>
      </c>
      <c r="BO55" s="170" t="s">
        <v>89</v>
      </c>
      <c r="BP55" s="170" t="s">
        <v>90</v>
      </c>
      <c r="BQ55" s="170" t="s">
        <v>91</v>
      </c>
      <c r="BR55" s="170" t="s">
        <v>92</v>
      </c>
      <c r="BS55" s="170" t="s">
        <v>93</v>
      </c>
      <c r="BT55" s="170" t="s">
        <v>94</v>
      </c>
      <c r="BU55" s="170" t="s">
        <v>95</v>
      </c>
      <c r="BV55" s="170" t="s">
        <v>96</v>
      </c>
      <c r="BW55" s="170" t="s">
        <v>97</v>
      </c>
      <c r="BX55" s="170" t="s">
        <v>98</v>
      </c>
      <c r="BY55" s="170" t="s">
        <v>99</v>
      </c>
      <c r="BZ55" s="170" t="s">
        <v>100</v>
      </c>
      <c r="CA55" s="170" t="s">
        <v>101</v>
      </c>
      <c r="CB55" s="170" t="s">
        <v>102</v>
      </c>
      <c r="CC55" s="170" t="s">
        <v>103</v>
      </c>
      <c r="CD55" s="170" t="s">
        <v>104</v>
      </c>
      <c r="CE55" s="170" t="s">
        <v>105</v>
      </c>
    </row>
    <row r="56" spans="1:84" ht="12.6" customHeight="1" x14ac:dyDescent="0.25">
      <c r="A56" s="171" t="s">
        <v>226</v>
      </c>
      <c r="B56" s="175"/>
      <c r="C56" s="182" t="s">
        <v>107</v>
      </c>
      <c r="D56" s="170" t="s">
        <v>108</v>
      </c>
      <c r="E56" s="170" t="s">
        <v>109</v>
      </c>
      <c r="F56" s="170" t="s">
        <v>110</v>
      </c>
      <c r="G56" s="170" t="s">
        <v>111</v>
      </c>
      <c r="H56" s="170" t="s">
        <v>112</v>
      </c>
      <c r="I56" s="170" t="s">
        <v>113</v>
      </c>
      <c r="J56" s="170" t="s">
        <v>114</v>
      </c>
      <c r="K56" s="170" t="s">
        <v>115</v>
      </c>
      <c r="L56" s="170" t="s">
        <v>116</v>
      </c>
      <c r="M56" s="170" t="s">
        <v>117</v>
      </c>
      <c r="N56" s="170" t="s">
        <v>118</v>
      </c>
      <c r="O56" s="170" t="s">
        <v>119</v>
      </c>
      <c r="P56" s="170" t="s">
        <v>120</v>
      </c>
      <c r="Q56" s="170" t="s">
        <v>121</v>
      </c>
      <c r="R56" s="170" t="s">
        <v>122</v>
      </c>
      <c r="S56" s="170" t="s">
        <v>123</v>
      </c>
      <c r="T56" s="170" t="s">
        <v>124</v>
      </c>
      <c r="U56" s="170" t="s">
        <v>125</v>
      </c>
      <c r="V56" s="170" t="s">
        <v>126</v>
      </c>
      <c r="W56" s="170" t="s">
        <v>127</v>
      </c>
      <c r="X56" s="170" t="s">
        <v>128</v>
      </c>
      <c r="Y56" s="170" t="s">
        <v>129</v>
      </c>
      <c r="Z56" s="170" t="s">
        <v>129</v>
      </c>
      <c r="AA56" s="170" t="s">
        <v>130</v>
      </c>
      <c r="AB56" s="170" t="s">
        <v>131</v>
      </c>
      <c r="AC56" s="170" t="s">
        <v>132</v>
      </c>
      <c r="AD56" s="170" t="s">
        <v>133</v>
      </c>
      <c r="AE56" s="170" t="s">
        <v>111</v>
      </c>
      <c r="AF56" s="170" t="s">
        <v>112</v>
      </c>
      <c r="AG56" s="170" t="s">
        <v>134</v>
      </c>
      <c r="AH56" s="170" t="s">
        <v>135</v>
      </c>
      <c r="AI56" s="170" t="s">
        <v>136</v>
      </c>
      <c r="AJ56" s="170" t="s">
        <v>137</v>
      </c>
      <c r="AK56" s="170" t="s">
        <v>138</v>
      </c>
      <c r="AL56" s="170" t="s">
        <v>139</v>
      </c>
      <c r="AM56" s="170" t="s">
        <v>140</v>
      </c>
      <c r="AN56" s="170" t="s">
        <v>126</v>
      </c>
      <c r="AO56" s="170" t="s">
        <v>141</v>
      </c>
      <c r="AP56" s="170" t="s">
        <v>142</v>
      </c>
      <c r="AQ56" s="170" t="s">
        <v>143</v>
      </c>
      <c r="AR56" s="170" t="s">
        <v>144</v>
      </c>
      <c r="AS56" s="170" t="s">
        <v>145</v>
      </c>
      <c r="AT56" s="170" t="s">
        <v>146</v>
      </c>
      <c r="AU56" s="170" t="s">
        <v>147</v>
      </c>
      <c r="AV56" s="170" t="s">
        <v>148</v>
      </c>
      <c r="AW56" s="170" t="s">
        <v>149</v>
      </c>
      <c r="AX56" s="170" t="s">
        <v>150</v>
      </c>
      <c r="AY56" s="170" t="s">
        <v>151</v>
      </c>
      <c r="AZ56" s="170" t="s">
        <v>152</v>
      </c>
      <c r="BA56" s="170" t="s">
        <v>153</v>
      </c>
      <c r="BB56" s="170" t="s">
        <v>154</v>
      </c>
      <c r="BC56" s="170" t="s">
        <v>123</v>
      </c>
      <c r="BD56" s="170" t="s">
        <v>155</v>
      </c>
      <c r="BE56" s="170" t="s">
        <v>156</v>
      </c>
      <c r="BF56" s="170" t="s">
        <v>157</v>
      </c>
      <c r="BG56" s="170" t="s">
        <v>158</v>
      </c>
      <c r="BH56" s="170" t="s">
        <v>159</v>
      </c>
      <c r="BI56" s="170" t="s">
        <v>160</v>
      </c>
      <c r="BJ56" s="170" t="s">
        <v>161</v>
      </c>
      <c r="BK56" s="170" t="s">
        <v>162</v>
      </c>
      <c r="BL56" s="170" t="s">
        <v>163</v>
      </c>
      <c r="BM56" s="170" t="s">
        <v>148</v>
      </c>
      <c r="BN56" s="170" t="s">
        <v>164</v>
      </c>
      <c r="BO56" s="170" t="s">
        <v>165</v>
      </c>
      <c r="BP56" s="170" t="s">
        <v>166</v>
      </c>
      <c r="BQ56" s="170" t="s">
        <v>167</v>
      </c>
      <c r="BR56" s="170" t="s">
        <v>168</v>
      </c>
      <c r="BS56" s="170" t="s">
        <v>169</v>
      </c>
      <c r="BT56" s="170" t="s">
        <v>170</v>
      </c>
      <c r="BU56" s="170" t="s">
        <v>171</v>
      </c>
      <c r="BV56" s="170" t="s">
        <v>171</v>
      </c>
      <c r="BW56" s="170" t="s">
        <v>171</v>
      </c>
      <c r="BX56" s="170" t="s">
        <v>172</v>
      </c>
      <c r="BY56" s="170" t="s">
        <v>173</v>
      </c>
      <c r="BZ56" s="170" t="s">
        <v>174</v>
      </c>
      <c r="CA56" s="170" t="s">
        <v>175</v>
      </c>
      <c r="CB56" s="170" t="s">
        <v>176</v>
      </c>
      <c r="CC56" s="170" t="s">
        <v>148</v>
      </c>
      <c r="CD56" s="170" t="s">
        <v>227</v>
      </c>
      <c r="CE56" s="170" t="s">
        <v>177</v>
      </c>
    </row>
    <row r="57" spans="1:84" ht="12.6" customHeight="1" x14ac:dyDescent="0.25">
      <c r="A57" s="171" t="s">
        <v>228</v>
      </c>
      <c r="B57" s="175"/>
      <c r="C57" s="182" t="s">
        <v>179</v>
      </c>
      <c r="D57" s="170" t="s">
        <v>179</v>
      </c>
      <c r="E57" s="170" t="s">
        <v>179</v>
      </c>
      <c r="F57" s="170" t="s">
        <v>180</v>
      </c>
      <c r="G57" s="170" t="s">
        <v>181</v>
      </c>
      <c r="H57" s="170" t="s">
        <v>179</v>
      </c>
      <c r="I57" s="170" t="s">
        <v>182</v>
      </c>
      <c r="J57" s="170"/>
      <c r="K57" s="170" t="s">
        <v>173</v>
      </c>
      <c r="L57" s="170" t="s">
        <v>183</v>
      </c>
      <c r="M57" s="170" t="s">
        <v>184</v>
      </c>
      <c r="N57" s="170" t="s">
        <v>185</v>
      </c>
      <c r="O57" s="170" t="s">
        <v>186</v>
      </c>
      <c r="P57" s="170" t="s">
        <v>185</v>
      </c>
      <c r="Q57" s="170" t="s">
        <v>187</v>
      </c>
      <c r="R57" s="170"/>
      <c r="S57" s="170" t="s">
        <v>185</v>
      </c>
      <c r="T57" s="170" t="s">
        <v>188</v>
      </c>
      <c r="U57" s="170"/>
      <c r="V57" s="170" t="s">
        <v>189</v>
      </c>
      <c r="W57" s="170" t="s">
        <v>190</v>
      </c>
      <c r="X57" s="170" t="s">
        <v>191</v>
      </c>
      <c r="Y57" s="170" t="s">
        <v>192</v>
      </c>
      <c r="Z57" s="170" t="s">
        <v>193</v>
      </c>
      <c r="AA57" s="170" t="s">
        <v>194</v>
      </c>
      <c r="AB57" s="170"/>
      <c r="AC57" s="170" t="s">
        <v>188</v>
      </c>
      <c r="AD57" s="170"/>
      <c r="AE57" s="170" t="s">
        <v>188</v>
      </c>
      <c r="AF57" s="170" t="s">
        <v>195</v>
      </c>
      <c r="AG57" s="170" t="s">
        <v>187</v>
      </c>
      <c r="AH57" s="170"/>
      <c r="AI57" s="170" t="s">
        <v>196</v>
      </c>
      <c r="AJ57" s="170"/>
      <c r="AK57" s="170" t="s">
        <v>188</v>
      </c>
      <c r="AL57" s="170" t="s">
        <v>188</v>
      </c>
      <c r="AM57" s="170" t="s">
        <v>188</v>
      </c>
      <c r="AN57" s="170" t="s">
        <v>197</v>
      </c>
      <c r="AO57" s="170" t="s">
        <v>198</v>
      </c>
      <c r="AP57" s="170" t="s">
        <v>137</v>
      </c>
      <c r="AQ57" s="170" t="s">
        <v>199</v>
      </c>
      <c r="AR57" s="170" t="s">
        <v>185</v>
      </c>
      <c r="AS57" s="170"/>
      <c r="AT57" s="170" t="s">
        <v>200</v>
      </c>
      <c r="AU57" s="170" t="s">
        <v>201</v>
      </c>
      <c r="AV57" s="170" t="s">
        <v>202</v>
      </c>
      <c r="AW57" s="170" t="s">
        <v>203</v>
      </c>
      <c r="AX57" s="170" t="s">
        <v>204</v>
      </c>
      <c r="AY57" s="170"/>
      <c r="AZ57" s="170"/>
      <c r="BA57" s="170" t="s">
        <v>205</v>
      </c>
      <c r="BB57" s="170" t="s">
        <v>185</v>
      </c>
      <c r="BC57" s="170" t="s">
        <v>199</v>
      </c>
      <c r="BD57" s="170"/>
      <c r="BE57" s="170"/>
      <c r="BF57" s="170"/>
      <c r="BG57" s="170"/>
      <c r="BH57" s="170" t="s">
        <v>206</v>
      </c>
      <c r="BI57" s="170" t="s">
        <v>185</v>
      </c>
      <c r="BJ57" s="170"/>
      <c r="BK57" s="170" t="s">
        <v>207</v>
      </c>
      <c r="BL57" s="170"/>
      <c r="BM57" s="170" t="s">
        <v>208</v>
      </c>
      <c r="BN57" s="170" t="s">
        <v>209</v>
      </c>
      <c r="BO57" s="170" t="s">
        <v>210</v>
      </c>
      <c r="BP57" s="170" t="s">
        <v>211</v>
      </c>
      <c r="BQ57" s="170" t="s">
        <v>212</v>
      </c>
      <c r="BR57" s="170"/>
      <c r="BS57" s="170" t="s">
        <v>213</v>
      </c>
      <c r="BT57" s="170" t="s">
        <v>185</v>
      </c>
      <c r="BU57" s="170" t="s">
        <v>214</v>
      </c>
      <c r="BV57" s="170" t="s">
        <v>215</v>
      </c>
      <c r="BW57" s="170" t="s">
        <v>216</v>
      </c>
      <c r="BX57" s="170" t="s">
        <v>167</v>
      </c>
      <c r="BY57" s="170" t="s">
        <v>209</v>
      </c>
      <c r="BZ57" s="170" t="s">
        <v>168</v>
      </c>
      <c r="CA57" s="170" t="s">
        <v>217</v>
      </c>
      <c r="CB57" s="170" t="s">
        <v>217</v>
      </c>
      <c r="CC57" s="170" t="s">
        <v>218</v>
      </c>
      <c r="CD57" s="170" t="s">
        <v>229</v>
      </c>
      <c r="CE57" s="170" t="s">
        <v>219</v>
      </c>
    </row>
    <row r="58" spans="1:84" ht="12.6" customHeight="1" x14ac:dyDescent="0.25">
      <c r="A58" s="171" t="s">
        <v>230</v>
      </c>
      <c r="B58" s="175"/>
      <c r="C58" s="182" t="s">
        <v>231</v>
      </c>
      <c r="D58" s="170" t="s">
        <v>231</v>
      </c>
      <c r="E58" s="170" t="s">
        <v>231</v>
      </c>
      <c r="F58" s="170" t="s">
        <v>231</v>
      </c>
      <c r="G58" s="170" t="s">
        <v>231</v>
      </c>
      <c r="H58" s="170" t="s">
        <v>231</v>
      </c>
      <c r="I58" s="170" t="s">
        <v>231</v>
      </c>
      <c r="J58" s="170" t="s">
        <v>232</v>
      </c>
      <c r="K58" s="170" t="s">
        <v>231</v>
      </c>
      <c r="L58" s="170" t="s">
        <v>231</v>
      </c>
      <c r="M58" s="170" t="s">
        <v>231</v>
      </c>
      <c r="N58" s="170" t="s">
        <v>231</v>
      </c>
      <c r="O58" s="170" t="s">
        <v>233</v>
      </c>
      <c r="P58" s="170" t="s">
        <v>234</v>
      </c>
      <c r="Q58" s="170" t="s">
        <v>235</v>
      </c>
      <c r="R58" s="238" t="s">
        <v>236</v>
      </c>
      <c r="S58" s="241" t="s">
        <v>237</v>
      </c>
      <c r="T58" s="241" t="s">
        <v>237</v>
      </c>
      <c r="U58" s="170" t="s">
        <v>238</v>
      </c>
      <c r="V58" s="170" t="s">
        <v>238</v>
      </c>
      <c r="W58" s="170" t="s">
        <v>239</v>
      </c>
      <c r="X58" s="170" t="s">
        <v>240</v>
      </c>
      <c r="Y58" s="170" t="s">
        <v>241</v>
      </c>
      <c r="Z58" s="170" t="s">
        <v>241</v>
      </c>
      <c r="AA58" s="170" t="s">
        <v>241</v>
      </c>
      <c r="AB58" s="241" t="s">
        <v>237</v>
      </c>
      <c r="AC58" s="170" t="s">
        <v>242</v>
      </c>
      <c r="AD58" s="170" t="s">
        <v>243</v>
      </c>
      <c r="AE58" s="170" t="s">
        <v>242</v>
      </c>
      <c r="AF58" s="170" t="s">
        <v>244</v>
      </c>
      <c r="AG58" s="170" t="s">
        <v>244</v>
      </c>
      <c r="AH58" s="170" t="s">
        <v>245</v>
      </c>
      <c r="AI58" s="170" t="s">
        <v>246</v>
      </c>
      <c r="AJ58" s="170" t="s">
        <v>244</v>
      </c>
      <c r="AK58" s="170" t="s">
        <v>242</v>
      </c>
      <c r="AL58" s="170" t="s">
        <v>242</v>
      </c>
      <c r="AM58" s="170" t="s">
        <v>242</v>
      </c>
      <c r="AN58" s="170" t="s">
        <v>233</v>
      </c>
      <c r="AO58" s="170" t="s">
        <v>243</v>
      </c>
      <c r="AP58" s="170" t="s">
        <v>244</v>
      </c>
      <c r="AQ58" s="170" t="s">
        <v>245</v>
      </c>
      <c r="AR58" s="170" t="s">
        <v>244</v>
      </c>
      <c r="AS58" s="170" t="s">
        <v>242</v>
      </c>
      <c r="AT58" s="170" t="s">
        <v>247</v>
      </c>
      <c r="AU58" s="170" t="s">
        <v>244</v>
      </c>
      <c r="AV58" s="241" t="s">
        <v>237</v>
      </c>
      <c r="AW58" s="241" t="s">
        <v>237</v>
      </c>
      <c r="AX58" s="241" t="s">
        <v>237</v>
      </c>
      <c r="AY58" s="170" t="s">
        <v>248</v>
      </c>
      <c r="AZ58" s="170" t="s">
        <v>248</v>
      </c>
      <c r="BA58" s="241" t="s">
        <v>237</v>
      </c>
      <c r="BB58" s="241" t="s">
        <v>237</v>
      </c>
      <c r="BC58" s="241" t="s">
        <v>237</v>
      </c>
      <c r="BD58" s="241" t="s">
        <v>237</v>
      </c>
      <c r="BE58" s="170" t="s">
        <v>249</v>
      </c>
      <c r="BF58" s="241" t="s">
        <v>237</v>
      </c>
      <c r="BG58" s="241" t="s">
        <v>237</v>
      </c>
      <c r="BH58" s="241" t="s">
        <v>237</v>
      </c>
      <c r="BI58" s="241" t="s">
        <v>237</v>
      </c>
      <c r="BJ58" s="241" t="s">
        <v>237</v>
      </c>
      <c r="BK58" s="241" t="s">
        <v>237</v>
      </c>
      <c r="BL58" s="241" t="s">
        <v>237</v>
      </c>
      <c r="BM58" s="241" t="s">
        <v>237</v>
      </c>
      <c r="BN58" s="241" t="s">
        <v>237</v>
      </c>
      <c r="BO58" s="241" t="s">
        <v>237</v>
      </c>
      <c r="BP58" s="241" t="s">
        <v>237</v>
      </c>
      <c r="BQ58" s="241" t="s">
        <v>237</v>
      </c>
      <c r="BR58" s="241" t="s">
        <v>237</v>
      </c>
      <c r="BS58" s="241" t="s">
        <v>237</v>
      </c>
      <c r="BT58" s="241" t="s">
        <v>237</v>
      </c>
      <c r="BU58" s="241" t="s">
        <v>237</v>
      </c>
      <c r="BV58" s="241" t="s">
        <v>237</v>
      </c>
      <c r="BW58" s="241" t="s">
        <v>237</v>
      </c>
      <c r="BX58" s="241" t="s">
        <v>237</v>
      </c>
      <c r="BY58" s="241" t="s">
        <v>237</v>
      </c>
      <c r="BZ58" s="241" t="s">
        <v>237</v>
      </c>
      <c r="CA58" s="241" t="s">
        <v>237</v>
      </c>
      <c r="CB58" s="241" t="s">
        <v>237</v>
      </c>
      <c r="CC58" s="241" t="s">
        <v>237</v>
      </c>
      <c r="CD58" s="241" t="s">
        <v>237</v>
      </c>
      <c r="CE58" s="241" t="s">
        <v>237</v>
      </c>
    </row>
    <row r="59" spans="1:84" ht="12.6" customHeight="1" x14ac:dyDescent="0.25">
      <c r="A59" s="171" t="s">
        <v>250</v>
      </c>
      <c r="B59" s="175"/>
      <c r="C59" s="184">
        <v>208</v>
      </c>
      <c r="D59" s="184"/>
      <c r="E59" s="184">
        <v>4390</v>
      </c>
      <c r="F59" s="184"/>
      <c r="G59" s="184"/>
      <c r="H59" s="184"/>
      <c r="I59" s="184"/>
      <c r="J59" s="184">
        <v>278</v>
      </c>
      <c r="K59" s="184"/>
      <c r="L59" s="184">
        <v>124</v>
      </c>
      <c r="M59" s="184"/>
      <c r="N59" s="184"/>
      <c r="O59" s="184">
        <v>119</v>
      </c>
      <c r="P59" s="185">
        <v>114752</v>
      </c>
      <c r="Q59" s="185">
        <v>37772</v>
      </c>
      <c r="R59" s="185">
        <v>160555</v>
      </c>
      <c r="S59" s="242"/>
      <c r="T59" s="242"/>
      <c r="U59" s="218">
        <v>211095</v>
      </c>
      <c r="V59" s="185">
        <v>1226</v>
      </c>
      <c r="W59" s="185">
        <v>1953</v>
      </c>
      <c r="X59" s="185">
        <v>5015</v>
      </c>
      <c r="Y59" s="185">
        <v>16773</v>
      </c>
      <c r="Z59" s="185"/>
      <c r="AA59" s="185">
        <v>348</v>
      </c>
      <c r="AB59" s="242"/>
      <c r="AC59" s="185">
        <v>36548</v>
      </c>
      <c r="AD59" s="185"/>
      <c r="AE59" s="185">
        <v>85834</v>
      </c>
      <c r="AF59" s="185"/>
      <c r="AG59" s="185">
        <v>12259</v>
      </c>
      <c r="AH59" s="185"/>
      <c r="AI59" s="185">
        <v>15242</v>
      </c>
      <c r="AJ59" s="185">
        <v>96754</v>
      </c>
      <c r="AK59" s="185"/>
      <c r="AL59" s="185"/>
      <c r="AM59" s="185"/>
      <c r="AN59" s="185"/>
      <c r="AO59" s="185"/>
      <c r="AP59" s="185"/>
      <c r="AQ59" s="185"/>
      <c r="AR59" s="185">
        <f>11191+5606</f>
        <v>16797</v>
      </c>
      <c r="AS59" s="185"/>
      <c r="AT59" s="185"/>
      <c r="AU59" s="185"/>
      <c r="AV59" s="242"/>
      <c r="AW59" s="242"/>
      <c r="AX59" s="242"/>
      <c r="AY59" s="185">
        <v>15389</v>
      </c>
      <c r="AZ59" s="185"/>
      <c r="BA59" s="242"/>
      <c r="BB59" s="242"/>
      <c r="BC59" s="242"/>
      <c r="BD59" s="242"/>
      <c r="BE59" s="185">
        <v>170421</v>
      </c>
      <c r="BF59" s="242"/>
      <c r="BG59" s="242"/>
      <c r="BH59" s="242"/>
      <c r="BI59" s="242"/>
      <c r="BJ59" s="242"/>
      <c r="BK59" s="242"/>
      <c r="BL59" s="242"/>
      <c r="BM59" s="242"/>
      <c r="BN59" s="242"/>
      <c r="BO59" s="242"/>
      <c r="BP59" s="242"/>
      <c r="BQ59" s="242"/>
      <c r="BR59" s="242"/>
      <c r="BS59" s="242"/>
      <c r="BT59" s="242"/>
      <c r="BU59" s="242"/>
      <c r="BV59" s="242"/>
      <c r="BW59" s="242"/>
      <c r="BX59" s="242"/>
      <c r="BY59" s="242"/>
      <c r="BZ59" s="242"/>
      <c r="CA59" s="242"/>
      <c r="CB59" s="242"/>
      <c r="CC59" s="242"/>
      <c r="CD59" s="243"/>
      <c r="CE59" s="195"/>
    </row>
    <row r="60" spans="1:84" ht="12.6" customHeight="1" x14ac:dyDescent="0.25">
      <c r="A60" s="244" t="s">
        <v>251</v>
      </c>
      <c r="B60" s="175"/>
      <c r="C60" s="186">
        <v>30.530961538461451</v>
      </c>
      <c r="D60" s="186"/>
      <c r="E60" s="186">
        <v>79.940423076923992</v>
      </c>
      <c r="F60" s="186"/>
      <c r="G60" s="186"/>
      <c r="H60" s="186"/>
      <c r="I60" s="186"/>
      <c r="J60" s="186"/>
      <c r="K60" s="186"/>
      <c r="L60" s="186"/>
      <c r="M60" s="186"/>
      <c r="N60" s="186">
        <v>0</v>
      </c>
      <c r="O60" s="186">
        <v>21.578990384615349</v>
      </c>
      <c r="P60" s="186">
        <v>22.351139423076891</v>
      </c>
      <c r="Q60" s="186">
        <v>1.7877403846153843</v>
      </c>
      <c r="R60" s="186">
        <v>0</v>
      </c>
      <c r="S60" s="186">
        <v>1.9084374999999993</v>
      </c>
      <c r="T60" s="186"/>
      <c r="U60" s="186">
        <v>36.992389423076901</v>
      </c>
      <c r="V60" s="186">
        <v>1.0060144230769232</v>
      </c>
      <c r="W60" s="186">
        <v>1.508701923076923</v>
      </c>
      <c r="X60" s="186">
        <v>2.4995192307692293</v>
      </c>
      <c r="Y60" s="186">
        <v>27.011874999999975</v>
      </c>
      <c r="Z60" s="186"/>
      <c r="AA60" s="186">
        <v>0.63019230769230761</v>
      </c>
      <c r="AB60" s="186">
        <v>10.452139423076947</v>
      </c>
      <c r="AC60" s="186">
        <v>11.980086538461556</v>
      </c>
      <c r="AD60" s="186"/>
      <c r="AE60" s="186">
        <v>31.615975961538354</v>
      </c>
      <c r="AF60" s="186"/>
      <c r="AG60" s="186">
        <v>46.756264423077091</v>
      </c>
      <c r="AH60" s="186"/>
      <c r="AI60" s="186">
        <v>21.3508605769231</v>
      </c>
      <c r="AJ60" s="186">
        <v>121.81401442307701</v>
      </c>
      <c r="AK60" s="186"/>
      <c r="AL60" s="186"/>
      <c r="AM60" s="186"/>
      <c r="AN60" s="186"/>
      <c r="AO60" s="186"/>
      <c r="AP60" s="186"/>
      <c r="AQ60" s="186"/>
      <c r="AR60" s="186">
        <v>33.669230769230744</v>
      </c>
      <c r="AS60" s="186"/>
      <c r="AT60" s="186"/>
      <c r="AU60" s="186"/>
      <c r="AV60" s="186">
        <v>19.008158653846159</v>
      </c>
      <c r="AW60" s="186"/>
      <c r="AX60" s="186"/>
      <c r="AY60" s="186">
        <v>20.48093749999996</v>
      </c>
      <c r="AZ60" s="186"/>
      <c r="BA60" s="186"/>
      <c r="BB60" s="186">
        <v>0.12307692307692308</v>
      </c>
      <c r="BC60" s="186"/>
      <c r="BD60" s="186">
        <v>7.5906730769230775</v>
      </c>
      <c r="BE60" s="186">
        <v>18.618100961538463</v>
      </c>
      <c r="BF60" s="186">
        <v>43.756552884615495</v>
      </c>
      <c r="BG60" s="186"/>
      <c r="BH60" s="186">
        <v>16.91961057692308</v>
      </c>
      <c r="BI60" s="186"/>
      <c r="BJ60" s="186">
        <v>6.3452884615384653</v>
      </c>
      <c r="BK60" s="186">
        <v>15.344408653846147</v>
      </c>
      <c r="BL60" s="186">
        <v>22.774677884615347</v>
      </c>
      <c r="BM60" s="186">
        <v>4.8565144230769235</v>
      </c>
      <c r="BN60" s="186">
        <v>8.0224759615384578</v>
      </c>
      <c r="BO60" s="186">
        <v>0.98067307692307693</v>
      </c>
      <c r="BP60" s="186">
        <v>1</v>
      </c>
      <c r="BQ60" s="186"/>
      <c r="BR60" s="186">
        <v>7.3050000000000024</v>
      </c>
      <c r="BS60" s="186">
        <v>0.47884615384615387</v>
      </c>
      <c r="BT60" s="186"/>
      <c r="BU60" s="186"/>
      <c r="BV60" s="186">
        <v>13.050980769230762</v>
      </c>
      <c r="BW60" s="186">
        <v>1.0046634615384618</v>
      </c>
      <c r="BX60" s="186">
        <v>4.485846153846154</v>
      </c>
      <c r="BY60" s="186">
        <v>8.7435096153846157</v>
      </c>
      <c r="BZ60" s="186"/>
      <c r="CA60" s="186"/>
      <c r="CB60" s="186">
        <v>1.3619230769230772</v>
      </c>
      <c r="CC60" s="186">
        <v>8.9081730769230791</v>
      </c>
      <c r="CD60" s="243" t="s">
        <v>237</v>
      </c>
      <c r="CE60" s="245">
        <f t="shared" ref="CE60:CE70" si="0">SUM(C60:CD60)</f>
        <v>736.54504807692399</v>
      </c>
    </row>
    <row r="61" spans="1:84" ht="12.6" customHeight="1" x14ac:dyDescent="0.25">
      <c r="A61" s="171" t="s">
        <v>252</v>
      </c>
      <c r="B61" s="175"/>
      <c r="C61" s="184">
        <v>1129941</v>
      </c>
      <c r="D61" s="184"/>
      <c r="E61" s="184">
        <v>2881798</v>
      </c>
      <c r="F61" s="184"/>
      <c r="G61" s="184"/>
      <c r="H61" s="184"/>
      <c r="I61" s="184"/>
      <c r="J61" s="184"/>
      <c r="K61" s="184"/>
      <c r="L61" s="184">
        <v>0</v>
      </c>
      <c r="M61" s="184"/>
      <c r="N61" s="184">
        <v>1646129</v>
      </c>
      <c r="O61" s="184">
        <v>1196630</v>
      </c>
      <c r="P61" s="184">
        <v>1342021</v>
      </c>
      <c r="Q61" s="184">
        <v>74766</v>
      </c>
      <c r="R61" s="184">
        <v>1009636</v>
      </c>
      <c r="S61" s="184">
        <v>98663</v>
      </c>
      <c r="T61" s="184"/>
      <c r="U61" s="184">
        <v>1595365</v>
      </c>
      <c r="V61" s="184">
        <v>117951</v>
      </c>
      <c r="W61" s="184">
        <v>139514</v>
      </c>
      <c r="X61" s="184">
        <v>145032</v>
      </c>
      <c r="Y61" s="184">
        <v>1547528</v>
      </c>
      <c r="Z61" s="184"/>
      <c r="AA61" s="184">
        <v>65160</v>
      </c>
      <c r="AB61" s="184">
        <v>929023</v>
      </c>
      <c r="AC61" s="184">
        <v>631009</v>
      </c>
      <c r="AD61" s="184"/>
      <c r="AE61" s="184">
        <v>2562245</v>
      </c>
      <c r="AF61" s="184"/>
      <c r="AG61" s="184">
        <v>2071167</v>
      </c>
      <c r="AH61" s="184"/>
      <c r="AI61" s="184">
        <v>2187240</v>
      </c>
      <c r="AJ61" s="184">
        <v>16437534</v>
      </c>
      <c r="AK61" s="184"/>
      <c r="AL61" s="184"/>
      <c r="AM61" s="184"/>
      <c r="AN61" s="184"/>
      <c r="AO61" s="184"/>
      <c r="AP61" s="184"/>
      <c r="AQ61" s="184"/>
      <c r="AR61" s="184">
        <v>2458084</v>
      </c>
      <c r="AS61" s="184"/>
      <c r="AT61" s="184"/>
      <c r="AU61" s="184"/>
      <c r="AV61" s="184">
        <v>1211308</v>
      </c>
      <c r="AW61" s="184"/>
      <c r="AX61" s="184"/>
      <c r="AY61" s="184">
        <v>713123</v>
      </c>
      <c r="AZ61" s="184"/>
      <c r="BA61" s="184"/>
      <c r="BB61" s="184">
        <v>0</v>
      </c>
      <c r="BC61" s="184"/>
      <c r="BD61" s="184">
        <v>454003</v>
      </c>
      <c r="BE61" s="184">
        <v>968966</v>
      </c>
      <c r="BF61" s="184">
        <v>984786</v>
      </c>
      <c r="BG61" s="184"/>
      <c r="BH61" s="184">
        <v>1182205</v>
      </c>
      <c r="BI61" s="184"/>
      <c r="BJ61" s="184">
        <v>649532</v>
      </c>
      <c r="BK61" s="184">
        <v>816884</v>
      </c>
      <c r="BL61" s="184">
        <v>633833</v>
      </c>
      <c r="BM61" s="184">
        <v>421437</v>
      </c>
      <c r="BN61" s="184">
        <v>1213284</v>
      </c>
      <c r="BO61" s="184">
        <v>93670</v>
      </c>
      <c r="BP61" s="184">
        <v>91940</v>
      </c>
      <c r="BQ61" s="184"/>
      <c r="BR61" s="184">
        <v>640996</v>
      </c>
      <c r="BS61" s="184">
        <v>52363</v>
      </c>
      <c r="BT61" s="184"/>
      <c r="BU61" s="184"/>
      <c r="BV61" s="184">
        <v>612639</v>
      </c>
      <c r="BW61" s="184">
        <v>324710</v>
      </c>
      <c r="BX61" s="184">
        <v>369084</v>
      </c>
      <c r="BY61" s="184">
        <v>1010557</v>
      </c>
      <c r="BZ61" s="184"/>
      <c r="CA61" s="184"/>
      <c r="CB61" s="184">
        <v>57945</v>
      </c>
      <c r="CC61" s="184">
        <v>1031938</v>
      </c>
      <c r="CD61" s="243" t="s">
        <v>237</v>
      </c>
      <c r="CE61" s="195">
        <f t="shared" si="0"/>
        <v>53801639</v>
      </c>
      <c r="CF61" s="246"/>
    </row>
    <row r="62" spans="1:84" ht="12.6" customHeight="1" x14ac:dyDescent="0.25">
      <c r="A62" s="171" t="s">
        <v>13</v>
      </c>
      <c r="B62" s="175"/>
      <c r="C62" s="195">
        <f t="shared" ref="C62:BN62" si="1">ROUND(C47+C48,0)</f>
        <v>283513</v>
      </c>
      <c r="D62" s="195">
        <f t="shared" si="1"/>
        <v>0</v>
      </c>
      <c r="E62" s="195">
        <f t="shared" si="1"/>
        <v>723070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413029</v>
      </c>
      <c r="O62" s="195">
        <f t="shared" si="1"/>
        <v>300246</v>
      </c>
      <c r="P62" s="195">
        <f t="shared" si="1"/>
        <v>336725</v>
      </c>
      <c r="Q62" s="195">
        <f t="shared" si="1"/>
        <v>18759</v>
      </c>
      <c r="R62" s="195">
        <f t="shared" si="1"/>
        <v>253327</v>
      </c>
      <c r="S62" s="195">
        <f t="shared" si="1"/>
        <v>24755</v>
      </c>
      <c r="T62" s="195">
        <f t="shared" si="1"/>
        <v>0</v>
      </c>
      <c r="U62" s="195">
        <f t="shared" si="1"/>
        <v>400292</v>
      </c>
      <c r="V62" s="195">
        <f t="shared" si="1"/>
        <v>29595</v>
      </c>
      <c r="W62" s="195">
        <f t="shared" si="1"/>
        <v>35005</v>
      </c>
      <c r="X62" s="195">
        <f t="shared" si="1"/>
        <v>36390</v>
      </c>
      <c r="Y62" s="195">
        <f t="shared" si="1"/>
        <v>388289</v>
      </c>
      <c r="Z62" s="195">
        <f t="shared" si="1"/>
        <v>0</v>
      </c>
      <c r="AA62" s="195">
        <f t="shared" si="1"/>
        <v>16349</v>
      </c>
      <c r="AB62" s="195">
        <f t="shared" si="1"/>
        <v>233100</v>
      </c>
      <c r="AC62" s="195">
        <f t="shared" si="1"/>
        <v>158326</v>
      </c>
      <c r="AD62" s="195">
        <f t="shared" si="1"/>
        <v>0</v>
      </c>
      <c r="AE62" s="195">
        <f t="shared" si="1"/>
        <v>642891</v>
      </c>
      <c r="AF62" s="195">
        <f t="shared" si="1"/>
        <v>0</v>
      </c>
      <c r="AG62" s="195">
        <f t="shared" si="1"/>
        <v>519675</v>
      </c>
      <c r="AH62" s="195">
        <f t="shared" si="1"/>
        <v>0</v>
      </c>
      <c r="AI62" s="195">
        <f t="shared" si="1"/>
        <v>548799</v>
      </c>
      <c r="AJ62" s="195">
        <f t="shared" si="1"/>
        <v>4124329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616756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303928</v>
      </c>
      <c r="AW62" s="195">
        <f t="shared" si="1"/>
        <v>0</v>
      </c>
      <c r="AX62" s="195">
        <f t="shared" si="1"/>
        <v>0</v>
      </c>
      <c r="AY62" s="195">
        <f>ROUND(AY47+AY48,0)</f>
        <v>178929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113914</v>
      </c>
      <c r="BE62" s="195">
        <f t="shared" si="1"/>
        <v>243123</v>
      </c>
      <c r="BF62" s="195">
        <f t="shared" si="1"/>
        <v>247092</v>
      </c>
      <c r="BG62" s="195">
        <f t="shared" si="1"/>
        <v>0</v>
      </c>
      <c r="BH62" s="195">
        <f t="shared" si="1"/>
        <v>296626</v>
      </c>
      <c r="BI62" s="195">
        <f t="shared" si="1"/>
        <v>0</v>
      </c>
      <c r="BJ62" s="195">
        <f t="shared" si="1"/>
        <v>162974</v>
      </c>
      <c r="BK62" s="195">
        <f t="shared" si="1"/>
        <v>204964</v>
      </c>
      <c r="BL62" s="195">
        <f t="shared" si="1"/>
        <v>159035</v>
      </c>
      <c r="BM62" s="195">
        <f t="shared" si="1"/>
        <v>105742</v>
      </c>
      <c r="BN62" s="195">
        <f t="shared" si="1"/>
        <v>304424</v>
      </c>
      <c r="BO62" s="195">
        <f t="shared" ref="BO62:CC62" si="2">ROUND(BO47+BO48,0)</f>
        <v>23503</v>
      </c>
      <c r="BP62" s="195">
        <f t="shared" si="2"/>
        <v>23069</v>
      </c>
      <c r="BQ62" s="195">
        <f t="shared" si="2"/>
        <v>0</v>
      </c>
      <c r="BR62" s="195">
        <f t="shared" si="2"/>
        <v>160832</v>
      </c>
      <c r="BS62" s="195">
        <f t="shared" si="2"/>
        <v>13138</v>
      </c>
      <c r="BT62" s="195">
        <f t="shared" si="2"/>
        <v>0</v>
      </c>
      <c r="BU62" s="195">
        <f t="shared" si="2"/>
        <v>0</v>
      </c>
      <c r="BV62" s="195">
        <f t="shared" si="2"/>
        <v>153717</v>
      </c>
      <c r="BW62" s="195">
        <f t="shared" si="2"/>
        <v>81473</v>
      </c>
      <c r="BX62" s="195">
        <f t="shared" si="2"/>
        <v>92607</v>
      </c>
      <c r="BY62" s="195">
        <f t="shared" si="2"/>
        <v>253558</v>
      </c>
      <c r="BZ62" s="195">
        <f t="shared" si="2"/>
        <v>0</v>
      </c>
      <c r="CA62" s="195">
        <f t="shared" si="2"/>
        <v>0</v>
      </c>
      <c r="CB62" s="195">
        <f t="shared" si="2"/>
        <v>14539</v>
      </c>
      <c r="CC62" s="195">
        <f t="shared" si="2"/>
        <v>258923</v>
      </c>
      <c r="CD62" s="243" t="s">
        <v>237</v>
      </c>
      <c r="CE62" s="195">
        <f t="shared" si="0"/>
        <v>13499330</v>
      </c>
      <c r="CF62" s="246"/>
    </row>
    <row r="63" spans="1:84" ht="12.6" customHeight="1" x14ac:dyDescent="0.25">
      <c r="A63" s="171" t="s">
        <v>253</v>
      </c>
      <c r="B63" s="175"/>
      <c r="C63" s="184">
        <v>73583</v>
      </c>
      <c r="D63" s="184"/>
      <c r="E63" s="184">
        <v>4480</v>
      </c>
      <c r="F63" s="184"/>
      <c r="G63" s="184"/>
      <c r="H63" s="184"/>
      <c r="I63" s="184"/>
      <c r="J63" s="184"/>
      <c r="K63" s="184"/>
      <c r="L63" s="184"/>
      <c r="M63" s="184"/>
      <c r="N63" s="184">
        <v>0</v>
      </c>
      <c r="O63" s="184"/>
      <c r="P63" s="184">
        <v>13602</v>
      </c>
      <c r="Q63" s="184"/>
      <c r="R63" s="184">
        <v>0</v>
      </c>
      <c r="S63" s="184">
        <v>9877</v>
      </c>
      <c r="T63" s="184"/>
      <c r="U63" s="184">
        <v>590375</v>
      </c>
      <c r="V63" s="184"/>
      <c r="W63" s="184"/>
      <c r="X63" s="184"/>
      <c r="Y63" s="184">
        <v>44760</v>
      </c>
      <c r="Z63" s="184"/>
      <c r="AA63" s="184"/>
      <c r="AB63" s="184">
        <v>1165107</v>
      </c>
      <c r="AC63" s="184">
        <v>53121</v>
      </c>
      <c r="AD63" s="184"/>
      <c r="AE63" s="184">
        <v>312257</v>
      </c>
      <c r="AF63" s="184"/>
      <c r="AG63" s="184">
        <v>2291486</v>
      </c>
      <c r="AH63" s="184"/>
      <c r="AI63" s="184"/>
      <c r="AJ63" s="184">
        <v>739222</v>
      </c>
      <c r="AK63" s="184"/>
      <c r="AL63" s="184"/>
      <c r="AM63" s="184"/>
      <c r="AN63" s="184"/>
      <c r="AO63" s="184"/>
      <c r="AP63" s="184"/>
      <c r="AQ63" s="184"/>
      <c r="AR63" s="184">
        <v>49888</v>
      </c>
      <c r="AS63" s="184"/>
      <c r="AT63" s="184"/>
      <c r="AU63" s="184"/>
      <c r="AV63" s="184">
        <v>511357</v>
      </c>
      <c r="AW63" s="184"/>
      <c r="AX63" s="184"/>
      <c r="AY63" s="184"/>
      <c r="AZ63" s="184"/>
      <c r="BA63" s="184"/>
      <c r="BB63" s="184"/>
      <c r="BC63" s="184"/>
      <c r="BD63" s="184"/>
      <c r="BE63" s="184">
        <v>2388</v>
      </c>
      <c r="BF63" s="184"/>
      <c r="BG63" s="184"/>
      <c r="BH63" s="184"/>
      <c r="BI63" s="184"/>
      <c r="BJ63" s="184">
        <v>17247</v>
      </c>
      <c r="BK63" s="184"/>
      <c r="BL63" s="184"/>
      <c r="BM63" s="184"/>
      <c r="BN63" s="184">
        <v>11160</v>
      </c>
      <c r="BO63" s="184"/>
      <c r="BP63" s="184"/>
      <c r="BQ63" s="184"/>
      <c r="BR63" s="184">
        <v>115780</v>
      </c>
      <c r="BS63" s="184">
        <v>-2653</v>
      </c>
      <c r="BT63" s="184"/>
      <c r="BU63" s="184"/>
      <c r="BV63" s="184"/>
      <c r="BW63" s="184">
        <v>13200</v>
      </c>
      <c r="BX63" s="184"/>
      <c r="BY63" s="184"/>
      <c r="BZ63" s="184"/>
      <c r="CA63" s="184"/>
      <c r="CB63" s="184"/>
      <c r="CC63" s="184">
        <v>82355</v>
      </c>
      <c r="CD63" s="243" t="s">
        <v>237</v>
      </c>
      <c r="CE63" s="195">
        <f t="shared" si="0"/>
        <v>6098592</v>
      </c>
      <c r="CF63" s="246"/>
    </row>
    <row r="64" spans="1:84" ht="12.6" customHeight="1" x14ac:dyDescent="0.25">
      <c r="A64" s="171" t="s">
        <v>254</v>
      </c>
      <c r="B64" s="175"/>
      <c r="C64" s="184">
        <v>82988</v>
      </c>
      <c r="D64" s="184"/>
      <c r="E64" s="184">
        <v>298063</v>
      </c>
      <c r="F64" s="184"/>
      <c r="G64" s="184"/>
      <c r="H64" s="184"/>
      <c r="I64" s="184"/>
      <c r="J64" s="184"/>
      <c r="K64" s="184"/>
      <c r="L64" s="184"/>
      <c r="M64" s="184"/>
      <c r="N64" s="184">
        <v>16483</v>
      </c>
      <c r="O64" s="184">
        <v>65629</v>
      </c>
      <c r="P64" s="184">
        <v>1225091</v>
      </c>
      <c r="Q64" s="184">
        <v>4258</v>
      </c>
      <c r="R64" s="184">
        <v>98689</v>
      </c>
      <c r="S64" s="184">
        <v>1498120</v>
      </c>
      <c r="T64" s="184"/>
      <c r="U64" s="184">
        <v>1460374</v>
      </c>
      <c r="V64" s="184">
        <v>8493</v>
      </c>
      <c r="W64" s="184">
        <v>27432</v>
      </c>
      <c r="X64" s="184">
        <v>79992</v>
      </c>
      <c r="Y64" s="184">
        <v>65648</v>
      </c>
      <c r="Z64" s="184"/>
      <c r="AA64" s="184">
        <v>85947</v>
      </c>
      <c r="AB64" s="184">
        <v>9584546</v>
      </c>
      <c r="AC64" s="184">
        <v>68794</v>
      </c>
      <c r="AD64" s="184"/>
      <c r="AE64" s="184">
        <v>82068</v>
      </c>
      <c r="AF64" s="184"/>
      <c r="AG64" s="184">
        <v>275424</v>
      </c>
      <c r="AH64" s="184"/>
      <c r="AI64" s="184">
        <v>380496</v>
      </c>
      <c r="AJ64" s="184">
        <v>1483600</v>
      </c>
      <c r="AK64" s="184"/>
      <c r="AL64" s="184"/>
      <c r="AM64" s="184"/>
      <c r="AN64" s="184"/>
      <c r="AO64" s="184"/>
      <c r="AP64" s="184"/>
      <c r="AQ64" s="184"/>
      <c r="AR64" s="184">
        <v>93149</v>
      </c>
      <c r="AS64" s="184"/>
      <c r="AT64" s="184"/>
      <c r="AU64" s="184"/>
      <c r="AV64" s="184">
        <v>100680</v>
      </c>
      <c r="AW64" s="184"/>
      <c r="AX64" s="184"/>
      <c r="AY64" s="184">
        <v>331614</v>
      </c>
      <c r="AZ64" s="184"/>
      <c r="BA64" s="184">
        <v>52655</v>
      </c>
      <c r="BB64" s="184">
        <v>0</v>
      </c>
      <c r="BC64" s="184"/>
      <c r="BD64" s="184">
        <v>10138</v>
      </c>
      <c r="BE64" s="184">
        <v>138262</v>
      </c>
      <c r="BF64" s="184">
        <v>159430</v>
      </c>
      <c r="BG64" s="184">
        <v>7446</v>
      </c>
      <c r="BH64" s="184">
        <v>229954</v>
      </c>
      <c r="BI64" s="184"/>
      <c r="BJ64" s="184">
        <v>53235</v>
      </c>
      <c r="BK64" s="184">
        <v>12219</v>
      </c>
      <c r="BL64" s="184">
        <v>9179</v>
      </c>
      <c r="BM64" s="184">
        <v>5105</v>
      </c>
      <c r="BN64" s="184">
        <v>72719</v>
      </c>
      <c r="BO64" s="184">
        <v>23654</v>
      </c>
      <c r="BP64" s="184">
        <v>95698</v>
      </c>
      <c r="BQ64" s="184"/>
      <c r="BR64" s="184">
        <v>26339</v>
      </c>
      <c r="BS64" s="184">
        <v>5313</v>
      </c>
      <c r="BT64" s="184"/>
      <c r="BU64" s="184"/>
      <c r="BV64" s="184">
        <v>12401</v>
      </c>
      <c r="BW64" s="184">
        <v>13114</v>
      </c>
      <c r="BX64" s="184">
        <v>212</v>
      </c>
      <c r="BY64" s="184">
        <v>10918</v>
      </c>
      <c r="BZ64" s="184"/>
      <c r="CA64" s="184"/>
      <c r="CB64" s="184">
        <v>13450</v>
      </c>
      <c r="CC64" s="184">
        <v>17957</v>
      </c>
      <c r="CD64" s="243" t="s">
        <v>237</v>
      </c>
      <c r="CE64" s="195">
        <f t="shared" si="0"/>
        <v>18386976</v>
      </c>
      <c r="CF64" s="246"/>
    </row>
    <row r="65" spans="1:84" ht="12.6" customHeight="1" x14ac:dyDescent="0.25">
      <c r="A65" s="171" t="s">
        <v>255</v>
      </c>
      <c r="B65" s="175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/>
      <c r="V65" s="184"/>
      <c r="W65" s="184"/>
      <c r="X65" s="184"/>
      <c r="Y65" s="184">
        <v>0</v>
      </c>
      <c r="Z65" s="184"/>
      <c r="AA65" s="184"/>
      <c r="AB65" s="184">
        <v>1107</v>
      </c>
      <c r="AC65" s="184"/>
      <c r="AD65" s="184"/>
      <c r="AE65" s="184">
        <v>0</v>
      </c>
      <c r="AF65" s="184"/>
      <c r="AG65" s="184"/>
      <c r="AH65" s="184"/>
      <c r="AI65" s="184"/>
      <c r="AJ65" s="184">
        <v>131134</v>
      </c>
      <c r="AK65" s="184"/>
      <c r="AL65" s="184"/>
      <c r="AM65" s="184"/>
      <c r="AN65" s="184"/>
      <c r="AO65" s="184"/>
      <c r="AP65" s="184"/>
      <c r="AQ65" s="184"/>
      <c r="AR65" s="184">
        <v>6502</v>
      </c>
      <c r="AS65" s="184"/>
      <c r="AT65" s="184"/>
      <c r="AU65" s="184"/>
      <c r="AV65" s="184"/>
      <c r="AW65" s="184"/>
      <c r="AX65" s="184"/>
      <c r="AY65" s="184">
        <v>460</v>
      </c>
      <c r="AZ65" s="184"/>
      <c r="BA65" s="184"/>
      <c r="BB65" s="184"/>
      <c r="BC65" s="184"/>
      <c r="BD65" s="184">
        <v>2438</v>
      </c>
      <c r="BE65" s="184">
        <v>791546</v>
      </c>
      <c r="BF65" s="184"/>
      <c r="BG65" s="184">
        <v>185960</v>
      </c>
      <c r="BH65" s="184">
        <v>266</v>
      </c>
      <c r="BI65" s="184"/>
      <c r="BJ65" s="184">
        <v>0</v>
      </c>
      <c r="BK65" s="184">
        <v>4798</v>
      </c>
      <c r="BL65" s="184"/>
      <c r="BM65" s="184"/>
      <c r="BN65" s="184">
        <v>1941</v>
      </c>
      <c r="BO65" s="184"/>
      <c r="BP65" s="184"/>
      <c r="BQ65" s="184"/>
      <c r="BR65" s="184">
        <v>7340</v>
      </c>
      <c r="BS65" s="184"/>
      <c r="BT65" s="184"/>
      <c r="BU65" s="184"/>
      <c r="BV65" s="184">
        <v>8730</v>
      </c>
      <c r="BW65" s="184">
        <v>113</v>
      </c>
      <c r="BX65" s="184"/>
      <c r="BY65" s="184"/>
      <c r="BZ65" s="184"/>
      <c r="CA65" s="184"/>
      <c r="CB65" s="184">
        <v>4393</v>
      </c>
      <c r="CC65" s="184"/>
      <c r="CD65" s="243" t="s">
        <v>237</v>
      </c>
      <c r="CE65" s="195">
        <f t="shared" si="0"/>
        <v>1146728</v>
      </c>
      <c r="CF65" s="246"/>
    </row>
    <row r="66" spans="1:84" ht="12.6" customHeight="1" x14ac:dyDescent="0.25">
      <c r="A66" s="171" t="s">
        <v>256</v>
      </c>
      <c r="B66" s="175"/>
      <c r="C66" s="184">
        <v>3241</v>
      </c>
      <c r="D66" s="184"/>
      <c r="E66" s="184">
        <v>30506</v>
      </c>
      <c r="F66" s="184"/>
      <c r="G66" s="184"/>
      <c r="H66" s="184"/>
      <c r="I66" s="184"/>
      <c r="J66" s="184"/>
      <c r="K66" s="184"/>
      <c r="L66" s="184">
        <v>0</v>
      </c>
      <c r="M66" s="184"/>
      <c r="N66" s="184">
        <v>5118</v>
      </c>
      <c r="O66" s="184">
        <v>27</v>
      </c>
      <c r="P66" s="184">
        <v>69457</v>
      </c>
      <c r="Q66" s="184"/>
      <c r="R66" s="184">
        <v>4238</v>
      </c>
      <c r="S66" s="184"/>
      <c r="T66" s="184"/>
      <c r="U66" s="184">
        <v>448120</v>
      </c>
      <c r="V66" s="184"/>
      <c r="W66" s="184"/>
      <c r="X66" s="184">
        <v>5881</v>
      </c>
      <c r="Y66" s="184">
        <v>274991</v>
      </c>
      <c r="Z66" s="184"/>
      <c r="AA66" s="184">
        <v>32103</v>
      </c>
      <c r="AB66" s="184">
        <v>158203</v>
      </c>
      <c r="AC66" s="184">
        <v>11310</v>
      </c>
      <c r="AD66" s="184"/>
      <c r="AE66" s="184">
        <v>6201</v>
      </c>
      <c r="AF66" s="184"/>
      <c r="AG66" s="184">
        <v>13203</v>
      </c>
      <c r="AH66" s="184"/>
      <c r="AI66" s="184">
        <v>12056</v>
      </c>
      <c r="AJ66" s="184">
        <v>842918</v>
      </c>
      <c r="AK66" s="184"/>
      <c r="AL66" s="184"/>
      <c r="AM66" s="184"/>
      <c r="AN66" s="184"/>
      <c r="AO66" s="184"/>
      <c r="AP66" s="184"/>
      <c r="AQ66" s="184"/>
      <c r="AR66" s="184">
        <v>317046</v>
      </c>
      <c r="AS66" s="184"/>
      <c r="AT66" s="184"/>
      <c r="AU66" s="184"/>
      <c r="AV66" s="184">
        <v>5992</v>
      </c>
      <c r="AW66" s="184"/>
      <c r="AX66" s="184"/>
      <c r="AY66" s="184">
        <v>13030</v>
      </c>
      <c r="AZ66" s="184"/>
      <c r="BA66" s="184">
        <v>231953</v>
      </c>
      <c r="BB66" s="184"/>
      <c r="BC66" s="184"/>
      <c r="BD66" s="184">
        <v>3223</v>
      </c>
      <c r="BE66" s="184">
        <v>220020</v>
      </c>
      <c r="BF66" s="184">
        <v>18831</v>
      </c>
      <c r="BG66" s="184">
        <v>38003</v>
      </c>
      <c r="BH66" s="184">
        <v>1205040</v>
      </c>
      <c r="BI66" s="184"/>
      <c r="BJ66" s="184">
        <v>129315</v>
      </c>
      <c r="BK66" s="184">
        <v>202997</v>
      </c>
      <c r="BL66" s="184">
        <v>1683</v>
      </c>
      <c r="BM66" s="184">
        <v>72875</v>
      </c>
      <c r="BN66" s="184">
        <v>112565</v>
      </c>
      <c r="BO66" s="184">
        <v>1222</v>
      </c>
      <c r="BP66" s="184">
        <v>75302</v>
      </c>
      <c r="BQ66" s="184"/>
      <c r="BR66" s="184">
        <v>66784</v>
      </c>
      <c r="BS66" s="184">
        <v>0</v>
      </c>
      <c r="BT66" s="184"/>
      <c r="BU66" s="184"/>
      <c r="BV66" s="184">
        <v>35091</v>
      </c>
      <c r="BW66" s="184">
        <v>86597</v>
      </c>
      <c r="BX66" s="184">
        <v>0</v>
      </c>
      <c r="BY66" s="184">
        <v>152552</v>
      </c>
      <c r="BZ66" s="184"/>
      <c r="CA66" s="184"/>
      <c r="CB66" s="184">
        <v>979</v>
      </c>
      <c r="CC66" s="184">
        <v>130558</v>
      </c>
      <c r="CD66" s="243" t="s">
        <v>237</v>
      </c>
      <c r="CE66" s="195">
        <f t="shared" si="0"/>
        <v>5039231</v>
      </c>
      <c r="CF66" s="246"/>
    </row>
    <row r="67" spans="1:84" ht="12.6" customHeight="1" x14ac:dyDescent="0.25">
      <c r="A67" s="171" t="s">
        <v>18</v>
      </c>
      <c r="B67" s="175"/>
      <c r="C67" s="195">
        <f>ROUND(C51+C52,0)</f>
        <v>70550</v>
      </c>
      <c r="D67" s="195">
        <f>ROUND(D51+D52,0)</f>
        <v>0</v>
      </c>
      <c r="E67" s="195">
        <f t="shared" ref="E67:BP67" si="3">ROUND(E51+E52,0)</f>
        <v>159491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2385</v>
      </c>
      <c r="K67" s="195">
        <f t="shared" si="3"/>
        <v>0</v>
      </c>
      <c r="L67" s="195">
        <f>ROUND(L51+L52,0)</f>
        <v>60446</v>
      </c>
      <c r="M67" s="195">
        <f t="shared" si="3"/>
        <v>0</v>
      </c>
      <c r="N67" s="195">
        <f t="shared" si="3"/>
        <v>8004</v>
      </c>
      <c r="O67" s="195">
        <f t="shared" si="3"/>
        <v>75725</v>
      </c>
      <c r="P67" s="195">
        <f t="shared" si="3"/>
        <v>269564</v>
      </c>
      <c r="Q67" s="195">
        <f t="shared" si="3"/>
        <v>16242</v>
      </c>
      <c r="R67" s="195">
        <f t="shared" si="3"/>
        <v>3754</v>
      </c>
      <c r="S67" s="195">
        <f t="shared" si="3"/>
        <v>20592</v>
      </c>
      <c r="T67" s="195">
        <f t="shared" si="3"/>
        <v>0</v>
      </c>
      <c r="U67" s="195">
        <f t="shared" si="3"/>
        <v>117164</v>
      </c>
      <c r="V67" s="195">
        <f t="shared" si="3"/>
        <v>0</v>
      </c>
      <c r="W67" s="195">
        <f t="shared" si="3"/>
        <v>30558</v>
      </c>
      <c r="X67" s="195">
        <f t="shared" si="3"/>
        <v>14733</v>
      </c>
      <c r="Y67" s="195">
        <f t="shared" si="3"/>
        <v>154807</v>
      </c>
      <c r="Z67" s="195">
        <f t="shared" si="3"/>
        <v>0</v>
      </c>
      <c r="AA67" s="195">
        <f t="shared" si="3"/>
        <v>9867</v>
      </c>
      <c r="AB67" s="195">
        <f t="shared" si="3"/>
        <v>31351</v>
      </c>
      <c r="AC67" s="195">
        <f t="shared" si="3"/>
        <v>27241</v>
      </c>
      <c r="AD67" s="195">
        <f t="shared" si="3"/>
        <v>0</v>
      </c>
      <c r="AE67" s="195">
        <f t="shared" si="3"/>
        <v>148511</v>
      </c>
      <c r="AF67" s="195">
        <f t="shared" si="3"/>
        <v>0</v>
      </c>
      <c r="AG67" s="195">
        <f t="shared" si="3"/>
        <v>226563</v>
      </c>
      <c r="AH67" s="195">
        <f t="shared" si="3"/>
        <v>0</v>
      </c>
      <c r="AI67" s="195">
        <f t="shared" si="3"/>
        <v>175838</v>
      </c>
      <c r="AJ67" s="195">
        <f t="shared" si="3"/>
        <v>414653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50756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19209</v>
      </c>
      <c r="AW67" s="195">
        <f t="shared" si="3"/>
        <v>0</v>
      </c>
      <c r="AX67" s="195">
        <f t="shared" si="3"/>
        <v>0</v>
      </c>
      <c r="AY67" s="195">
        <f t="shared" si="3"/>
        <v>150744</v>
      </c>
      <c r="AZ67" s="195">
        <f>ROUND(AZ51+AZ52,0)</f>
        <v>0</v>
      </c>
      <c r="BA67" s="195">
        <f>ROUND(BA51+BA52,0)</f>
        <v>0</v>
      </c>
      <c r="BB67" s="195">
        <f t="shared" si="3"/>
        <v>2136</v>
      </c>
      <c r="BC67" s="195">
        <f t="shared" si="3"/>
        <v>0</v>
      </c>
      <c r="BD67" s="195">
        <f t="shared" si="3"/>
        <v>64964</v>
      </c>
      <c r="BE67" s="195">
        <f t="shared" si="3"/>
        <v>623194</v>
      </c>
      <c r="BF67" s="195">
        <f t="shared" si="3"/>
        <v>76883</v>
      </c>
      <c r="BG67" s="195">
        <f t="shared" si="3"/>
        <v>0</v>
      </c>
      <c r="BH67" s="195">
        <f t="shared" si="3"/>
        <v>101927</v>
      </c>
      <c r="BI67" s="195">
        <f t="shared" si="3"/>
        <v>0</v>
      </c>
      <c r="BJ67" s="195">
        <f t="shared" si="3"/>
        <v>27746</v>
      </c>
      <c r="BK67" s="195">
        <f t="shared" si="3"/>
        <v>99469</v>
      </c>
      <c r="BL67" s="195">
        <f t="shared" si="3"/>
        <v>23631</v>
      </c>
      <c r="BM67" s="195">
        <f t="shared" si="3"/>
        <v>12591</v>
      </c>
      <c r="BN67" s="195">
        <f t="shared" si="3"/>
        <v>291462</v>
      </c>
      <c r="BO67" s="195">
        <f t="shared" si="3"/>
        <v>0</v>
      </c>
      <c r="BP67" s="195">
        <f t="shared" si="3"/>
        <v>3044</v>
      </c>
      <c r="BQ67" s="195">
        <f t="shared" ref="BQ67:CC67" si="4">ROUND(BQ51+BQ52,0)</f>
        <v>0</v>
      </c>
      <c r="BR67" s="195">
        <f t="shared" si="4"/>
        <v>4477</v>
      </c>
      <c r="BS67" s="195">
        <f t="shared" si="4"/>
        <v>18522</v>
      </c>
      <c r="BT67" s="195">
        <f t="shared" si="4"/>
        <v>0</v>
      </c>
      <c r="BU67" s="195">
        <f t="shared" si="4"/>
        <v>0</v>
      </c>
      <c r="BV67" s="195">
        <f t="shared" si="4"/>
        <v>30470</v>
      </c>
      <c r="BW67" s="195">
        <f t="shared" si="4"/>
        <v>9773</v>
      </c>
      <c r="BX67" s="195">
        <f t="shared" si="4"/>
        <v>2865</v>
      </c>
      <c r="BY67" s="195">
        <f t="shared" si="4"/>
        <v>37897</v>
      </c>
      <c r="BZ67" s="195">
        <f t="shared" si="4"/>
        <v>0</v>
      </c>
      <c r="CA67" s="195">
        <f t="shared" si="4"/>
        <v>0</v>
      </c>
      <c r="CB67" s="195">
        <f t="shared" si="4"/>
        <v>44242</v>
      </c>
      <c r="CC67" s="195">
        <f t="shared" si="4"/>
        <v>37097</v>
      </c>
      <c r="CD67" s="243" t="s">
        <v>237</v>
      </c>
      <c r="CE67" s="195">
        <f t="shared" si="0"/>
        <v>3771138</v>
      </c>
      <c r="CF67" s="246"/>
    </row>
    <row r="68" spans="1:84" ht="12.6" customHeight="1" x14ac:dyDescent="0.25">
      <c r="A68" s="171" t="s">
        <v>257</v>
      </c>
      <c r="B68" s="175"/>
      <c r="C68" s="184"/>
      <c r="D68" s="184"/>
      <c r="E68" s="184">
        <v>8520</v>
      </c>
      <c r="F68" s="184"/>
      <c r="G68" s="184"/>
      <c r="H68" s="184"/>
      <c r="I68" s="184"/>
      <c r="J68" s="184"/>
      <c r="K68" s="184"/>
      <c r="L68" s="184"/>
      <c r="M68" s="184"/>
      <c r="N68" s="184">
        <v>1857</v>
      </c>
      <c r="O68" s="184">
        <v>5549</v>
      </c>
      <c r="P68" s="184">
        <v>113016</v>
      </c>
      <c r="Q68" s="184"/>
      <c r="R68" s="184">
        <v>3608</v>
      </c>
      <c r="S68" s="184">
        <v>0</v>
      </c>
      <c r="T68" s="184"/>
      <c r="U68" s="184">
        <v>100055</v>
      </c>
      <c r="V68" s="184"/>
      <c r="W68" s="184">
        <v>227538</v>
      </c>
      <c r="X68" s="184"/>
      <c r="Y68" s="184"/>
      <c r="Z68" s="184"/>
      <c r="AA68" s="184"/>
      <c r="AB68" s="184">
        <v>269867</v>
      </c>
      <c r="AC68" s="184">
        <v>69365</v>
      </c>
      <c r="AD68" s="184"/>
      <c r="AE68" s="184">
        <v>104</v>
      </c>
      <c r="AF68" s="184"/>
      <c r="AG68" s="184">
        <v>1890</v>
      </c>
      <c r="AH68" s="184"/>
      <c r="AI68" s="184"/>
      <c r="AJ68" s="184">
        <v>371594</v>
      </c>
      <c r="AK68" s="184"/>
      <c r="AL68" s="184"/>
      <c r="AM68" s="184"/>
      <c r="AN68" s="184"/>
      <c r="AO68" s="184"/>
      <c r="AP68" s="184"/>
      <c r="AQ68" s="184"/>
      <c r="AR68" s="184">
        <v>156777</v>
      </c>
      <c r="AS68" s="184"/>
      <c r="AT68" s="184"/>
      <c r="AU68" s="184"/>
      <c r="AV68" s="184">
        <v>281</v>
      </c>
      <c r="AW68" s="184"/>
      <c r="AX68" s="184"/>
      <c r="AY68" s="184">
        <v>1652</v>
      </c>
      <c r="AZ68" s="184"/>
      <c r="BA68" s="184"/>
      <c r="BB68" s="184"/>
      <c r="BC68" s="184"/>
      <c r="BD68" s="184">
        <v>30773</v>
      </c>
      <c r="BE68" s="184">
        <v>24108</v>
      </c>
      <c r="BF68" s="184"/>
      <c r="BG68" s="184"/>
      <c r="BH68" s="184"/>
      <c r="BI68" s="184"/>
      <c r="BJ68" s="184">
        <v>6660</v>
      </c>
      <c r="BK68" s="184">
        <v>20970</v>
      </c>
      <c r="BL68" s="184"/>
      <c r="BM68" s="184"/>
      <c r="BN68" s="184">
        <v>52411</v>
      </c>
      <c r="BO68" s="184"/>
      <c r="BP68" s="184">
        <v>168</v>
      </c>
      <c r="BQ68" s="184"/>
      <c r="BR68" s="184">
        <v>2150</v>
      </c>
      <c r="BS68" s="184"/>
      <c r="BT68" s="184"/>
      <c r="BU68" s="184"/>
      <c r="BV68" s="184">
        <v>20970</v>
      </c>
      <c r="BW68" s="184">
        <v>188</v>
      </c>
      <c r="BX68" s="184"/>
      <c r="BY68" s="184"/>
      <c r="BZ68" s="184"/>
      <c r="CA68" s="184"/>
      <c r="CB68" s="184">
        <v>41676</v>
      </c>
      <c r="CC68" s="184">
        <v>15600</v>
      </c>
      <c r="CD68" s="243" t="s">
        <v>237</v>
      </c>
      <c r="CE68" s="195">
        <f t="shared" si="0"/>
        <v>1547347</v>
      </c>
      <c r="CF68" s="246"/>
    </row>
    <row r="69" spans="1:84" ht="12.6" customHeight="1" x14ac:dyDescent="0.25">
      <c r="A69" s="171" t="s">
        <v>258</v>
      </c>
      <c r="B69" s="175"/>
      <c r="C69" s="184">
        <v>12909</v>
      </c>
      <c r="D69" s="184"/>
      <c r="E69" s="184">
        <v>16044</v>
      </c>
      <c r="F69" s="184"/>
      <c r="G69" s="184"/>
      <c r="H69" s="184"/>
      <c r="I69" s="184"/>
      <c r="J69" s="184"/>
      <c r="K69" s="184"/>
      <c r="L69" s="184"/>
      <c r="M69" s="184"/>
      <c r="N69" s="184">
        <v>33473</v>
      </c>
      <c r="O69" s="184">
        <v>30346</v>
      </c>
      <c r="P69" s="184">
        <v>44194</v>
      </c>
      <c r="Q69" s="184">
        <v>246</v>
      </c>
      <c r="R69" s="184">
        <v>32282</v>
      </c>
      <c r="S69" s="184">
        <v>2533</v>
      </c>
      <c r="T69" s="184"/>
      <c r="U69" s="184">
        <v>35120</v>
      </c>
      <c r="V69" s="184">
        <v>260</v>
      </c>
      <c r="W69" s="184">
        <v>139989</v>
      </c>
      <c r="X69" s="184">
        <v>116184</v>
      </c>
      <c r="Y69" s="184">
        <v>192276</v>
      </c>
      <c r="Z69" s="184"/>
      <c r="AA69" s="184">
        <v>0</v>
      </c>
      <c r="AB69" s="184">
        <v>157803</v>
      </c>
      <c r="AC69" s="184">
        <v>15528</v>
      </c>
      <c r="AD69" s="184"/>
      <c r="AE69" s="184">
        <v>51591</v>
      </c>
      <c r="AF69" s="184"/>
      <c r="AG69" s="184">
        <v>70570</v>
      </c>
      <c r="AH69" s="184"/>
      <c r="AI69" s="184">
        <v>61648</v>
      </c>
      <c r="AJ69" s="184">
        <v>356722</v>
      </c>
      <c r="AK69" s="184"/>
      <c r="AL69" s="184"/>
      <c r="AM69" s="184"/>
      <c r="AN69" s="184"/>
      <c r="AO69" s="184"/>
      <c r="AP69" s="184"/>
      <c r="AQ69" s="184"/>
      <c r="AR69" s="184">
        <v>123116</v>
      </c>
      <c r="AS69" s="184"/>
      <c r="AT69" s="184"/>
      <c r="AU69" s="184"/>
      <c r="AV69" s="184">
        <v>25478</v>
      </c>
      <c r="AW69" s="184"/>
      <c r="AX69" s="184"/>
      <c r="AY69" s="184">
        <v>2972</v>
      </c>
      <c r="AZ69" s="184"/>
      <c r="BA69" s="184">
        <v>0</v>
      </c>
      <c r="BB69" s="184">
        <v>0</v>
      </c>
      <c r="BC69" s="184"/>
      <c r="BD69" s="184">
        <v>15001</v>
      </c>
      <c r="BE69" s="184">
        <v>69424</v>
      </c>
      <c r="BF69" s="184">
        <v>3595</v>
      </c>
      <c r="BG69" s="184">
        <v>28239</v>
      </c>
      <c r="BH69" s="184">
        <v>89068</v>
      </c>
      <c r="BI69" s="184"/>
      <c r="BJ69" s="184">
        <v>66554</v>
      </c>
      <c r="BK69" s="184">
        <v>2019</v>
      </c>
      <c r="BL69" s="184">
        <v>211</v>
      </c>
      <c r="BM69" s="184">
        <v>2619</v>
      </c>
      <c r="BN69" s="184">
        <v>186596</v>
      </c>
      <c r="BO69" s="184">
        <v>1558</v>
      </c>
      <c r="BP69" s="184">
        <v>113821</v>
      </c>
      <c r="BQ69" s="184"/>
      <c r="BR69" s="184">
        <v>63377</v>
      </c>
      <c r="BS69" s="184">
        <v>2877</v>
      </c>
      <c r="BT69" s="184"/>
      <c r="BU69" s="184"/>
      <c r="BV69" s="184">
        <v>11089</v>
      </c>
      <c r="BW69" s="184">
        <v>7699</v>
      </c>
      <c r="BX69" s="184">
        <v>14172</v>
      </c>
      <c r="BY69" s="184">
        <v>30796</v>
      </c>
      <c r="BZ69" s="184"/>
      <c r="CA69" s="184"/>
      <c r="CB69" s="184">
        <v>296</v>
      </c>
      <c r="CC69" s="184">
        <v>277815</v>
      </c>
      <c r="CD69" s="188">
        <f>740154+641426+1055232</f>
        <v>2436812</v>
      </c>
      <c r="CE69" s="195">
        <f t="shared" si="0"/>
        <v>4944922</v>
      </c>
      <c r="CF69" s="246"/>
    </row>
    <row r="70" spans="1:84" ht="12.6" customHeight="1" x14ac:dyDescent="0.25">
      <c r="A70" s="171" t="s">
        <v>259</v>
      </c>
      <c r="B70" s="175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>
        <v>1050</v>
      </c>
      <c r="Q70" s="184"/>
      <c r="R70" s="184"/>
      <c r="S70" s="184"/>
      <c r="T70" s="184"/>
      <c r="U70" s="184">
        <v>4763</v>
      </c>
      <c r="V70" s="184"/>
      <c r="W70" s="184"/>
      <c r="X70" s="184"/>
      <c r="Y70" s="184"/>
      <c r="Z70" s="184"/>
      <c r="AA70" s="184"/>
      <c r="AB70" s="184">
        <v>11796</v>
      </c>
      <c r="AC70" s="184"/>
      <c r="AD70" s="184"/>
      <c r="AE70" s="184">
        <v>600</v>
      </c>
      <c r="AF70" s="184"/>
      <c r="AG70" s="184"/>
      <c r="AH70" s="184"/>
      <c r="AI70" s="184"/>
      <c r="AJ70" s="184">
        <v>791646</v>
      </c>
      <c r="AK70" s="184"/>
      <c r="AL70" s="184"/>
      <c r="AM70" s="184"/>
      <c r="AN70" s="184"/>
      <c r="AO70" s="184"/>
      <c r="AP70" s="184"/>
      <c r="AQ70" s="184"/>
      <c r="AR70" s="184"/>
      <c r="AS70" s="184"/>
      <c r="AT70" s="184"/>
      <c r="AU70" s="184"/>
      <c r="AV70" s="184">
        <v>6690</v>
      </c>
      <c r="AW70" s="184"/>
      <c r="AX70" s="184"/>
      <c r="AY70" s="184">
        <v>593617</v>
      </c>
      <c r="AZ70" s="184"/>
      <c r="BA70" s="184"/>
      <c r="BB70" s="184"/>
      <c r="BC70" s="184"/>
      <c r="BD70" s="184"/>
      <c r="BE70" s="184"/>
      <c r="BF70" s="184"/>
      <c r="BG70" s="184"/>
      <c r="BH70" s="184">
        <v>3047</v>
      </c>
      <c r="BI70" s="184"/>
      <c r="BJ70" s="184"/>
      <c r="BK70" s="184"/>
      <c r="BL70" s="184"/>
      <c r="BM70" s="184"/>
      <c r="BN70" s="184"/>
      <c r="BO70" s="184"/>
      <c r="BP70" s="184"/>
      <c r="BQ70" s="184"/>
      <c r="BR70" s="184"/>
      <c r="BS70" s="184"/>
      <c r="BT70" s="184"/>
      <c r="BU70" s="184"/>
      <c r="BV70" s="184"/>
      <c r="BW70" s="184"/>
      <c r="BX70" s="184"/>
      <c r="BY70" s="184">
        <v>730</v>
      </c>
      <c r="BZ70" s="184"/>
      <c r="CA70" s="184"/>
      <c r="CB70" s="184">
        <v>55824</v>
      </c>
      <c r="CC70" s="184">
        <v>161803</v>
      </c>
      <c r="CD70" s="188">
        <f>3660701-57264</f>
        <v>3603437</v>
      </c>
      <c r="CE70" s="195">
        <f t="shared" si="0"/>
        <v>5235003</v>
      </c>
      <c r="CF70" s="246"/>
    </row>
    <row r="71" spans="1:84" ht="12.6" customHeight="1" x14ac:dyDescent="0.25">
      <c r="A71" s="171" t="s">
        <v>260</v>
      </c>
      <c r="B71" s="175"/>
      <c r="C71" s="195">
        <f>SUM(C61:C68)+C69-C70</f>
        <v>1656725</v>
      </c>
      <c r="D71" s="195">
        <f t="shared" ref="D71:AI71" si="5">SUM(D61:D69)-D70</f>
        <v>0</v>
      </c>
      <c r="E71" s="195">
        <f t="shared" si="5"/>
        <v>4121972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2385</v>
      </c>
      <c r="K71" s="195">
        <f t="shared" si="5"/>
        <v>0</v>
      </c>
      <c r="L71" s="195">
        <f t="shared" si="5"/>
        <v>60446</v>
      </c>
      <c r="M71" s="195">
        <f t="shared" si="5"/>
        <v>0</v>
      </c>
      <c r="N71" s="195">
        <f t="shared" si="5"/>
        <v>2124093</v>
      </c>
      <c r="O71" s="195">
        <f t="shared" si="5"/>
        <v>1674152</v>
      </c>
      <c r="P71" s="195">
        <f t="shared" si="5"/>
        <v>3412620</v>
      </c>
      <c r="Q71" s="195">
        <f t="shared" si="5"/>
        <v>114271</v>
      </c>
      <c r="R71" s="195">
        <f t="shared" si="5"/>
        <v>1405534</v>
      </c>
      <c r="S71" s="195">
        <f t="shared" si="5"/>
        <v>1654540</v>
      </c>
      <c r="T71" s="195">
        <f t="shared" si="5"/>
        <v>0</v>
      </c>
      <c r="U71" s="195">
        <f t="shared" si="5"/>
        <v>4742102</v>
      </c>
      <c r="V71" s="195">
        <f t="shared" si="5"/>
        <v>156299</v>
      </c>
      <c r="W71" s="195">
        <f t="shared" si="5"/>
        <v>600036</v>
      </c>
      <c r="X71" s="195">
        <f t="shared" si="5"/>
        <v>398212</v>
      </c>
      <c r="Y71" s="195">
        <f t="shared" si="5"/>
        <v>2668299</v>
      </c>
      <c r="Z71" s="195">
        <f t="shared" si="5"/>
        <v>0</v>
      </c>
      <c r="AA71" s="195">
        <f t="shared" si="5"/>
        <v>209426</v>
      </c>
      <c r="AB71" s="195">
        <f t="shared" si="5"/>
        <v>12518311</v>
      </c>
      <c r="AC71" s="195">
        <f t="shared" si="5"/>
        <v>1034694</v>
      </c>
      <c r="AD71" s="195">
        <f t="shared" si="5"/>
        <v>0</v>
      </c>
      <c r="AE71" s="195">
        <f t="shared" si="5"/>
        <v>3805268</v>
      </c>
      <c r="AF71" s="195">
        <f t="shared" si="5"/>
        <v>0</v>
      </c>
      <c r="AG71" s="195">
        <f t="shared" si="5"/>
        <v>5469978</v>
      </c>
      <c r="AH71" s="195">
        <f t="shared" si="5"/>
        <v>0</v>
      </c>
      <c r="AI71" s="195">
        <f t="shared" si="5"/>
        <v>3366077</v>
      </c>
      <c r="AJ71" s="195">
        <f t="shared" ref="AJ71:BO71" si="6">SUM(AJ61:AJ69)-AJ70</f>
        <v>24110060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3872074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2171543</v>
      </c>
      <c r="AW71" s="195">
        <f t="shared" si="6"/>
        <v>0</v>
      </c>
      <c r="AX71" s="195">
        <f t="shared" si="6"/>
        <v>0</v>
      </c>
      <c r="AY71" s="195">
        <f t="shared" si="6"/>
        <v>798907</v>
      </c>
      <c r="AZ71" s="195">
        <f t="shared" si="6"/>
        <v>0</v>
      </c>
      <c r="BA71" s="195">
        <f t="shared" si="6"/>
        <v>284608</v>
      </c>
      <c r="BB71" s="195">
        <f t="shared" si="6"/>
        <v>2136</v>
      </c>
      <c r="BC71" s="195">
        <f t="shared" si="6"/>
        <v>0</v>
      </c>
      <c r="BD71" s="195">
        <f t="shared" si="6"/>
        <v>694454</v>
      </c>
      <c r="BE71" s="195">
        <f t="shared" si="6"/>
        <v>3081031</v>
      </c>
      <c r="BF71" s="195">
        <f t="shared" si="6"/>
        <v>1490617</v>
      </c>
      <c r="BG71" s="195">
        <f t="shared" si="6"/>
        <v>259648</v>
      </c>
      <c r="BH71" s="195">
        <f t="shared" si="6"/>
        <v>3102039</v>
      </c>
      <c r="BI71" s="195">
        <f t="shared" si="6"/>
        <v>0</v>
      </c>
      <c r="BJ71" s="195">
        <f t="shared" si="6"/>
        <v>1113263</v>
      </c>
      <c r="BK71" s="195">
        <f t="shared" si="6"/>
        <v>1364320</v>
      </c>
      <c r="BL71" s="195">
        <f t="shared" si="6"/>
        <v>827572</v>
      </c>
      <c r="BM71" s="195">
        <f t="shared" si="6"/>
        <v>620369</v>
      </c>
      <c r="BN71" s="195">
        <f t="shared" si="6"/>
        <v>2246562</v>
      </c>
      <c r="BO71" s="195">
        <f t="shared" si="6"/>
        <v>143607</v>
      </c>
      <c r="BP71" s="195">
        <f t="shared" ref="BP71:CC71" si="7">SUM(BP61:BP69)-BP70</f>
        <v>403042</v>
      </c>
      <c r="BQ71" s="195">
        <f t="shared" si="7"/>
        <v>0</v>
      </c>
      <c r="BR71" s="195">
        <f t="shared" si="7"/>
        <v>1088075</v>
      </c>
      <c r="BS71" s="195">
        <f t="shared" si="7"/>
        <v>89560</v>
      </c>
      <c r="BT71" s="195">
        <f t="shared" si="7"/>
        <v>0</v>
      </c>
      <c r="BU71" s="195">
        <f t="shared" si="7"/>
        <v>0</v>
      </c>
      <c r="BV71" s="195">
        <f t="shared" si="7"/>
        <v>885107</v>
      </c>
      <c r="BW71" s="195">
        <f t="shared" si="7"/>
        <v>536867</v>
      </c>
      <c r="BX71" s="195">
        <f t="shared" si="7"/>
        <v>478940</v>
      </c>
      <c r="BY71" s="195">
        <f t="shared" si="7"/>
        <v>1495548</v>
      </c>
      <c r="BZ71" s="195">
        <f t="shared" si="7"/>
        <v>0</v>
      </c>
      <c r="CA71" s="195">
        <f t="shared" si="7"/>
        <v>0</v>
      </c>
      <c r="CB71" s="195">
        <f t="shared" si="7"/>
        <v>121696</v>
      </c>
      <c r="CC71" s="195">
        <f t="shared" si="7"/>
        <v>1690440</v>
      </c>
      <c r="CD71" s="239">
        <f>CD69-CD70</f>
        <v>-1166625</v>
      </c>
      <c r="CE71" s="195">
        <f>SUM(CE61:CE69)-CE70</f>
        <v>103000900</v>
      </c>
      <c r="CF71" s="246"/>
    </row>
    <row r="72" spans="1:84" ht="12.6" customHeight="1" x14ac:dyDescent="0.25">
      <c r="A72" s="171" t="s">
        <v>261</v>
      </c>
      <c r="B72" s="175"/>
      <c r="C72" s="243" t="s">
        <v>237</v>
      </c>
      <c r="D72" s="243" t="s">
        <v>237</v>
      </c>
      <c r="E72" s="243" t="s">
        <v>237</v>
      </c>
      <c r="F72" s="243" t="s">
        <v>237</v>
      </c>
      <c r="G72" s="243" t="s">
        <v>237</v>
      </c>
      <c r="H72" s="243" t="s">
        <v>237</v>
      </c>
      <c r="I72" s="243" t="s">
        <v>237</v>
      </c>
      <c r="J72" s="243" t="s">
        <v>237</v>
      </c>
      <c r="K72" s="247" t="s">
        <v>237</v>
      </c>
      <c r="L72" s="243" t="s">
        <v>237</v>
      </c>
      <c r="M72" s="243" t="s">
        <v>237</v>
      </c>
      <c r="N72" s="243" t="s">
        <v>237</v>
      </c>
      <c r="O72" s="243" t="s">
        <v>237</v>
      </c>
      <c r="P72" s="243" t="s">
        <v>237</v>
      </c>
      <c r="Q72" s="243" t="s">
        <v>237</v>
      </c>
      <c r="R72" s="243" t="s">
        <v>237</v>
      </c>
      <c r="S72" s="243" t="s">
        <v>237</v>
      </c>
      <c r="T72" s="243" t="s">
        <v>237</v>
      </c>
      <c r="U72" s="243" t="s">
        <v>237</v>
      </c>
      <c r="V72" s="243" t="s">
        <v>237</v>
      </c>
      <c r="W72" s="243" t="s">
        <v>237</v>
      </c>
      <c r="X72" s="243" t="s">
        <v>237</v>
      </c>
      <c r="Y72" s="243" t="s">
        <v>237</v>
      </c>
      <c r="Z72" s="243" t="s">
        <v>237</v>
      </c>
      <c r="AA72" s="243" t="s">
        <v>237</v>
      </c>
      <c r="AB72" s="243" t="s">
        <v>237</v>
      </c>
      <c r="AC72" s="243" t="s">
        <v>237</v>
      </c>
      <c r="AD72" s="243" t="s">
        <v>237</v>
      </c>
      <c r="AE72" s="243" t="s">
        <v>237</v>
      </c>
      <c r="AF72" s="243" t="s">
        <v>237</v>
      </c>
      <c r="AG72" s="243" t="s">
        <v>237</v>
      </c>
      <c r="AH72" s="243" t="s">
        <v>237</v>
      </c>
      <c r="AI72" s="243" t="s">
        <v>237</v>
      </c>
      <c r="AJ72" s="243" t="s">
        <v>237</v>
      </c>
      <c r="AK72" s="243" t="s">
        <v>237</v>
      </c>
      <c r="AL72" s="243" t="s">
        <v>237</v>
      </c>
      <c r="AM72" s="243" t="s">
        <v>237</v>
      </c>
      <c r="AN72" s="243" t="s">
        <v>237</v>
      </c>
      <c r="AO72" s="243" t="s">
        <v>237</v>
      </c>
      <c r="AP72" s="243" t="s">
        <v>237</v>
      </c>
      <c r="AQ72" s="243" t="s">
        <v>237</v>
      </c>
      <c r="AR72" s="243" t="s">
        <v>237</v>
      </c>
      <c r="AS72" s="243" t="s">
        <v>237</v>
      </c>
      <c r="AT72" s="243" t="s">
        <v>237</v>
      </c>
      <c r="AU72" s="243" t="s">
        <v>237</v>
      </c>
      <c r="AV72" s="243" t="s">
        <v>237</v>
      </c>
      <c r="AW72" s="243" t="s">
        <v>237</v>
      </c>
      <c r="AX72" s="243" t="s">
        <v>237</v>
      </c>
      <c r="AY72" s="243" t="s">
        <v>237</v>
      </c>
      <c r="AZ72" s="243" t="s">
        <v>237</v>
      </c>
      <c r="BA72" s="243" t="s">
        <v>237</v>
      </c>
      <c r="BB72" s="243" t="s">
        <v>237</v>
      </c>
      <c r="BC72" s="243" t="s">
        <v>237</v>
      </c>
      <c r="BD72" s="243" t="s">
        <v>237</v>
      </c>
      <c r="BE72" s="243" t="s">
        <v>237</v>
      </c>
      <c r="BF72" s="243" t="s">
        <v>237</v>
      </c>
      <c r="BG72" s="243" t="s">
        <v>237</v>
      </c>
      <c r="BH72" s="243" t="s">
        <v>237</v>
      </c>
      <c r="BI72" s="243" t="s">
        <v>237</v>
      </c>
      <c r="BJ72" s="243" t="s">
        <v>237</v>
      </c>
      <c r="BK72" s="243" t="s">
        <v>237</v>
      </c>
      <c r="BL72" s="243" t="s">
        <v>237</v>
      </c>
      <c r="BM72" s="243" t="s">
        <v>237</v>
      </c>
      <c r="BN72" s="243" t="s">
        <v>237</v>
      </c>
      <c r="BO72" s="243" t="s">
        <v>237</v>
      </c>
      <c r="BP72" s="243" t="s">
        <v>237</v>
      </c>
      <c r="BQ72" s="243" t="s">
        <v>237</v>
      </c>
      <c r="BR72" s="243" t="s">
        <v>237</v>
      </c>
      <c r="BS72" s="243" t="s">
        <v>237</v>
      </c>
      <c r="BT72" s="243" t="s">
        <v>237</v>
      </c>
      <c r="BU72" s="243" t="s">
        <v>237</v>
      </c>
      <c r="BV72" s="243" t="s">
        <v>237</v>
      </c>
      <c r="BW72" s="243" t="s">
        <v>237</v>
      </c>
      <c r="BX72" s="243" t="s">
        <v>237</v>
      </c>
      <c r="BY72" s="243" t="s">
        <v>237</v>
      </c>
      <c r="BZ72" s="243" t="s">
        <v>237</v>
      </c>
      <c r="CA72" s="243" t="s">
        <v>237</v>
      </c>
      <c r="CB72" s="243" t="s">
        <v>237</v>
      </c>
      <c r="CC72" s="243" t="s">
        <v>237</v>
      </c>
      <c r="CD72" s="243" t="s">
        <v>237</v>
      </c>
      <c r="CE72" s="188">
        <v>461199</v>
      </c>
      <c r="CF72" s="246"/>
    </row>
    <row r="73" spans="1:84" ht="12.6" customHeight="1" x14ac:dyDescent="0.25">
      <c r="A73" s="171" t="s">
        <v>262</v>
      </c>
      <c r="B73" s="175"/>
      <c r="C73" s="184">
        <v>2961294</v>
      </c>
      <c r="D73" s="184"/>
      <c r="E73" s="184">
        <v>9005778</v>
      </c>
      <c r="F73" s="184"/>
      <c r="G73" s="184"/>
      <c r="H73" s="184"/>
      <c r="I73" s="184"/>
      <c r="J73" s="184">
        <v>314884</v>
      </c>
      <c r="K73" s="184"/>
      <c r="L73" s="184">
        <v>171638</v>
      </c>
      <c r="M73" s="184"/>
      <c r="N73" s="184">
        <v>1606372</v>
      </c>
      <c r="O73" s="184">
        <v>1008725</v>
      </c>
      <c r="P73" s="184">
        <v>8817374</v>
      </c>
      <c r="Q73" s="184">
        <v>645452</v>
      </c>
      <c r="R73" s="184">
        <v>2694179</v>
      </c>
      <c r="S73" s="184">
        <v>19498</v>
      </c>
      <c r="T73" s="184"/>
      <c r="U73" s="184">
        <v>2873299</v>
      </c>
      <c r="V73" s="184">
        <v>48</v>
      </c>
      <c r="W73" s="184">
        <v>370218</v>
      </c>
      <c r="X73" s="184">
        <v>1571078</v>
      </c>
      <c r="Y73" s="184">
        <v>1316364</v>
      </c>
      <c r="Z73" s="184"/>
      <c r="AA73" s="184">
        <v>8669</v>
      </c>
      <c r="AB73" s="184">
        <v>3891046</v>
      </c>
      <c r="AC73" s="184">
        <v>2884594</v>
      </c>
      <c r="AD73" s="184"/>
      <c r="AE73" s="184">
        <v>577554</v>
      </c>
      <c r="AF73" s="184"/>
      <c r="AG73" s="184">
        <v>1560219</v>
      </c>
      <c r="AH73" s="184"/>
      <c r="AI73" s="184">
        <v>27114</v>
      </c>
      <c r="AJ73" s="184">
        <v>1745861</v>
      </c>
      <c r="AK73" s="184"/>
      <c r="AL73" s="184"/>
      <c r="AM73" s="184"/>
      <c r="AN73" s="184"/>
      <c r="AO73" s="184"/>
      <c r="AP73" s="184"/>
      <c r="AQ73" s="184"/>
      <c r="AR73" s="184"/>
      <c r="AS73" s="184"/>
      <c r="AT73" s="184"/>
      <c r="AU73" s="184"/>
      <c r="AV73" s="184">
        <v>465702</v>
      </c>
      <c r="AW73" s="243" t="s">
        <v>237</v>
      </c>
      <c r="AX73" s="243" t="s">
        <v>237</v>
      </c>
      <c r="AY73" s="243" t="s">
        <v>237</v>
      </c>
      <c r="AZ73" s="243" t="s">
        <v>237</v>
      </c>
      <c r="BA73" s="243" t="s">
        <v>237</v>
      </c>
      <c r="BB73" s="243" t="s">
        <v>237</v>
      </c>
      <c r="BC73" s="243" t="s">
        <v>237</v>
      </c>
      <c r="BD73" s="243" t="s">
        <v>237</v>
      </c>
      <c r="BE73" s="243" t="s">
        <v>237</v>
      </c>
      <c r="BF73" s="243" t="s">
        <v>237</v>
      </c>
      <c r="BG73" s="243" t="s">
        <v>237</v>
      </c>
      <c r="BH73" s="243" t="s">
        <v>237</v>
      </c>
      <c r="BI73" s="243" t="s">
        <v>237</v>
      </c>
      <c r="BJ73" s="243" t="s">
        <v>237</v>
      </c>
      <c r="BK73" s="243" t="s">
        <v>237</v>
      </c>
      <c r="BL73" s="243" t="s">
        <v>237</v>
      </c>
      <c r="BM73" s="243" t="s">
        <v>237</v>
      </c>
      <c r="BN73" s="243" t="s">
        <v>237</v>
      </c>
      <c r="BO73" s="243" t="s">
        <v>237</v>
      </c>
      <c r="BP73" s="243" t="s">
        <v>237</v>
      </c>
      <c r="BQ73" s="243" t="s">
        <v>237</v>
      </c>
      <c r="BR73" s="243" t="s">
        <v>237</v>
      </c>
      <c r="BS73" s="243" t="s">
        <v>237</v>
      </c>
      <c r="BT73" s="243" t="s">
        <v>237</v>
      </c>
      <c r="BU73" s="243" t="s">
        <v>237</v>
      </c>
      <c r="BV73" s="243" t="s">
        <v>237</v>
      </c>
      <c r="BW73" s="243" t="s">
        <v>237</v>
      </c>
      <c r="BX73" s="243" t="s">
        <v>237</v>
      </c>
      <c r="BY73" s="243" t="s">
        <v>237</v>
      </c>
      <c r="BZ73" s="243" t="s">
        <v>237</v>
      </c>
      <c r="CA73" s="243" t="s">
        <v>237</v>
      </c>
      <c r="CB73" s="243" t="s">
        <v>237</v>
      </c>
      <c r="CC73" s="243" t="s">
        <v>237</v>
      </c>
      <c r="CD73" s="243" t="s">
        <v>237</v>
      </c>
      <c r="CE73" s="195">
        <f t="shared" ref="CE73:CE80" si="8">SUM(C73:CD73)</f>
        <v>44536960</v>
      </c>
      <c r="CF73" s="246"/>
    </row>
    <row r="74" spans="1:84" ht="12.6" customHeight="1" x14ac:dyDescent="0.25">
      <c r="A74" s="171" t="s">
        <v>263</v>
      </c>
      <c r="B74" s="175"/>
      <c r="C74" s="184">
        <v>110646</v>
      </c>
      <c r="D74" s="184"/>
      <c r="E74" s="184">
        <v>1777088</v>
      </c>
      <c r="F74" s="184"/>
      <c r="G74" s="184"/>
      <c r="H74" s="184"/>
      <c r="I74" s="184"/>
      <c r="J74" s="184">
        <v>5003</v>
      </c>
      <c r="K74" s="184"/>
      <c r="L74" s="184"/>
      <c r="M74" s="184"/>
      <c r="N74" s="184">
        <v>185298</v>
      </c>
      <c r="O74" s="184">
        <v>378906</v>
      </c>
      <c r="P74" s="184">
        <v>9875361</v>
      </c>
      <c r="Q74" s="184">
        <v>3329075</v>
      </c>
      <c r="R74" s="184">
        <v>5643559</v>
      </c>
      <c r="S74" s="184">
        <v>569947</v>
      </c>
      <c r="T74" s="184"/>
      <c r="U74" s="184">
        <v>17368119</v>
      </c>
      <c r="V74" s="184">
        <v>200839</v>
      </c>
      <c r="W74" s="184">
        <v>5203991</v>
      </c>
      <c r="X74" s="184">
        <v>13390833</v>
      </c>
      <c r="Y74" s="184">
        <v>12649828</v>
      </c>
      <c r="Z74" s="184"/>
      <c r="AA74" s="184">
        <v>1086335</v>
      </c>
      <c r="AB74" s="184">
        <v>23996667</v>
      </c>
      <c r="AC74" s="184">
        <v>1697292</v>
      </c>
      <c r="AD74" s="184"/>
      <c r="AE74" s="184">
        <v>7886172</v>
      </c>
      <c r="AF74" s="184"/>
      <c r="AG74" s="184">
        <v>25512002</v>
      </c>
      <c r="AH74" s="184"/>
      <c r="AI74" s="184">
        <v>8641078</v>
      </c>
      <c r="AJ74" s="184">
        <v>30225609</v>
      </c>
      <c r="AK74" s="184"/>
      <c r="AL74" s="184"/>
      <c r="AM74" s="184"/>
      <c r="AN74" s="184"/>
      <c r="AO74" s="184"/>
      <c r="AP74" s="184"/>
      <c r="AQ74" s="184"/>
      <c r="AR74" s="184">
        <v>4461736</v>
      </c>
      <c r="AS74" s="184"/>
      <c r="AT74" s="184"/>
      <c r="AU74" s="184"/>
      <c r="AV74" s="184">
        <f>8630153+4911</f>
        <v>8635064</v>
      </c>
      <c r="AW74" s="243" t="s">
        <v>237</v>
      </c>
      <c r="AX74" s="243" t="s">
        <v>237</v>
      </c>
      <c r="AY74" s="243" t="s">
        <v>237</v>
      </c>
      <c r="AZ74" s="243" t="s">
        <v>237</v>
      </c>
      <c r="BA74" s="243" t="s">
        <v>237</v>
      </c>
      <c r="BB74" s="243" t="s">
        <v>237</v>
      </c>
      <c r="BC74" s="243" t="s">
        <v>237</v>
      </c>
      <c r="BD74" s="243" t="s">
        <v>237</v>
      </c>
      <c r="BE74" s="243" t="s">
        <v>237</v>
      </c>
      <c r="BF74" s="243" t="s">
        <v>237</v>
      </c>
      <c r="BG74" s="243" t="s">
        <v>237</v>
      </c>
      <c r="BH74" s="243" t="s">
        <v>237</v>
      </c>
      <c r="BI74" s="243" t="s">
        <v>237</v>
      </c>
      <c r="BJ74" s="243" t="s">
        <v>237</v>
      </c>
      <c r="BK74" s="243" t="s">
        <v>237</v>
      </c>
      <c r="BL74" s="243" t="s">
        <v>237</v>
      </c>
      <c r="BM74" s="243" t="s">
        <v>237</v>
      </c>
      <c r="BN74" s="243" t="s">
        <v>237</v>
      </c>
      <c r="BO74" s="243" t="s">
        <v>237</v>
      </c>
      <c r="BP74" s="243" t="s">
        <v>237</v>
      </c>
      <c r="BQ74" s="243" t="s">
        <v>237</v>
      </c>
      <c r="BR74" s="243" t="s">
        <v>237</v>
      </c>
      <c r="BS74" s="243" t="s">
        <v>237</v>
      </c>
      <c r="BT74" s="243" t="s">
        <v>237</v>
      </c>
      <c r="BU74" s="243" t="s">
        <v>237</v>
      </c>
      <c r="BV74" s="243" t="s">
        <v>237</v>
      </c>
      <c r="BW74" s="243" t="s">
        <v>237</v>
      </c>
      <c r="BX74" s="243" t="s">
        <v>237</v>
      </c>
      <c r="BY74" s="243" t="s">
        <v>237</v>
      </c>
      <c r="BZ74" s="243" t="s">
        <v>237</v>
      </c>
      <c r="CA74" s="243" t="s">
        <v>237</v>
      </c>
      <c r="CB74" s="243" t="s">
        <v>237</v>
      </c>
      <c r="CC74" s="243" t="s">
        <v>237</v>
      </c>
      <c r="CD74" s="243" t="s">
        <v>237</v>
      </c>
      <c r="CE74" s="195">
        <f t="shared" si="8"/>
        <v>182830448</v>
      </c>
      <c r="CF74" s="246"/>
    </row>
    <row r="75" spans="1:84" ht="12.6" customHeight="1" x14ac:dyDescent="0.25">
      <c r="A75" s="171" t="s">
        <v>264</v>
      </c>
      <c r="B75" s="175"/>
      <c r="C75" s="195">
        <f t="shared" ref="C75:AV75" si="9">SUM(C73:C74)</f>
        <v>3071940</v>
      </c>
      <c r="D75" s="195">
        <f t="shared" si="9"/>
        <v>0</v>
      </c>
      <c r="E75" s="195">
        <f t="shared" si="9"/>
        <v>10782866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319887</v>
      </c>
      <c r="K75" s="195">
        <f t="shared" si="9"/>
        <v>0</v>
      </c>
      <c r="L75" s="195">
        <f t="shared" si="9"/>
        <v>171638</v>
      </c>
      <c r="M75" s="195">
        <f t="shared" si="9"/>
        <v>0</v>
      </c>
      <c r="N75" s="195">
        <f t="shared" si="9"/>
        <v>1791670</v>
      </c>
      <c r="O75" s="195">
        <f t="shared" si="9"/>
        <v>1387631</v>
      </c>
      <c r="P75" s="195">
        <f t="shared" si="9"/>
        <v>18692735</v>
      </c>
      <c r="Q75" s="195">
        <f t="shared" si="9"/>
        <v>3974527</v>
      </c>
      <c r="R75" s="195">
        <f t="shared" si="9"/>
        <v>8337738</v>
      </c>
      <c r="S75" s="195">
        <f t="shared" si="9"/>
        <v>589445</v>
      </c>
      <c r="T75" s="195">
        <f t="shared" si="9"/>
        <v>0</v>
      </c>
      <c r="U75" s="195">
        <f t="shared" si="9"/>
        <v>20241418</v>
      </c>
      <c r="V75" s="195">
        <f t="shared" si="9"/>
        <v>200887</v>
      </c>
      <c r="W75" s="195">
        <f t="shared" si="9"/>
        <v>5574209</v>
      </c>
      <c r="X75" s="195">
        <f t="shared" si="9"/>
        <v>14961911</v>
      </c>
      <c r="Y75" s="195">
        <f t="shared" si="9"/>
        <v>13966192</v>
      </c>
      <c r="Z75" s="195">
        <f t="shared" si="9"/>
        <v>0</v>
      </c>
      <c r="AA75" s="195">
        <f t="shared" si="9"/>
        <v>1095004</v>
      </c>
      <c r="AB75" s="195">
        <f t="shared" si="9"/>
        <v>27887713</v>
      </c>
      <c r="AC75" s="195">
        <f t="shared" si="9"/>
        <v>4581886</v>
      </c>
      <c r="AD75" s="195">
        <f t="shared" si="9"/>
        <v>0</v>
      </c>
      <c r="AE75" s="195">
        <f t="shared" si="9"/>
        <v>8463726</v>
      </c>
      <c r="AF75" s="195">
        <f t="shared" si="9"/>
        <v>0</v>
      </c>
      <c r="AG75" s="195">
        <f t="shared" si="9"/>
        <v>27072221</v>
      </c>
      <c r="AH75" s="195">
        <f t="shared" si="9"/>
        <v>0</v>
      </c>
      <c r="AI75" s="195">
        <f t="shared" si="9"/>
        <v>8668192</v>
      </c>
      <c r="AJ75" s="195">
        <f t="shared" si="9"/>
        <v>31971470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4461736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9100766</v>
      </c>
      <c r="AW75" s="243" t="s">
        <v>237</v>
      </c>
      <c r="AX75" s="243" t="s">
        <v>237</v>
      </c>
      <c r="AY75" s="243" t="s">
        <v>237</v>
      </c>
      <c r="AZ75" s="243" t="s">
        <v>237</v>
      </c>
      <c r="BA75" s="243" t="s">
        <v>237</v>
      </c>
      <c r="BB75" s="243" t="s">
        <v>237</v>
      </c>
      <c r="BC75" s="243" t="s">
        <v>237</v>
      </c>
      <c r="BD75" s="243" t="s">
        <v>237</v>
      </c>
      <c r="BE75" s="243" t="s">
        <v>237</v>
      </c>
      <c r="BF75" s="243" t="s">
        <v>237</v>
      </c>
      <c r="BG75" s="243" t="s">
        <v>237</v>
      </c>
      <c r="BH75" s="243" t="s">
        <v>237</v>
      </c>
      <c r="BI75" s="243" t="s">
        <v>237</v>
      </c>
      <c r="BJ75" s="243" t="s">
        <v>237</v>
      </c>
      <c r="BK75" s="243" t="s">
        <v>237</v>
      </c>
      <c r="BL75" s="243" t="s">
        <v>237</v>
      </c>
      <c r="BM75" s="243" t="s">
        <v>237</v>
      </c>
      <c r="BN75" s="243" t="s">
        <v>237</v>
      </c>
      <c r="BO75" s="243" t="s">
        <v>237</v>
      </c>
      <c r="BP75" s="243" t="s">
        <v>237</v>
      </c>
      <c r="BQ75" s="243" t="s">
        <v>237</v>
      </c>
      <c r="BR75" s="243" t="s">
        <v>237</v>
      </c>
      <c r="BS75" s="243" t="s">
        <v>237</v>
      </c>
      <c r="BT75" s="243" t="s">
        <v>237</v>
      </c>
      <c r="BU75" s="243" t="s">
        <v>237</v>
      </c>
      <c r="BV75" s="243" t="s">
        <v>237</v>
      </c>
      <c r="BW75" s="243" t="s">
        <v>237</v>
      </c>
      <c r="BX75" s="243" t="s">
        <v>237</v>
      </c>
      <c r="BY75" s="243" t="s">
        <v>237</v>
      </c>
      <c r="BZ75" s="243" t="s">
        <v>237</v>
      </c>
      <c r="CA75" s="243" t="s">
        <v>237</v>
      </c>
      <c r="CB75" s="243" t="s">
        <v>237</v>
      </c>
      <c r="CC75" s="243" t="s">
        <v>237</v>
      </c>
      <c r="CD75" s="243" t="s">
        <v>237</v>
      </c>
      <c r="CE75" s="195">
        <f t="shared" si="8"/>
        <v>227367408</v>
      </c>
      <c r="CF75" s="246"/>
    </row>
    <row r="76" spans="1:84" ht="12.6" customHeight="1" x14ac:dyDescent="0.25">
      <c r="A76" s="171" t="s">
        <v>265</v>
      </c>
      <c r="B76" s="175"/>
      <c r="C76" s="184">
        <v>2556.1999999999998</v>
      </c>
      <c r="D76" s="184"/>
      <c r="E76" s="184">
        <v>5778.7</v>
      </c>
      <c r="F76" s="184"/>
      <c r="G76" s="184"/>
      <c r="H76" s="184"/>
      <c r="I76" s="184"/>
      <c r="J76" s="184">
        <v>86.40000000000002</v>
      </c>
      <c r="K76" s="184"/>
      <c r="L76" s="184">
        <v>2190.0999999999995</v>
      </c>
      <c r="M76" s="184"/>
      <c r="N76" s="184">
        <v>290</v>
      </c>
      <c r="O76" s="184">
        <v>2743.6999999999989</v>
      </c>
      <c r="P76" s="184">
        <v>9766.899999999996</v>
      </c>
      <c r="Q76" s="184">
        <v>588.5</v>
      </c>
      <c r="R76" s="184">
        <v>135.99999999999997</v>
      </c>
      <c r="S76" s="184">
        <v>746.09999999999991</v>
      </c>
      <c r="T76" s="184">
        <v>0</v>
      </c>
      <c r="U76" s="184">
        <v>4245.0999999999985</v>
      </c>
      <c r="V76" s="184">
        <v>0</v>
      </c>
      <c r="W76" s="184">
        <v>1107.2</v>
      </c>
      <c r="X76" s="184">
        <v>533.80000000000007</v>
      </c>
      <c r="Y76" s="184">
        <v>5609.0000000000018</v>
      </c>
      <c r="Z76" s="184"/>
      <c r="AA76" s="184">
        <v>357.50000000000017</v>
      </c>
      <c r="AB76" s="184">
        <v>1135.8999999999999</v>
      </c>
      <c r="AC76" s="184">
        <v>987</v>
      </c>
      <c r="AD76" s="184"/>
      <c r="AE76" s="184">
        <v>5380.9000000000015</v>
      </c>
      <c r="AF76" s="184"/>
      <c r="AG76" s="184">
        <v>8208.8833333333369</v>
      </c>
      <c r="AH76" s="184"/>
      <c r="AI76" s="184">
        <v>6371</v>
      </c>
      <c r="AJ76" s="184">
        <v>15023.800000000001</v>
      </c>
      <c r="AK76" s="184"/>
      <c r="AL76" s="184"/>
      <c r="AM76" s="184"/>
      <c r="AN76" s="184"/>
      <c r="AO76" s="184"/>
      <c r="AP76" s="184"/>
      <c r="AQ76" s="184"/>
      <c r="AR76" s="184">
        <v>1839</v>
      </c>
      <c r="AS76" s="184"/>
      <c r="AT76" s="184"/>
      <c r="AU76" s="184"/>
      <c r="AV76" s="184">
        <v>696.00000000000023</v>
      </c>
      <c r="AW76" s="184"/>
      <c r="AX76" s="184"/>
      <c r="AY76" s="184">
        <v>5461.7999999999993</v>
      </c>
      <c r="AZ76" s="184"/>
      <c r="BA76" s="184">
        <v>0</v>
      </c>
      <c r="BB76" s="184">
        <v>77.40000000000002</v>
      </c>
      <c r="BC76" s="184"/>
      <c r="BD76" s="184">
        <v>2353.8000000000002</v>
      </c>
      <c r="BE76" s="184">
        <v>22579.7</v>
      </c>
      <c r="BF76" s="184">
        <v>2785.6583333333342</v>
      </c>
      <c r="BG76" s="184"/>
      <c r="BH76" s="184">
        <v>3693.0583333333334</v>
      </c>
      <c r="BI76" s="184"/>
      <c r="BJ76" s="184">
        <v>1005.2999999999998</v>
      </c>
      <c r="BK76" s="184">
        <v>3604</v>
      </c>
      <c r="BL76" s="184">
        <v>856.20000000000016</v>
      </c>
      <c r="BM76" s="184">
        <v>456.19999999999987</v>
      </c>
      <c r="BN76" s="184">
        <v>10560.300000000001</v>
      </c>
      <c r="BO76" s="184">
        <v>0</v>
      </c>
      <c r="BP76" s="184">
        <v>110.29999999999997</v>
      </c>
      <c r="BQ76" s="184"/>
      <c r="BR76" s="184">
        <v>162.19999999999999</v>
      </c>
      <c r="BS76" s="184">
        <v>671.1</v>
      </c>
      <c r="BT76" s="184"/>
      <c r="BU76" s="184">
        <v>0</v>
      </c>
      <c r="BV76" s="184">
        <v>1104.0000000000002</v>
      </c>
      <c r="BW76" s="184">
        <v>354.09999999999997</v>
      </c>
      <c r="BX76" s="184">
        <v>103.80000000000003</v>
      </c>
      <c r="BY76" s="184">
        <v>1373.1</v>
      </c>
      <c r="BZ76" s="184">
        <v>0</v>
      </c>
      <c r="CA76" s="184">
        <v>0</v>
      </c>
      <c r="CB76" s="184">
        <v>1602.9999999999998</v>
      </c>
      <c r="CC76" s="184">
        <v>1344.1</v>
      </c>
      <c r="CD76" s="243" t="s">
        <v>237</v>
      </c>
      <c r="CE76" s="195">
        <v>170421</v>
      </c>
      <c r="CF76" s="195">
        <f>BE59-CE76</f>
        <v>0</v>
      </c>
    </row>
    <row r="77" spans="1:84" ht="12.6" customHeight="1" x14ac:dyDescent="0.25">
      <c r="A77" s="171" t="s">
        <v>266</v>
      </c>
      <c r="B77" s="175"/>
      <c r="C77" s="184">
        <v>3067.56</v>
      </c>
      <c r="D77" s="184"/>
      <c r="E77" s="184">
        <v>11898.32</v>
      </c>
      <c r="F77" s="184"/>
      <c r="G77" s="184"/>
      <c r="H77" s="184"/>
      <c r="I77" s="184"/>
      <c r="J77" s="184"/>
      <c r="K77" s="184"/>
      <c r="L77" s="184">
        <v>423.11</v>
      </c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3" t="s">
        <v>237</v>
      </c>
      <c r="AY77" s="243" t="s">
        <v>237</v>
      </c>
      <c r="AZ77" s="184"/>
      <c r="BA77" s="184"/>
      <c r="BB77" s="184"/>
      <c r="BC77" s="184"/>
      <c r="BD77" s="243" t="s">
        <v>237</v>
      </c>
      <c r="BE77" s="243" t="s">
        <v>237</v>
      </c>
      <c r="BF77" s="184"/>
      <c r="BG77" s="243" t="s">
        <v>237</v>
      </c>
      <c r="BH77" s="184"/>
      <c r="BI77" s="184"/>
      <c r="BJ77" s="243" t="s">
        <v>237</v>
      </c>
      <c r="BK77" s="184"/>
      <c r="BL77" s="184"/>
      <c r="BM77" s="184"/>
      <c r="BN77" s="243" t="s">
        <v>237</v>
      </c>
      <c r="BO77" s="243" t="s">
        <v>237</v>
      </c>
      <c r="BP77" s="243" t="s">
        <v>237</v>
      </c>
      <c r="BQ77" s="243" t="s">
        <v>237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3" t="s">
        <v>237</v>
      </c>
      <c r="CD77" s="243" t="s">
        <v>237</v>
      </c>
      <c r="CE77" s="195">
        <f>SUM(C77:CD77)</f>
        <v>15388.99</v>
      </c>
      <c r="CF77" s="195">
        <f>AY59-CE77</f>
        <v>1.0000000000218279E-2</v>
      </c>
    </row>
    <row r="78" spans="1:84" ht="12.6" customHeight="1" x14ac:dyDescent="0.25">
      <c r="A78" s="171" t="s">
        <v>267</v>
      </c>
      <c r="B78" s="175"/>
      <c r="C78" s="184">
        <v>4090.7541676821415</v>
      </c>
      <c r="D78" s="184">
        <v>0</v>
      </c>
      <c r="E78" s="184">
        <v>18634.73367586745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3550.4175923153521</v>
      </c>
      <c r="P78" s="184">
        <v>13402.522491661502</v>
      </c>
      <c r="Q78" s="184">
        <v>0</v>
      </c>
      <c r="R78" s="184">
        <v>0</v>
      </c>
      <c r="S78" s="184">
        <v>866.0101299691529</v>
      </c>
      <c r="T78" s="184">
        <v>0</v>
      </c>
      <c r="U78" s="184">
        <v>40.949130637625252</v>
      </c>
      <c r="V78" s="184">
        <v>0</v>
      </c>
      <c r="W78" s="184">
        <v>0</v>
      </c>
      <c r="X78" s="184">
        <v>0</v>
      </c>
      <c r="Y78" s="184">
        <v>10113.475522244118</v>
      </c>
      <c r="Z78" s="184">
        <v>0</v>
      </c>
      <c r="AA78" s="184">
        <v>0</v>
      </c>
      <c r="AB78" s="184">
        <v>0</v>
      </c>
      <c r="AC78" s="184">
        <v>0</v>
      </c>
      <c r="AD78" s="184">
        <v>0</v>
      </c>
      <c r="AE78" s="184">
        <v>7884.3072231583938</v>
      </c>
      <c r="AF78" s="184">
        <v>0</v>
      </c>
      <c r="AG78" s="184">
        <v>21104.158202366114</v>
      </c>
      <c r="AH78" s="184">
        <v>0</v>
      </c>
      <c r="AI78" s="184">
        <v>2853.6425413095099</v>
      </c>
      <c r="AJ78" s="184">
        <v>5461.2703837101626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3884.4089390784834</v>
      </c>
      <c r="AW78" s="184"/>
      <c r="AX78" s="243" t="s">
        <v>237</v>
      </c>
      <c r="AY78" s="243" t="s">
        <v>237</v>
      </c>
      <c r="AZ78" s="243" t="s">
        <v>237</v>
      </c>
      <c r="BA78" s="184"/>
      <c r="BB78" s="184"/>
      <c r="BC78" s="184"/>
      <c r="BD78" s="243" t="s">
        <v>237</v>
      </c>
      <c r="BE78" s="243" t="s">
        <v>237</v>
      </c>
      <c r="BF78" s="243" t="s">
        <v>237</v>
      </c>
      <c r="BG78" s="243" t="s">
        <v>237</v>
      </c>
      <c r="BH78" s="184"/>
      <c r="BI78" s="184"/>
      <c r="BJ78" s="243" t="s">
        <v>237</v>
      </c>
      <c r="BK78" s="184"/>
      <c r="BL78" s="184"/>
      <c r="BM78" s="184"/>
      <c r="BN78" s="243" t="s">
        <v>237</v>
      </c>
      <c r="BO78" s="243" t="s">
        <v>237</v>
      </c>
      <c r="BP78" s="243" t="s">
        <v>237</v>
      </c>
      <c r="BQ78" s="243" t="s">
        <v>237</v>
      </c>
      <c r="BR78" s="243" t="s">
        <v>237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3" t="s">
        <v>237</v>
      </c>
      <c r="CD78" s="243" t="s">
        <v>237</v>
      </c>
      <c r="CE78" s="195">
        <f t="shared" si="8"/>
        <v>91886.65</v>
      </c>
      <c r="CF78" s="195"/>
    </row>
    <row r="79" spans="1:84" ht="12.6" customHeight="1" x14ac:dyDescent="0.25">
      <c r="A79" s="171" t="s">
        <v>268</v>
      </c>
      <c r="B79" s="175"/>
      <c r="C79" s="184">
        <v>14235.889413067243</v>
      </c>
      <c r="D79" s="184">
        <v>0</v>
      </c>
      <c r="E79" s="184">
        <v>64849.168876339558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12355.509557067355</v>
      </c>
      <c r="P79" s="184">
        <v>46640.990933842113</v>
      </c>
      <c r="Q79" s="184">
        <v>0</v>
      </c>
      <c r="R79" s="184">
        <v>0</v>
      </c>
      <c r="S79" s="184">
        <v>3013.7289936007687</v>
      </c>
      <c r="T79" s="184">
        <v>0</v>
      </c>
      <c r="U79" s="184">
        <v>142.50362437417746</v>
      </c>
      <c r="V79" s="184">
        <v>0</v>
      </c>
      <c r="W79" s="184">
        <v>0</v>
      </c>
      <c r="X79" s="184">
        <v>0</v>
      </c>
      <c r="Y79" s="184">
        <v>35195.055291725563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27437.514239856278</v>
      </c>
      <c r="AF79" s="184">
        <v>0</v>
      </c>
      <c r="AG79" s="184">
        <v>73442.805411841706</v>
      </c>
      <c r="AH79" s="184">
        <v>0</v>
      </c>
      <c r="AI79" s="184">
        <v>9930.7213235754916</v>
      </c>
      <c r="AJ79" s="184">
        <v>19005.307591340497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13517.804743369241</v>
      </c>
      <c r="AW79" s="184"/>
      <c r="AX79" s="243" t="s">
        <v>237</v>
      </c>
      <c r="AY79" s="243" t="s">
        <v>237</v>
      </c>
      <c r="AZ79" s="243" t="s">
        <v>237</v>
      </c>
      <c r="BA79" s="243" t="s">
        <v>237</v>
      </c>
      <c r="BB79" s="184"/>
      <c r="BC79" s="184"/>
      <c r="BD79" s="243" t="s">
        <v>237</v>
      </c>
      <c r="BE79" s="243" t="s">
        <v>237</v>
      </c>
      <c r="BF79" s="243" t="s">
        <v>237</v>
      </c>
      <c r="BG79" s="243" t="s">
        <v>237</v>
      </c>
      <c r="BH79" s="184"/>
      <c r="BI79" s="184"/>
      <c r="BJ79" s="243" t="s">
        <v>237</v>
      </c>
      <c r="BK79" s="184"/>
      <c r="BL79" s="184"/>
      <c r="BM79" s="184"/>
      <c r="BN79" s="243" t="s">
        <v>237</v>
      </c>
      <c r="BO79" s="243" t="s">
        <v>237</v>
      </c>
      <c r="BP79" s="243" t="s">
        <v>237</v>
      </c>
      <c r="BQ79" s="243" t="s">
        <v>237</v>
      </c>
      <c r="BR79" s="243" t="s">
        <v>237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3" t="s">
        <v>237</v>
      </c>
      <c r="CD79" s="243" t="s">
        <v>237</v>
      </c>
      <c r="CE79" s="195">
        <f t="shared" si="8"/>
        <v>319766.99999999994</v>
      </c>
      <c r="CF79" s="195">
        <f>BA59</f>
        <v>0</v>
      </c>
    </row>
    <row r="80" spans="1:84" ht="21" customHeight="1" x14ac:dyDescent="0.25">
      <c r="A80" s="171" t="s">
        <v>269</v>
      </c>
      <c r="B80" s="175"/>
      <c r="C80" s="186">
        <v>30.530961538461451</v>
      </c>
      <c r="D80" s="186"/>
      <c r="E80" s="186">
        <v>79.940423076923992</v>
      </c>
      <c r="F80" s="186"/>
      <c r="G80" s="186"/>
      <c r="H80" s="186"/>
      <c r="I80" s="186"/>
      <c r="J80" s="186"/>
      <c r="K80" s="186"/>
      <c r="L80" s="186"/>
      <c r="M80" s="186"/>
      <c r="N80" s="186">
        <v>0</v>
      </c>
      <c r="O80" s="186">
        <v>21.578990384615349</v>
      </c>
      <c r="P80" s="186">
        <v>22.351139423076891</v>
      </c>
      <c r="Q80" s="186">
        <v>1.7877403846153843</v>
      </c>
      <c r="R80" s="186">
        <v>0</v>
      </c>
      <c r="S80" s="186">
        <v>1.9084374999999993</v>
      </c>
      <c r="T80" s="186"/>
      <c r="U80" s="186">
        <v>36.992389423076901</v>
      </c>
      <c r="V80" s="186">
        <v>1.0060144230769232</v>
      </c>
      <c r="W80" s="186">
        <v>1.508701923076923</v>
      </c>
      <c r="X80" s="186">
        <v>2.4995192307692293</v>
      </c>
      <c r="Y80" s="186">
        <v>27.011874999999975</v>
      </c>
      <c r="Z80" s="186"/>
      <c r="AA80" s="186">
        <v>0.63019230769230761</v>
      </c>
      <c r="AB80" s="186">
        <v>10.452139423076947</v>
      </c>
      <c r="AC80" s="186">
        <v>11.980086538461556</v>
      </c>
      <c r="AD80" s="186"/>
      <c r="AE80" s="186">
        <v>31.615975961538354</v>
      </c>
      <c r="AF80" s="186"/>
      <c r="AG80" s="186">
        <v>46.756264423077091</v>
      </c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3" t="s">
        <v>237</v>
      </c>
      <c r="AX80" s="243" t="s">
        <v>237</v>
      </c>
      <c r="AY80" s="243" t="s">
        <v>237</v>
      </c>
      <c r="AZ80" s="243" t="s">
        <v>237</v>
      </c>
      <c r="BA80" s="243" t="s">
        <v>237</v>
      </c>
      <c r="BB80" s="243" t="s">
        <v>237</v>
      </c>
      <c r="BC80" s="243" t="s">
        <v>237</v>
      </c>
      <c r="BD80" s="243" t="s">
        <v>237</v>
      </c>
      <c r="BE80" s="243" t="s">
        <v>237</v>
      </c>
      <c r="BF80" s="243" t="s">
        <v>237</v>
      </c>
      <c r="BG80" s="243" t="s">
        <v>237</v>
      </c>
      <c r="BH80" s="243" t="s">
        <v>237</v>
      </c>
      <c r="BI80" s="243" t="s">
        <v>237</v>
      </c>
      <c r="BJ80" s="243" t="s">
        <v>237</v>
      </c>
      <c r="BK80" s="243" t="s">
        <v>237</v>
      </c>
      <c r="BL80" s="243" t="s">
        <v>237</v>
      </c>
      <c r="BM80" s="243" t="s">
        <v>237</v>
      </c>
      <c r="BN80" s="243" t="s">
        <v>237</v>
      </c>
      <c r="BO80" s="243" t="s">
        <v>237</v>
      </c>
      <c r="BP80" s="243" t="s">
        <v>237</v>
      </c>
      <c r="BQ80" s="243" t="s">
        <v>237</v>
      </c>
      <c r="BR80" s="243" t="s">
        <v>237</v>
      </c>
      <c r="BS80" s="243" t="s">
        <v>237</v>
      </c>
      <c r="BT80" s="243" t="s">
        <v>237</v>
      </c>
      <c r="BU80" s="248"/>
      <c r="BV80" s="248"/>
      <c r="BW80" s="248"/>
      <c r="BX80" s="248"/>
      <c r="BY80" s="248"/>
      <c r="BZ80" s="248"/>
      <c r="CA80" s="248"/>
      <c r="CB80" s="248"/>
      <c r="CC80" s="243" t="s">
        <v>237</v>
      </c>
      <c r="CD80" s="243" t="s">
        <v>237</v>
      </c>
      <c r="CE80" s="249">
        <f t="shared" si="8"/>
        <v>328.55085096153925</v>
      </c>
      <c r="CF80" s="249"/>
    </row>
    <row r="81" spans="1:5" ht="12.6" customHeight="1" x14ac:dyDescent="0.25">
      <c r="A81" s="205" t="s">
        <v>270</v>
      </c>
      <c r="B81" s="205"/>
      <c r="C81" s="205"/>
      <c r="D81" s="205"/>
      <c r="E81" s="205"/>
    </row>
    <row r="82" spans="1:5" ht="12.6" customHeight="1" x14ac:dyDescent="0.25">
      <c r="A82" s="171" t="s">
        <v>271</v>
      </c>
      <c r="B82" s="172"/>
      <c r="C82" s="269" t="s">
        <v>1013</v>
      </c>
      <c r="D82" s="250"/>
      <c r="E82" s="175"/>
    </row>
    <row r="83" spans="1:5" ht="12.6" customHeight="1" x14ac:dyDescent="0.25">
      <c r="A83" s="173" t="s">
        <v>273</v>
      </c>
      <c r="B83" s="172" t="s">
        <v>274</v>
      </c>
      <c r="C83" s="221" t="s">
        <v>275</v>
      </c>
      <c r="D83" s="250"/>
      <c r="E83" s="175"/>
    </row>
    <row r="84" spans="1:5" ht="12.6" customHeight="1" x14ac:dyDescent="0.25">
      <c r="A84" s="173" t="s">
        <v>276</v>
      </c>
      <c r="B84" s="172" t="s">
        <v>274</v>
      </c>
      <c r="C84" s="224" t="s">
        <v>277</v>
      </c>
      <c r="D84" s="202"/>
      <c r="E84" s="201"/>
    </row>
    <row r="85" spans="1:5" ht="12.6" customHeight="1" x14ac:dyDescent="0.25">
      <c r="A85" s="173" t="s">
        <v>278</v>
      </c>
      <c r="B85" s="172"/>
      <c r="C85" s="264" t="s">
        <v>279</v>
      </c>
      <c r="D85" s="202"/>
      <c r="E85" s="201"/>
    </row>
    <row r="86" spans="1:5" ht="12.6" customHeight="1" x14ac:dyDescent="0.25">
      <c r="A86" s="173" t="s">
        <v>280</v>
      </c>
      <c r="B86" s="172" t="s">
        <v>274</v>
      </c>
      <c r="C86" s="264" t="s">
        <v>1014</v>
      </c>
      <c r="D86" s="202"/>
      <c r="E86" s="201"/>
    </row>
    <row r="87" spans="1:5" ht="12.6" customHeight="1" x14ac:dyDescent="0.25">
      <c r="A87" s="173" t="s">
        <v>281</v>
      </c>
      <c r="B87" s="172" t="s">
        <v>274</v>
      </c>
      <c r="C87" s="224" t="s">
        <v>282</v>
      </c>
      <c r="D87" s="202"/>
      <c r="E87" s="201"/>
    </row>
    <row r="88" spans="1:5" ht="12.6" customHeight="1" x14ac:dyDescent="0.25">
      <c r="A88" s="173" t="s">
        <v>283</v>
      </c>
      <c r="B88" s="172" t="s">
        <v>274</v>
      </c>
      <c r="C88" s="224" t="s">
        <v>284</v>
      </c>
      <c r="D88" s="202"/>
      <c r="E88" s="201"/>
    </row>
    <row r="89" spans="1:5" ht="12.6" customHeight="1" x14ac:dyDescent="0.25">
      <c r="A89" s="173" t="s">
        <v>285</v>
      </c>
      <c r="B89" s="172" t="s">
        <v>274</v>
      </c>
      <c r="C89" s="224" t="s">
        <v>286</v>
      </c>
      <c r="D89" s="202"/>
      <c r="E89" s="201"/>
    </row>
    <row r="90" spans="1:5" ht="12.6" customHeight="1" x14ac:dyDescent="0.25">
      <c r="A90" s="173" t="s">
        <v>287</v>
      </c>
      <c r="B90" s="172" t="s">
        <v>274</v>
      </c>
      <c r="C90" s="224" t="s">
        <v>288</v>
      </c>
      <c r="D90" s="202"/>
      <c r="E90" s="201"/>
    </row>
    <row r="91" spans="1:5" ht="12.6" customHeight="1" x14ac:dyDescent="0.25">
      <c r="A91" s="173" t="s">
        <v>289</v>
      </c>
      <c r="B91" s="172" t="s">
        <v>274</v>
      </c>
      <c r="C91" s="224" t="s">
        <v>290</v>
      </c>
      <c r="D91" s="202"/>
      <c r="E91" s="201"/>
    </row>
    <row r="92" spans="1:5" ht="12.6" customHeight="1" x14ac:dyDescent="0.25">
      <c r="A92" s="173" t="s">
        <v>291</v>
      </c>
      <c r="B92" s="172" t="s">
        <v>274</v>
      </c>
      <c r="C92" s="220" t="s">
        <v>292</v>
      </c>
      <c r="D92" s="250"/>
      <c r="E92" s="175"/>
    </row>
    <row r="93" spans="1:5" ht="12.6" customHeight="1" x14ac:dyDescent="0.25">
      <c r="A93" s="173" t="s">
        <v>293</v>
      </c>
      <c r="B93" s="172" t="s">
        <v>274</v>
      </c>
      <c r="C93" s="273" t="s">
        <v>294</v>
      </c>
      <c r="D93" s="250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5" t="s">
        <v>295</v>
      </c>
      <c r="B95" s="205"/>
      <c r="C95" s="205"/>
      <c r="D95" s="205"/>
      <c r="E95" s="205"/>
    </row>
    <row r="96" spans="1:5" ht="12.6" customHeight="1" x14ac:dyDescent="0.25">
      <c r="A96" s="251" t="s">
        <v>296</v>
      </c>
      <c r="B96" s="251"/>
      <c r="C96" s="251"/>
      <c r="D96" s="251"/>
      <c r="E96" s="251"/>
    </row>
    <row r="97" spans="1:5" ht="12.6" customHeight="1" x14ac:dyDescent="0.25">
      <c r="A97" s="173" t="s">
        <v>297</v>
      </c>
      <c r="B97" s="172" t="s">
        <v>274</v>
      </c>
      <c r="C97" s="189"/>
      <c r="D97" s="175"/>
      <c r="E97" s="175"/>
    </row>
    <row r="98" spans="1:5" ht="12.6" customHeight="1" x14ac:dyDescent="0.25">
      <c r="A98" s="173" t="s">
        <v>283</v>
      </c>
      <c r="B98" s="172" t="s">
        <v>274</v>
      </c>
      <c r="C98" s="189"/>
      <c r="D98" s="175"/>
      <c r="E98" s="175"/>
    </row>
    <row r="99" spans="1:5" ht="12.6" customHeight="1" x14ac:dyDescent="0.25">
      <c r="A99" s="173" t="s">
        <v>298</v>
      </c>
      <c r="B99" s="172" t="s">
        <v>274</v>
      </c>
      <c r="C99" s="189">
        <v>1</v>
      </c>
      <c r="D99" s="175"/>
      <c r="E99" s="175"/>
    </row>
    <row r="100" spans="1:5" ht="12.6" customHeight="1" x14ac:dyDescent="0.25">
      <c r="A100" s="251" t="s">
        <v>299</v>
      </c>
      <c r="B100" s="251"/>
      <c r="C100" s="251"/>
      <c r="D100" s="251"/>
      <c r="E100" s="251"/>
    </row>
    <row r="101" spans="1:5" ht="12.6" customHeight="1" x14ac:dyDescent="0.25">
      <c r="A101" s="173" t="s">
        <v>300</v>
      </c>
      <c r="B101" s="172" t="s">
        <v>274</v>
      </c>
      <c r="C101" s="189"/>
      <c r="D101" s="175"/>
      <c r="E101" s="175"/>
    </row>
    <row r="102" spans="1:5" ht="12.6" customHeight="1" x14ac:dyDescent="0.25">
      <c r="A102" s="173" t="s">
        <v>148</v>
      </c>
      <c r="B102" s="172" t="s">
        <v>274</v>
      </c>
      <c r="C102" s="217"/>
      <c r="D102" s="175"/>
      <c r="E102" s="175"/>
    </row>
    <row r="103" spans="1:5" ht="12.6" customHeight="1" x14ac:dyDescent="0.25">
      <c r="A103" s="251" t="s">
        <v>301</v>
      </c>
      <c r="B103" s="251"/>
      <c r="C103" s="251"/>
      <c r="D103" s="251"/>
      <c r="E103" s="251"/>
    </row>
    <row r="104" spans="1:5" ht="12.6" customHeight="1" x14ac:dyDescent="0.25">
      <c r="A104" s="173" t="s">
        <v>302</v>
      </c>
      <c r="B104" s="172" t="s">
        <v>274</v>
      </c>
      <c r="C104" s="189"/>
      <c r="D104" s="175"/>
      <c r="E104" s="175"/>
    </row>
    <row r="105" spans="1:5" ht="12.6" customHeight="1" x14ac:dyDescent="0.25">
      <c r="A105" s="173" t="s">
        <v>303</v>
      </c>
      <c r="B105" s="172" t="s">
        <v>274</v>
      </c>
      <c r="C105" s="189"/>
      <c r="D105" s="175"/>
      <c r="E105" s="175"/>
    </row>
    <row r="106" spans="1:5" ht="12.6" customHeight="1" x14ac:dyDescent="0.25">
      <c r="A106" s="173" t="s">
        <v>304</v>
      </c>
      <c r="B106" s="172" t="s">
        <v>274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4" t="s">
        <v>305</v>
      </c>
      <c r="B108" s="205"/>
      <c r="C108" s="205"/>
      <c r="D108" s="205"/>
      <c r="E108" s="205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306</v>
      </c>
      <c r="B110" s="175"/>
      <c r="C110" s="182" t="s">
        <v>307</v>
      </c>
      <c r="D110" s="170" t="s">
        <v>231</v>
      </c>
      <c r="E110" s="175"/>
    </row>
    <row r="111" spans="1:5" ht="12.6" customHeight="1" x14ac:dyDescent="0.25">
      <c r="A111" s="173" t="s">
        <v>308</v>
      </c>
      <c r="B111" s="172" t="s">
        <v>274</v>
      </c>
      <c r="C111" s="189">
        <f>1524-23</f>
        <v>1501</v>
      </c>
      <c r="D111" s="174">
        <f>4722-124</f>
        <v>4598</v>
      </c>
      <c r="E111" s="175"/>
    </row>
    <row r="112" spans="1:5" ht="12.6" customHeight="1" x14ac:dyDescent="0.25">
      <c r="A112" s="173" t="s">
        <v>309</v>
      </c>
      <c r="B112" s="172" t="s">
        <v>274</v>
      </c>
      <c r="C112" s="189">
        <v>23</v>
      </c>
      <c r="D112" s="174">
        <v>124</v>
      </c>
      <c r="E112" s="175"/>
    </row>
    <row r="113" spans="1:5" ht="12.6" customHeight="1" x14ac:dyDescent="0.25">
      <c r="A113" s="173" t="s">
        <v>310</v>
      </c>
      <c r="B113" s="172" t="s">
        <v>274</v>
      </c>
      <c r="C113" s="189"/>
      <c r="D113" s="174"/>
      <c r="E113" s="175"/>
    </row>
    <row r="114" spans="1:5" ht="12.6" customHeight="1" x14ac:dyDescent="0.25">
      <c r="A114" s="173" t="s">
        <v>311</v>
      </c>
      <c r="B114" s="172" t="s">
        <v>274</v>
      </c>
      <c r="C114" s="189">
        <v>113</v>
      </c>
      <c r="D114" s="174">
        <v>278</v>
      </c>
      <c r="E114" s="175"/>
    </row>
    <row r="115" spans="1:5" ht="12.6" customHeight="1" x14ac:dyDescent="0.25">
      <c r="A115" s="171" t="s">
        <v>312</v>
      </c>
      <c r="B115" s="175"/>
      <c r="C115" s="182" t="s">
        <v>183</v>
      </c>
      <c r="D115" s="175"/>
      <c r="E115" s="175"/>
    </row>
    <row r="116" spans="1:5" ht="12.6" customHeight="1" x14ac:dyDescent="0.25">
      <c r="A116" s="173" t="s">
        <v>313</v>
      </c>
      <c r="B116" s="172" t="s">
        <v>274</v>
      </c>
      <c r="C116" s="189">
        <v>6</v>
      </c>
      <c r="D116" s="175"/>
      <c r="E116" s="175"/>
    </row>
    <row r="117" spans="1:5" ht="12.6" customHeight="1" x14ac:dyDescent="0.25">
      <c r="A117" s="173" t="s">
        <v>314</v>
      </c>
      <c r="B117" s="172" t="s">
        <v>274</v>
      </c>
      <c r="C117" s="189"/>
      <c r="D117" s="175"/>
      <c r="E117" s="175"/>
    </row>
    <row r="118" spans="1:5" ht="12.6" customHeight="1" x14ac:dyDescent="0.25">
      <c r="A118" s="173" t="s">
        <v>315</v>
      </c>
      <c r="B118" s="172" t="s">
        <v>274</v>
      </c>
      <c r="C118" s="189">
        <v>10</v>
      </c>
      <c r="D118" s="175"/>
      <c r="E118" s="175"/>
    </row>
    <row r="119" spans="1:5" ht="12.6" customHeight="1" x14ac:dyDescent="0.25">
      <c r="A119" s="173" t="s">
        <v>316</v>
      </c>
      <c r="B119" s="172" t="s">
        <v>274</v>
      </c>
      <c r="C119" s="189"/>
      <c r="D119" s="175"/>
      <c r="E119" s="175"/>
    </row>
    <row r="120" spans="1:5" ht="12.6" customHeight="1" x14ac:dyDescent="0.25">
      <c r="A120" s="173" t="s">
        <v>317</v>
      </c>
      <c r="B120" s="172" t="s">
        <v>274</v>
      </c>
      <c r="C120" s="189">
        <v>4</v>
      </c>
      <c r="D120" s="175"/>
      <c r="E120" s="175"/>
    </row>
    <row r="121" spans="1:5" ht="12.6" customHeight="1" x14ac:dyDescent="0.25">
      <c r="A121" s="173" t="s">
        <v>318</v>
      </c>
      <c r="B121" s="172" t="s">
        <v>274</v>
      </c>
      <c r="C121" s="189"/>
      <c r="D121" s="175"/>
      <c r="E121" s="175"/>
    </row>
    <row r="122" spans="1:5" ht="12.6" customHeight="1" x14ac:dyDescent="0.25">
      <c r="A122" s="173" t="s">
        <v>112</v>
      </c>
      <c r="B122" s="172" t="s">
        <v>274</v>
      </c>
      <c r="C122" s="189"/>
      <c r="D122" s="175"/>
      <c r="E122" s="175"/>
    </row>
    <row r="123" spans="1:5" ht="12.6" customHeight="1" x14ac:dyDescent="0.25">
      <c r="A123" s="173" t="s">
        <v>319</v>
      </c>
      <c r="B123" s="172" t="s">
        <v>274</v>
      </c>
      <c r="C123" s="189">
        <v>5</v>
      </c>
      <c r="D123" s="175"/>
      <c r="E123" s="175"/>
    </row>
    <row r="124" spans="1:5" ht="12.6" customHeight="1" x14ac:dyDescent="0.25">
      <c r="A124" s="173" t="s">
        <v>320</v>
      </c>
      <c r="B124" s="172"/>
      <c r="C124" s="189"/>
      <c r="D124" s="175"/>
      <c r="E124" s="175"/>
    </row>
    <row r="125" spans="1:5" ht="12.6" customHeight="1" x14ac:dyDescent="0.25">
      <c r="A125" s="173" t="s">
        <v>310</v>
      </c>
      <c r="B125" s="172" t="s">
        <v>274</v>
      </c>
      <c r="C125" s="189"/>
      <c r="D125" s="175"/>
      <c r="E125" s="175"/>
    </row>
    <row r="126" spans="1:5" ht="12.6" customHeight="1" x14ac:dyDescent="0.25">
      <c r="A126" s="173" t="s">
        <v>321</v>
      </c>
      <c r="B126" s="172" t="s">
        <v>274</v>
      </c>
      <c r="C126" s="189"/>
      <c r="D126" s="175"/>
      <c r="E126" s="175"/>
    </row>
    <row r="127" spans="1:5" ht="12.6" customHeight="1" x14ac:dyDescent="0.25">
      <c r="A127" s="173" t="s">
        <v>322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323</v>
      </c>
      <c r="B128" s="172" t="s">
        <v>274</v>
      </c>
      <c r="C128" s="189">
        <v>4</v>
      </c>
      <c r="D128" s="175"/>
      <c r="E128" s="175"/>
    </row>
    <row r="129" spans="1:6" ht="12.6" customHeight="1" x14ac:dyDescent="0.25">
      <c r="A129" s="173" t="s">
        <v>324</v>
      </c>
      <c r="B129" s="172" t="s">
        <v>274</v>
      </c>
      <c r="C129" s="189">
        <v>4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325</v>
      </c>
      <c r="B131" s="172" t="s">
        <v>274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326</v>
      </c>
      <c r="B136" s="204"/>
      <c r="C136" s="204"/>
      <c r="D136" s="204"/>
      <c r="E136" s="204"/>
    </row>
    <row r="137" spans="1:6" ht="12.6" customHeight="1" x14ac:dyDescent="0.25">
      <c r="A137" s="252" t="s">
        <v>327</v>
      </c>
      <c r="B137" s="176" t="s">
        <v>328</v>
      </c>
      <c r="C137" s="192" t="s">
        <v>329</v>
      </c>
      <c r="D137" s="176" t="s">
        <v>148</v>
      </c>
      <c r="E137" s="176" t="s">
        <v>219</v>
      </c>
    </row>
    <row r="138" spans="1:6" ht="12.6" customHeight="1" x14ac:dyDescent="0.25">
      <c r="A138" s="173" t="s">
        <v>307</v>
      </c>
      <c r="B138" s="174">
        <f>979+32-23</f>
        <v>988</v>
      </c>
      <c r="C138" s="189">
        <f>32+202-C144</f>
        <v>234</v>
      </c>
      <c r="D138" s="174">
        <f>242+19+2+16-D144</f>
        <v>279</v>
      </c>
      <c r="E138" s="175">
        <f>SUM(B138:D138)</f>
        <v>1501</v>
      </c>
    </row>
    <row r="139" spans="1:6" ht="12.6" customHeight="1" x14ac:dyDescent="0.25">
      <c r="A139" s="173" t="s">
        <v>231</v>
      </c>
      <c r="B139" s="174">
        <f>3241-124</f>
        <v>3117</v>
      </c>
      <c r="C139" s="189">
        <f>768</f>
        <v>768</v>
      </c>
      <c r="D139" s="174">
        <v>713</v>
      </c>
      <c r="E139" s="175">
        <f>SUM(B139:D139)</f>
        <v>4598</v>
      </c>
    </row>
    <row r="140" spans="1:6" ht="12.6" customHeight="1" x14ac:dyDescent="0.25">
      <c r="A140" s="173" t="s">
        <v>330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262</v>
      </c>
      <c r="B141" s="174">
        <v>29328030</v>
      </c>
      <c r="C141" s="189">
        <v>7162018</v>
      </c>
      <c r="D141" s="174">
        <v>7875274</v>
      </c>
      <c r="E141" s="175">
        <f>SUM(B141:D141)</f>
        <v>44365322</v>
      </c>
      <c r="F141" s="199"/>
    </row>
    <row r="142" spans="1:6" ht="12.6" customHeight="1" x14ac:dyDescent="0.25">
      <c r="A142" s="173" t="s">
        <v>263</v>
      </c>
      <c r="B142" s="174">
        <v>103866767</v>
      </c>
      <c r="C142" s="189">
        <v>28633533</v>
      </c>
      <c r="D142" s="174">
        <v>50330148</v>
      </c>
      <c r="E142" s="175">
        <f>SUM(B142:D142)</f>
        <v>182830448</v>
      </c>
      <c r="F142" s="199"/>
    </row>
    <row r="143" spans="1:6" ht="12.6" customHeight="1" x14ac:dyDescent="0.25">
      <c r="A143" s="252" t="s">
        <v>331</v>
      </c>
      <c r="B143" s="176" t="s">
        <v>328</v>
      </c>
      <c r="C143" s="192" t="s">
        <v>329</v>
      </c>
      <c r="D143" s="176" t="s">
        <v>148</v>
      </c>
      <c r="E143" s="176" t="s">
        <v>219</v>
      </c>
    </row>
    <row r="144" spans="1:6" ht="12.6" customHeight="1" x14ac:dyDescent="0.25">
      <c r="A144" s="173" t="s">
        <v>307</v>
      </c>
      <c r="B144" s="174">
        <v>23</v>
      </c>
      <c r="C144" s="189">
        <v>0</v>
      </c>
      <c r="D144" s="174">
        <v>0</v>
      </c>
      <c r="E144" s="175">
        <f>SUM(B144:D144)</f>
        <v>23</v>
      </c>
    </row>
    <row r="145" spans="1:5" ht="12.6" customHeight="1" x14ac:dyDescent="0.25">
      <c r="A145" s="173" t="s">
        <v>231</v>
      </c>
      <c r="B145" s="174">
        <v>124</v>
      </c>
      <c r="C145" s="189">
        <v>0</v>
      </c>
      <c r="D145" s="174">
        <v>0</v>
      </c>
      <c r="E145" s="175">
        <f>SUM(B145:D145)</f>
        <v>124</v>
      </c>
    </row>
    <row r="146" spans="1:5" ht="12.6" customHeight="1" x14ac:dyDescent="0.25">
      <c r="A146" s="173" t="s">
        <v>330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262</v>
      </c>
      <c r="B147" s="174">
        <v>150565</v>
      </c>
      <c r="C147" s="189">
        <v>21073</v>
      </c>
      <c r="D147" s="174">
        <v>0</v>
      </c>
      <c r="E147" s="175">
        <f>SUM(B147:D147)</f>
        <v>171638</v>
      </c>
    </row>
    <row r="148" spans="1:5" ht="12.6" customHeight="1" x14ac:dyDescent="0.25">
      <c r="A148" s="173" t="s">
        <v>263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2" t="s">
        <v>332</v>
      </c>
      <c r="B149" s="176" t="s">
        <v>328</v>
      </c>
      <c r="C149" s="192" t="s">
        <v>329</v>
      </c>
      <c r="D149" s="176" t="s">
        <v>148</v>
      </c>
      <c r="E149" s="176" t="s">
        <v>219</v>
      </c>
    </row>
    <row r="150" spans="1:5" ht="12.6" customHeight="1" x14ac:dyDescent="0.25">
      <c r="A150" s="173" t="s">
        <v>307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231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330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262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263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2" t="s">
        <v>333</v>
      </c>
      <c r="B156" s="176" t="s">
        <v>334</v>
      </c>
      <c r="C156" s="192" t="s">
        <v>335</v>
      </c>
      <c r="D156" s="175"/>
      <c r="E156" s="175"/>
    </row>
    <row r="157" spans="1:5" ht="12.6" customHeight="1" x14ac:dyDescent="0.25">
      <c r="A157" s="177" t="s">
        <v>336</v>
      </c>
      <c r="B157" s="174">
        <v>24611764</v>
      </c>
      <c r="C157" s="174">
        <v>10576957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337</v>
      </c>
      <c r="B163" s="205"/>
      <c r="C163" s="205"/>
      <c r="D163" s="205"/>
      <c r="E163" s="205"/>
    </row>
    <row r="164" spans="1:5" ht="11.4" customHeight="1" x14ac:dyDescent="0.25">
      <c r="A164" s="251" t="s">
        <v>338</v>
      </c>
      <c r="B164" s="251"/>
      <c r="C164" s="251"/>
      <c r="D164" s="251"/>
      <c r="E164" s="251"/>
    </row>
    <row r="165" spans="1:5" ht="11.4" customHeight="1" x14ac:dyDescent="0.25">
      <c r="A165" s="173" t="s">
        <v>339</v>
      </c>
      <c r="B165" s="172" t="s">
        <v>274</v>
      </c>
      <c r="C165" s="189">
        <v>4031359</v>
      </c>
      <c r="D165" s="175"/>
      <c r="E165" s="175"/>
    </row>
    <row r="166" spans="1:5" ht="11.4" customHeight="1" x14ac:dyDescent="0.25">
      <c r="A166" s="173" t="s">
        <v>340</v>
      </c>
      <c r="B166" s="172" t="s">
        <v>274</v>
      </c>
      <c r="C166" s="189">
        <v>-16455</v>
      </c>
      <c r="D166" s="175"/>
      <c r="E166" s="175"/>
    </row>
    <row r="167" spans="1:5" ht="11.4" customHeight="1" x14ac:dyDescent="0.25">
      <c r="A167" s="177" t="s">
        <v>341</v>
      </c>
      <c r="B167" s="172" t="s">
        <v>274</v>
      </c>
      <c r="C167" s="189">
        <f>240837+530</f>
        <v>241367</v>
      </c>
      <c r="D167" s="175"/>
      <c r="E167" s="175"/>
    </row>
    <row r="168" spans="1:5" ht="11.4" customHeight="1" x14ac:dyDescent="0.25">
      <c r="A168" s="173" t="s">
        <v>342</v>
      </c>
      <c r="B168" s="172" t="s">
        <v>274</v>
      </c>
      <c r="C168" s="189">
        <v>6806370</v>
      </c>
      <c r="D168" s="175"/>
      <c r="E168" s="175"/>
    </row>
    <row r="169" spans="1:5" ht="11.4" customHeight="1" x14ac:dyDescent="0.25">
      <c r="A169" s="173" t="s">
        <v>343</v>
      </c>
      <c r="B169" s="172" t="s">
        <v>274</v>
      </c>
      <c r="C169" s="189">
        <v>100043</v>
      </c>
      <c r="D169" s="175"/>
      <c r="E169" s="175"/>
    </row>
    <row r="170" spans="1:5" ht="11.4" customHeight="1" x14ac:dyDescent="0.25">
      <c r="A170" s="173" t="s">
        <v>344</v>
      </c>
      <c r="B170" s="172" t="s">
        <v>274</v>
      </c>
      <c r="C170" s="189">
        <v>2077852</v>
      </c>
      <c r="D170" s="175"/>
      <c r="E170" s="175"/>
    </row>
    <row r="171" spans="1:5" ht="11.4" customHeight="1" x14ac:dyDescent="0.25">
      <c r="A171" s="173" t="s">
        <v>345</v>
      </c>
      <c r="B171" s="172" t="s">
        <v>274</v>
      </c>
      <c r="C171" s="189">
        <v>16627</v>
      </c>
      <c r="D171" s="175"/>
      <c r="E171" s="175"/>
    </row>
    <row r="172" spans="1:5" ht="11.4" customHeight="1" x14ac:dyDescent="0.25">
      <c r="A172" s="173" t="s">
        <v>345</v>
      </c>
      <c r="B172" s="172" t="s">
        <v>274</v>
      </c>
      <c r="C172" s="189">
        <v>242165</v>
      </c>
      <c r="D172" s="175"/>
      <c r="E172" s="175"/>
    </row>
    <row r="173" spans="1:5" ht="11.4" customHeight="1" x14ac:dyDescent="0.25">
      <c r="A173" s="173" t="s">
        <v>219</v>
      </c>
      <c r="B173" s="175"/>
      <c r="C173" s="191"/>
      <c r="D173" s="175">
        <f>SUM(C165:C172)</f>
        <v>13499328</v>
      </c>
      <c r="E173" s="175"/>
    </row>
    <row r="174" spans="1:5" ht="11.4" customHeight="1" x14ac:dyDescent="0.25">
      <c r="A174" s="251" t="s">
        <v>346</v>
      </c>
      <c r="B174" s="251"/>
      <c r="C174" s="251"/>
      <c r="D174" s="251"/>
      <c r="E174" s="251"/>
    </row>
    <row r="175" spans="1:5" ht="11.4" customHeight="1" x14ac:dyDescent="0.25">
      <c r="A175" s="173" t="s">
        <v>347</v>
      </c>
      <c r="B175" s="172" t="s">
        <v>274</v>
      </c>
      <c r="C175" s="189">
        <v>576463</v>
      </c>
      <c r="D175" s="175"/>
      <c r="E175" s="175"/>
    </row>
    <row r="176" spans="1:5" ht="11.4" customHeight="1" x14ac:dyDescent="0.25">
      <c r="A176" s="173" t="s">
        <v>348</v>
      </c>
      <c r="B176" s="172" t="s">
        <v>274</v>
      </c>
      <c r="C176" s="189">
        <v>970884</v>
      </c>
      <c r="D176" s="175"/>
      <c r="E176" s="175"/>
    </row>
    <row r="177" spans="1:5" ht="11.4" customHeight="1" x14ac:dyDescent="0.25">
      <c r="A177" s="173" t="s">
        <v>219</v>
      </c>
      <c r="B177" s="175"/>
      <c r="C177" s="191"/>
      <c r="D177" s="175">
        <f>SUM(C175:C176)</f>
        <v>1547347</v>
      </c>
      <c r="E177" s="175"/>
    </row>
    <row r="178" spans="1:5" ht="11.4" customHeight="1" x14ac:dyDescent="0.25">
      <c r="A178" s="251" t="s">
        <v>349</v>
      </c>
      <c r="B178" s="251"/>
      <c r="C178" s="251"/>
      <c r="D178" s="251"/>
      <c r="E178" s="251"/>
    </row>
    <row r="179" spans="1:5" ht="11.4" customHeight="1" x14ac:dyDescent="0.25">
      <c r="A179" s="173" t="s">
        <v>350</v>
      </c>
      <c r="B179" s="172" t="s">
        <v>274</v>
      </c>
      <c r="C179" s="189">
        <v>401668</v>
      </c>
      <c r="D179" s="175"/>
      <c r="E179" s="175"/>
    </row>
    <row r="180" spans="1:5" ht="11.4" customHeight="1" x14ac:dyDescent="0.25">
      <c r="A180" s="173" t="s">
        <v>351</v>
      </c>
      <c r="B180" s="172" t="s">
        <v>274</v>
      </c>
      <c r="C180" s="189">
        <v>338486</v>
      </c>
      <c r="D180" s="175"/>
      <c r="E180" s="175"/>
    </row>
    <row r="181" spans="1:5" ht="11.4" customHeight="1" x14ac:dyDescent="0.25">
      <c r="A181" s="173" t="s">
        <v>219</v>
      </c>
      <c r="B181" s="175"/>
      <c r="C181" s="191"/>
      <c r="D181" s="175">
        <f>SUM(C179:C180)</f>
        <v>740154</v>
      </c>
      <c r="E181" s="175"/>
    </row>
    <row r="182" spans="1:5" ht="11.4" customHeight="1" x14ac:dyDescent="0.25">
      <c r="A182" s="251" t="s">
        <v>352</v>
      </c>
      <c r="B182" s="251"/>
      <c r="C182" s="251"/>
      <c r="D182" s="251"/>
      <c r="E182" s="251"/>
    </row>
    <row r="183" spans="1:5" ht="11.4" customHeight="1" x14ac:dyDescent="0.25">
      <c r="A183" s="173" t="s">
        <v>353</v>
      </c>
      <c r="B183" s="172" t="s">
        <v>274</v>
      </c>
      <c r="C183" s="189">
        <v>0</v>
      </c>
      <c r="D183" s="175"/>
      <c r="E183" s="175"/>
    </row>
    <row r="184" spans="1:5" ht="11.4" customHeight="1" x14ac:dyDescent="0.25">
      <c r="A184" s="173" t="s">
        <v>354</v>
      </c>
      <c r="B184" s="172" t="s">
        <v>274</v>
      </c>
      <c r="C184" s="189">
        <v>69105</v>
      </c>
      <c r="D184" s="175"/>
      <c r="E184" s="175"/>
    </row>
    <row r="185" spans="1:5" ht="11.4" customHeight="1" x14ac:dyDescent="0.25">
      <c r="A185" s="173" t="s">
        <v>148</v>
      </c>
      <c r="B185" s="172" t="s">
        <v>274</v>
      </c>
      <c r="C185" s="189">
        <v>572321</v>
      </c>
      <c r="D185" s="175"/>
      <c r="E185" s="175"/>
    </row>
    <row r="186" spans="1:5" ht="11.4" customHeight="1" x14ac:dyDescent="0.25">
      <c r="A186" s="173" t="s">
        <v>219</v>
      </c>
      <c r="B186" s="175"/>
      <c r="C186" s="191"/>
      <c r="D186" s="175">
        <f>SUM(C183:C185)</f>
        <v>641426</v>
      </c>
      <c r="E186" s="175"/>
    </row>
    <row r="187" spans="1:5" ht="11.4" customHeight="1" x14ac:dyDescent="0.25">
      <c r="A187" s="251" t="s">
        <v>355</v>
      </c>
      <c r="B187" s="251"/>
      <c r="C187" s="251"/>
      <c r="D187" s="251"/>
      <c r="E187" s="251"/>
    </row>
    <row r="188" spans="1:5" ht="11.4" customHeight="1" x14ac:dyDescent="0.25">
      <c r="A188" s="173" t="s">
        <v>356</v>
      </c>
      <c r="B188" s="172" t="s">
        <v>274</v>
      </c>
      <c r="C188" s="189">
        <v>1011732</v>
      </c>
      <c r="D188" s="175"/>
      <c r="E188" s="175"/>
    </row>
    <row r="189" spans="1:5" ht="11.4" customHeight="1" x14ac:dyDescent="0.25">
      <c r="A189" s="173" t="s">
        <v>357</v>
      </c>
      <c r="B189" s="172" t="s">
        <v>274</v>
      </c>
      <c r="C189" s="189">
        <v>43500</v>
      </c>
      <c r="D189" s="175"/>
      <c r="E189" s="175"/>
    </row>
    <row r="190" spans="1:5" ht="11.4" customHeight="1" x14ac:dyDescent="0.25">
      <c r="A190" s="173" t="s">
        <v>219</v>
      </c>
      <c r="B190" s="175"/>
      <c r="C190" s="191"/>
      <c r="D190" s="175">
        <f>SUM(C188:C189)</f>
        <v>1055232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358</v>
      </c>
      <c r="B192" s="205"/>
      <c r="C192" s="205"/>
      <c r="D192" s="205"/>
      <c r="E192" s="205"/>
    </row>
    <row r="193" spans="1:8" ht="12.6" customHeight="1" x14ac:dyDescent="0.25">
      <c r="A193" s="204" t="s">
        <v>359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360</v>
      </c>
      <c r="C194" s="182" t="s">
        <v>361</v>
      </c>
      <c r="D194" s="170" t="s">
        <v>362</v>
      </c>
      <c r="E194" s="170" t="s">
        <v>363</v>
      </c>
    </row>
    <row r="195" spans="1:8" ht="12.6" customHeight="1" x14ac:dyDescent="0.25">
      <c r="A195" s="173" t="s">
        <v>364</v>
      </c>
      <c r="B195" s="174">
        <v>718068</v>
      </c>
      <c r="C195" s="189">
        <v>0</v>
      </c>
      <c r="D195" s="174">
        <v>0</v>
      </c>
      <c r="E195" s="175">
        <f t="shared" ref="E195:E203" si="10">SUM(B195:C195)-D195</f>
        <v>718068</v>
      </c>
    </row>
    <row r="196" spans="1:8" ht="12.6" customHeight="1" x14ac:dyDescent="0.25">
      <c r="A196" s="173" t="s">
        <v>365</v>
      </c>
      <c r="B196" s="174">
        <v>4028158</v>
      </c>
      <c r="C196" s="189">
        <v>0</v>
      </c>
      <c r="D196" s="174">
        <v>0</v>
      </c>
      <c r="E196" s="175">
        <f t="shared" si="10"/>
        <v>4028158</v>
      </c>
    </row>
    <row r="197" spans="1:8" ht="12.6" customHeight="1" x14ac:dyDescent="0.25">
      <c r="A197" s="173" t="s">
        <v>366</v>
      </c>
      <c r="B197" s="174">
        <v>39695927</v>
      </c>
      <c r="C197" s="189">
        <v>0</v>
      </c>
      <c r="D197" s="174">
        <v>0</v>
      </c>
      <c r="E197" s="175">
        <f t="shared" si="10"/>
        <v>39695927</v>
      </c>
    </row>
    <row r="198" spans="1:8" ht="12.6" customHeight="1" x14ac:dyDescent="0.25">
      <c r="A198" s="173" t="s">
        <v>367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368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369</v>
      </c>
      <c r="B200" s="174">
        <v>36515216</v>
      </c>
      <c r="C200" s="189">
        <f>1057574+1075920</f>
        <v>2133494</v>
      </c>
      <c r="D200" s="174">
        <v>23592</v>
      </c>
      <c r="E200" s="175">
        <f t="shared" si="10"/>
        <v>38625118</v>
      </c>
    </row>
    <row r="201" spans="1:8" ht="12.6" customHeight="1" x14ac:dyDescent="0.25">
      <c r="A201" s="173" t="s">
        <v>370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371</v>
      </c>
      <c r="B202" s="174">
        <v>1206041</v>
      </c>
      <c r="C202" s="189">
        <v>86215</v>
      </c>
      <c r="D202" s="174"/>
      <c r="E202" s="175">
        <f t="shared" si="10"/>
        <v>1292256</v>
      </c>
    </row>
    <row r="203" spans="1:8" ht="12.6" customHeight="1" x14ac:dyDescent="0.25">
      <c r="A203" s="173" t="s">
        <v>372</v>
      </c>
      <c r="B203" s="174">
        <v>169964</v>
      </c>
      <c r="C203" s="189">
        <v>2510797</v>
      </c>
      <c r="D203" s="174">
        <v>1143789</v>
      </c>
      <c r="E203" s="175">
        <f t="shared" si="10"/>
        <v>1536972</v>
      </c>
    </row>
    <row r="204" spans="1:8" ht="12.6" customHeight="1" x14ac:dyDescent="0.25">
      <c r="A204" s="173" t="s">
        <v>219</v>
      </c>
      <c r="B204" s="175">
        <f>SUM(B195:B203)</f>
        <v>82333374</v>
      </c>
      <c r="C204" s="191">
        <f>SUM(C195:C203)</f>
        <v>4730506</v>
      </c>
      <c r="D204" s="175">
        <f>SUM(D195:D203)</f>
        <v>1167381</v>
      </c>
      <c r="E204" s="175">
        <f>SUM(E195:E203)</f>
        <v>85896499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373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360</v>
      </c>
      <c r="C207" s="182" t="s">
        <v>361</v>
      </c>
      <c r="D207" s="170" t="s">
        <v>362</v>
      </c>
      <c r="E207" s="170" t="s">
        <v>363</v>
      </c>
      <c r="H207" s="253"/>
    </row>
    <row r="208" spans="1:8" ht="12.6" customHeight="1" x14ac:dyDescent="0.25">
      <c r="A208" s="173" t="s">
        <v>364</v>
      </c>
      <c r="B208" s="178"/>
      <c r="C208" s="193"/>
      <c r="D208" s="178"/>
      <c r="E208" s="175"/>
      <c r="H208" s="253"/>
    </row>
    <row r="209" spans="1:8" ht="12.6" customHeight="1" x14ac:dyDescent="0.25">
      <c r="A209" s="173" t="s">
        <v>365</v>
      </c>
      <c r="B209" s="174">
        <v>1004306</v>
      </c>
      <c r="C209" s="189">
        <v>255933</v>
      </c>
      <c r="D209" s="174"/>
      <c r="E209" s="175">
        <f t="shared" ref="E209:E216" si="11">SUM(B209:C209)-D209</f>
        <v>1260239</v>
      </c>
      <c r="H209" s="253"/>
    </row>
    <row r="210" spans="1:8" ht="12.6" customHeight="1" x14ac:dyDescent="0.25">
      <c r="A210" s="173" t="s">
        <v>366</v>
      </c>
      <c r="B210" s="174">
        <v>16412673</v>
      </c>
      <c r="C210" s="189">
        <v>1882660</v>
      </c>
      <c r="D210" s="174"/>
      <c r="E210" s="175">
        <f t="shared" si="11"/>
        <v>18295333</v>
      </c>
      <c r="H210" s="253"/>
    </row>
    <row r="211" spans="1:8" ht="12.6" customHeight="1" x14ac:dyDescent="0.25">
      <c r="A211" s="173" t="s">
        <v>367</v>
      </c>
      <c r="B211" s="174"/>
      <c r="C211" s="189"/>
      <c r="D211" s="174"/>
      <c r="E211" s="175">
        <f t="shared" si="11"/>
        <v>0</v>
      </c>
      <c r="H211" s="253"/>
    </row>
    <row r="212" spans="1:8" ht="12.6" customHeight="1" x14ac:dyDescent="0.25">
      <c r="A212" s="173" t="s">
        <v>368</v>
      </c>
      <c r="B212" s="174"/>
      <c r="C212" s="189"/>
      <c r="D212" s="174"/>
      <c r="E212" s="175">
        <f t="shared" si="11"/>
        <v>0</v>
      </c>
      <c r="H212" s="253"/>
    </row>
    <row r="213" spans="1:8" ht="12.6" customHeight="1" x14ac:dyDescent="0.25">
      <c r="A213" s="173" t="s">
        <v>369</v>
      </c>
      <c r="B213" s="174">
        <v>19940233</v>
      </c>
      <c r="C213" s="189">
        <v>2403824</v>
      </c>
      <c r="D213" s="174">
        <v>16514</v>
      </c>
      <c r="E213" s="175">
        <f t="shared" si="11"/>
        <v>22327543</v>
      </c>
      <c r="H213" s="253"/>
    </row>
    <row r="214" spans="1:8" ht="12.6" customHeight="1" x14ac:dyDescent="0.25">
      <c r="A214" s="173" t="s">
        <v>370</v>
      </c>
      <c r="B214" s="174"/>
      <c r="C214" s="189"/>
      <c r="D214" s="174"/>
      <c r="E214" s="175">
        <f t="shared" si="11"/>
        <v>0</v>
      </c>
      <c r="H214" s="253"/>
    </row>
    <row r="215" spans="1:8" ht="12.6" customHeight="1" x14ac:dyDescent="0.25">
      <c r="A215" s="173" t="s">
        <v>371</v>
      </c>
      <c r="B215" s="174">
        <v>480261</v>
      </c>
      <c r="C215" s="189">
        <v>161158</v>
      </c>
      <c r="D215" s="174"/>
      <c r="E215" s="175">
        <f t="shared" si="11"/>
        <v>641419</v>
      </c>
      <c r="H215" s="253"/>
    </row>
    <row r="216" spans="1:8" ht="12.6" customHeight="1" x14ac:dyDescent="0.25">
      <c r="A216" s="173" t="s">
        <v>372</v>
      </c>
      <c r="B216" s="174"/>
      <c r="C216" s="189"/>
      <c r="D216" s="174"/>
      <c r="E216" s="175">
        <f t="shared" si="11"/>
        <v>0</v>
      </c>
      <c r="H216" s="253"/>
    </row>
    <row r="217" spans="1:8" ht="12.6" customHeight="1" x14ac:dyDescent="0.25">
      <c r="A217" s="173" t="s">
        <v>219</v>
      </c>
      <c r="B217" s="175">
        <f>SUM(B208:B216)</f>
        <v>37837473</v>
      </c>
      <c r="C217" s="191">
        <f>SUM(C208:C216)</f>
        <v>4703575</v>
      </c>
      <c r="D217" s="175">
        <f>SUM(D208:D216)</f>
        <v>16514</v>
      </c>
      <c r="E217" s="175">
        <f>SUM(E208:E216)</f>
        <v>42524534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374</v>
      </c>
      <c r="B219" s="205"/>
      <c r="C219" s="205"/>
      <c r="D219" s="205"/>
      <c r="E219" s="205"/>
    </row>
    <row r="220" spans="1:8" ht="12.6" customHeight="1" x14ac:dyDescent="0.25">
      <c r="A220" s="205"/>
      <c r="B220" s="278" t="s">
        <v>375</v>
      </c>
      <c r="C220" s="278"/>
      <c r="D220" s="205"/>
      <c r="E220" s="205"/>
    </row>
    <row r="221" spans="1:8" ht="12.6" customHeight="1" x14ac:dyDescent="0.25">
      <c r="A221" s="265" t="s">
        <v>375</v>
      </c>
      <c r="B221" s="205"/>
      <c r="C221" s="189">
        <v>2539972</v>
      </c>
      <c r="D221" s="172">
        <f>C221</f>
        <v>2539972</v>
      </c>
      <c r="E221" s="205"/>
    </row>
    <row r="222" spans="1:8" ht="12.6" customHeight="1" x14ac:dyDescent="0.25">
      <c r="A222" s="251" t="s">
        <v>376</v>
      </c>
      <c r="B222" s="251"/>
      <c r="C222" s="251"/>
      <c r="D222" s="251"/>
      <c r="E222" s="251"/>
    </row>
    <row r="223" spans="1:8" ht="12.6" customHeight="1" x14ac:dyDescent="0.25">
      <c r="A223" s="173" t="s">
        <v>377</v>
      </c>
      <c r="B223" s="172" t="s">
        <v>274</v>
      </c>
      <c r="C223" s="189">
        <v>74145841</v>
      </c>
      <c r="D223" s="175"/>
      <c r="E223" s="175"/>
    </row>
    <row r="224" spans="1:8" ht="12.6" customHeight="1" x14ac:dyDescent="0.25">
      <c r="A224" s="173" t="s">
        <v>378</v>
      </c>
      <c r="B224" s="172" t="s">
        <v>274</v>
      </c>
      <c r="C224" s="189">
        <v>21742354</v>
      </c>
      <c r="D224" s="175"/>
      <c r="E224" s="175"/>
    </row>
    <row r="225" spans="1:5" ht="12.6" customHeight="1" x14ac:dyDescent="0.25">
      <c r="A225" s="173" t="s">
        <v>379</v>
      </c>
      <c r="B225" s="172" t="s">
        <v>274</v>
      </c>
      <c r="C225" s="189">
        <v>1181664</v>
      </c>
      <c r="D225" s="175"/>
      <c r="E225" s="175"/>
    </row>
    <row r="226" spans="1:5" ht="12.6" customHeight="1" x14ac:dyDescent="0.25">
      <c r="A226" s="173" t="s">
        <v>380</v>
      </c>
      <c r="B226" s="172" t="s">
        <v>274</v>
      </c>
      <c r="C226" s="189"/>
      <c r="D226" s="175"/>
      <c r="E226" s="175"/>
    </row>
    <row r="227" spans="1:5" ht="12.6" customHeight="1" x14ac:dyDescent="0.25">
      <c r="A227" s="173" t="s">
        <v>381</v>
      </c>
      <c r="B227" s="172" t="s">
        <v>274</v>
      </c>
      <c r="C227" s="189"/>
      <c r="D227" s="175"/>
      <c r="E227" s="175"/>
    </row>
    <row r="228" spans="1:5" ht="12.6" customHeight="1" x14ac:dyDescent="0.25">
      <c r="A228" s="173" t="s">
        <v>382</v>
      </c>
      <c r="B228" s="172" t="s">
        <v>274</v>
      </c>
      <c r="C228" s="189"/>
      <c r="D228" s="175"/>
      <c r="E228" s="175"/>
    </row>
    <row r="229" spans="1:5" ht="12.6" customHeight="1" x14ac:dyDescent="0.25">
      <c r="A229" s="173" t="s">
        <v>383</v>
      </c>
      <c r="B229" s="175"/>
      <c r="C229" s="191"/>
      <c r="D229" s="175">
        <f>SUM(C223:C228)</f>
        <v>97069859</v>
      </c>
      <c r="E229" s="175"/>
    </row>
    <row r="230" spans="1:5" ht="12.6" customHeight="1" x14ac:dyDescent="0.25">
      <c r="A230" s="251" t="s">
        <v>384</v>
      </c>
      <c r="B230" s="251"/>
      <c r="C230" s="251"/>
      <c r="D230" s="251"/>
      <c r="E230" s="251"/>
    </row>
    <row r="231" spans="1:5" ht="12.6" customHeight="1" x14ac:dyDescent="0.25">
      <c r="A231" s="171" t="s">
        <v>385</v>
      </c>
      <c r="B231" s="172" t="s">
        <v>274</v>
      </c>
      <c r="C231" s="189">
        <v>1403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386</v>
      </c>
      <c r="B233" s="172" t="s">
        <v>274</v>
      </c>
      <c r="C233" s="189">
        <v>313130.46999999997</v>
      </c>
      <c r="D233" s="175"/>
      <c r="E233" s="175"/>
    </row>
    <row r="234" spans="1:5" ht="12.6" customHeight="1" x14ac:dyDescent="0.25">
      <c r="A234" s="171" t="s">
        <v>387</v>
      </c>
      <c r="B234" s="172" t="s">
        <v>274</v>
      </c>
      <c r="C234" s="189">
        <f>2115830.09-65722</f>
        <v>2050108.0899999999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388</v>
      </c>
      <c r="B236" s="175"/>
      <c r="C236" s="191"/>
      <c r="D236" s="175">
        <f>SUM(C233:C235)</f>
        <v>2363238.5599999996</v>
      </c>
      <c r="E236" s="175"/>
    </row>
    <row r="237" spans="1:5" ht="12.6" customHeight="1" x14ac:dyDescent="0.25">
      <c r="A237" s="251" t="s">
        <v>389</v>
      </c>
      <c r="B237" s="251"/>
      <c r="C237" s="251"/>
      <c r="D237" s="251"/>
      <c r="E237" s="251"/>
    </row>
    <row r="238" spans="1:5" ht="12.6" customHeight="1" x14ac:dyDescent="0.25">
      <c r="A238" s="173" t="s">
        <v>390</v>
      </c>
      <c r="B238" s="172" t="s">
        <v>274</v>
      </c>
      <c r="C238" s="189"/>
      <c r="D238" s="175"/>
      <c r="E238" s="175"/>
    </row>
    <row r="239" spans="1:5" ht="12.6" customHeight="1" x14ac:dyDescent="0.25">
      <c r="A239" s="173" t="s">
        <v>389</v>
      </c>
      <c r="B239" s="172" t="s">
        <v>274</v>
      </c>
      <c r="C239" s="189">
        <f>19850577-1181664</f>
        <v>18668913</v>
      </c>
      <c r="D239" s="175"/>
      <c r="E239" s="175"/>
    </row>
    <row r="240" spans="1:5" ht="12.6" customHeight="1" x14ac:dyDescent="0.25">
      <c r="A240" s="173" t="s">
        <v>391</v>
      </c>
      <c r="B240" s="175"/>
      <c r="C240" s="191"/>
      <c r="D240" s="175">
        <f>SUM(C238:C239)</f>
        <v>18668913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392</v>
      </c>
      <c r="B242" s="175"/>
      <c r="C242" s="191"/>
      <c r="D242" s="175">
        <f>D221+D229+D236+D240</f>
        <v>120641982.56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393</v>
      </c>
      <c r="B248" s="205"/>
      <c r="C248" s="205"/>
      <c r="D248" s="205"/>
      <c r="E248" s="205"/>
    </row>
    <row r="249" spans="1:5" ht="11.25" customHeight="1" x14ac:dyDescent="0.25">
      <c r="A249" s="251" t="s">
        <v>394</v>
      </c>
      <c r="B249" s="251"/>
      <c r="C249" s="251"/>
      <c r="D249" s="251"/>
      <c r="E249" s="251"/>
    </row>
    <row r="250" spans="1:5" ht="12.45" customHeight="1" x14ac:dyDescent="0.25">
      <c r="A250" s="173" t="s">
        <v>395</v>
      </c>
      <c r="B250" s="172" t="s">
        <v>274</v>
      </c>
      <c r="C250" s="189">
        <v>5320270</v>
      </c>
      <c r="D250" s="175"/>
      <c r="E250" s="175"/>
    </row>
    <row r="251" spans="1:5" ht="12.45" customHeight="1" x14ac:dyDescent="0.25">
      <c r="A251" s="173" t="s">
        <v>396</v>
      </c>
      <c r="B251" s="172" t="s">
        <v>274</v>
      </c>
      <c r="C251" s="189"/>
      <c r="D251" s="175"/>
      <c r="E251" s="175"/>
    </row>
    <row r="252" spans="1:5" ht="12.45" customHeight="1" x14ac:dyDescent="0.25">
      <c r="A252" s="173" t="s">
        <v>397</v>
      </c>
      <c r="B252" s="172" t="s">
        <v>274</v>
      </c>
      <c r="C252" s="189">
        <f>13337926+3127000</f>
        <v>16464926</v>
      </c>
      <c r="D252" s="175"/>
      <c r="E252" s="175"/>
    </row>
    <row r="253" spans="1:5" ht="12.45" customHeight="1" x14ac:dyDescent="0.25">
      <c r="A253" s="173" t="s">
        <v>398</v>
      </c>
      <c r="B253" s="172" t="s">
        <v>274</v>
      </c>
      <c r="C253" s="189">
        <v>3127000</v>
      </c>
      <c r="D253" s="175"/>
      <c r="E253" s="175"/>
    </row>
    <row r="254" spans="1:5" ht="12.45" customHeight="1" x14ac:dyDescent="0.25">
      <c r="A254" s="173" t="s">
        <v>399</v>
      </c>
      <c r="B254" s="172" t="s">
        <v>274</v>
      </c>
      <c r="C254" s="189">
        <v>6628444</v>
      </c>
      <c r="D254" s="175"/>
      <c r="E254" s="175"/>
    </row>
    <row r="255" spans="1:5" ht="12.45" customHeight="1" x14ac:dyDescent="0.25">
      <c r="A255" s="173" t="s">
        <v>400</v>
      </c>
      <c r="B255" s="172" t="s">
        <v>274</v>
      </c>
      <c r="C255" s="189">
        <v>467691</v>
      </c>
      <c r="D255" s="175"/>
      <c r="E255" s="175"/>
    </row>
    <row r="256" spans="1:5" ht="12.45" customHeight="1" x14ac:dyDescent="0.25">
      <c r="A256" s="173" t="s">
        <v>401</v>
      </c>
      <c r="B256" s="172" t="s">
        <v>274</v>
      </c>
      <c r="C256" s="189"/>
      <c r="D256" s="175"/>
      <c r="E256" s="175"/>
    </row>
    <row r="257" spans="1:5" ht="12.45" customHeight="1" x14ac:dyDescent="0.25">
      <c r="A257" s="173" t="s">
        <v>402</v>
      </c>
      <c r="B257" s="172" t="s">
        <v>274</v>
      </c>
      <c r="C257" s="189">
        <v>2136372</v>
      </c>
      <c r="D257" s="175"/>
      <c r="E257" s="175"/>
    </row>
    <row r="258" spans="1:5" ht="12.45" customHeight="1" x14ac:dyDescent="0.25">
      <c r="A258" s="173" t="s">
        <v>403</v>
      </c>
      <c r="B258" s="172" t="s">
        <v>274</v>
      </c>
      <c r="C258" s="189">
        <v>748848</v>
      </c>
      <c r="D258" s="175"/>
      <c r="E258" s="175"/>
    </row>
    <row r="259" spans="1:5" ht="12.45" customHeight="1" x14ac:dyDescent="0.25">
      <c r="A259" s="173" t="s">
        <v>404</v>
      </c>
      <c r="B259" s="172" t="s">
        <v>274</v>
      </c>
      <c r="C259" s="189"/>
      <c r="D259" s="175"/>
      <c r="E259" s="175"/>
    </row>
    <row r="260" spans="1:5" ht="12.45" customHeight="1" x14ac:dyDescent="0.25">
      <c r="A260" s="173" t="s">
        <v>405</v>
      </c>
      <c r="B260" s="175"/>
      <c r="C260" s="191"/>
      <c r="D260" s="175">
        <f>SUM(C250:C252)-C253+SUM(C254:C259)</f>
        <v>28639551</v>
      </c>
      <c r="E260" s="175"/>
    </row>
    <row r="261" spans="1:5" ht="11.25" customHeight="1" x14ac:dyDescent="0.25">
      <c r="A261" s="251" t="s">
        <v>406</v>
      </c>
      <c r="B261" s="251"/>
      <c r="C261" s="251"/>
      <c r="D261" s="251"/>
      <c r="E261" s="251"/>
    </row>
    <row r="262" spans="1:5" ht="12.45" customHeight="1" x14ac:dyDescent="0.25">
      <c r="A262" s="173" t="s">
        <v>395</v>
      </c>
      <c r="B262" s="172" t="s">
        <v>274</v>
      </c>
      <c r="C262" s="189">
        <v>22779883</v>
      </c>
      <c r="D262" s="175"/>
      <c r="E262" s="175"/>
    </row>
    <row r="263" spans="1:5" ht="12.45" customHeight="1" x14ac:dyDescent="0.25">
      <c r="A263" s="173" t="s">
        <v>396</v>
      </c>
      <c r="B263" s="172" t="s">
        <v>274</v>
      </c>
      <c r="C263" s="189"/>
      <c r="D263" s="175"/>
      <c r="E263" s="175"/>
    </row>
    <row r="264" spans="1:5" ht="12.45" customHeight="1" x14ac:dyDescent="0.25">
      <c r="A264" s="173" t="s">
        <v>407</v>
      </c>
      <c r="B264" s="172" t="s">
        <v>274</v>
      </c>
      <c r="C264" s="189">
        <v>11363</v>
      </c>
      <c r="D264" s="175"/>
      <c r="E264" s="175"/>
    </row>
    <row r="265" spans="1:5" ht="12.45" customHeight="1" x14ac:dyDescent="0.25">
      <c r="A265" s="173" t="s">
        <v>408</v>
      </c>
      <c r="B265" s="175"/>
      <c r="C265" s="191"/>
      <c r="D265" s="175">
        <f>SUM(C262:C264)</f>
        <v>22791246</v>
      </c>
      <c r="E265" s="175"/>
    </row>
    <row r="266" spans="1:5" ht="11.25" customHeight="1" x14ac:dyDescent="0.25">
      <c r="A266" s="251" t="s">
        <v>409</v>
      </c>
      <c r="B266" s="251"/>
      <c r="C266" s="251"/>
      <c r="D266" s="251"/>
      <c r="E266" s="251"/>
    </row>
    <row r="267" spans="1:5" ht="12.45" customHeight="1" x14ac:dyDescent="0.25">
      <c r="A267" s="173" t="s">
        <v>364</v>
      </c>
      <c r="B267" s="172" t="s">
        <v>274</v>
      </c>
      <c r="C267" s="189">
        <v>718068</v>
      </c>
      <c r="D267" s="175"/>
      <c r="E267" s="175"/>
    </row>
    <row r="268" spans="1:5" ht="12.45" customHeight="1" x14ac:dyDescent="0.25">
      <c r="A268" s="173" t="s">
        <v>365</v>
      </c>
      <c r="B268" s="172" t="s">
        <v>274</v>
      </c>
      <c r="C268" s="189">
        <v>4028158</v>
      </c>
      <c r="D268" s="175"/>
      <c r="E268" s="175"/>
    </row>
    <row r="269" spans="1:5" ht="12.45" customHeight="1" x14ac:dyDescent="0.25">
      <c r="A269" s="173" t="s">
        <v>366</v>
      </c>
      <c r="B269" s="172" t="s">
        <v>274</v>
      </c>
      <c r="C269" s="189">
        <v>39695927</v>
      </c>
      <c r="D269" s="175"/>
      <c r="E269" s="175"/>
    </row>
    <row r="270" spans="1:5" ht="12.45" customHeight="1" x14ac:dyDescent="0.25">
      <c r="A270" s="173" t="s">
        <v>410</v>
      </c>
      <c r="B270" s="172" t="s">
        <v>274</v>
      </c>
      <c r="C270" s="189">
        <v>0</v>
      </c>
      <c r="D270" s="175"/>
      <c r="E270" s="175"/>
    </row>
    <row r="271" spans="1:5" ht="12.45" customHeight="1" x14ac:dyDescent="0.25">
      <c r="A271" s="173" t="s">
        <v>411</v>
      </c>
      <c r="B271" s="172" t="s">
        <v>274</v>
      </c>
      <c r="C271" s="189">
        <v>0</v>
      </c>
      <c r="D271" s="175"/>
      <c r="E271" s="175"/>
    </row>
    <row r="272" spans="1:5" ht="12.45" customHeight="1" x14ac:dyDescent="0.25">
      <c r="A272" s="173" t="s">
        <v>412</v>
      </c>
      <c r="B272" s="172" t="s">
        <v>274</v>
      </c>
      <c r="C272" s="189">
        <v>38625118</v>
      </c>
      <c r="D272" s="175"/>
      <c r="E272" s="175"/>
    </row>
    <row r="273" spans="1:5" ht="12.45" customHeight="1" x14ac:dyDescent="0.25">
      <c r="A273" s="173" t="s">
        <v>371</v>
      </c>
      <c r="B273" s="172" t="s">
        <v>274</v>
      </c>
      <c r="C273" s="189">
        <v>1292256</v>
      </c>
      <c r="D273" s="175"/>
      <c r="E273" s="175"/>
    </row>
    <row r="274" spans="1:5" ht="12.45" customHeight="1" x14ac:dyDescent="0.25">
      <c r="A274" s="173" t="s">
        <v>372</v>
      </c>
      <c r="B274" s="172" t="s">
        <v>274</v>
      </c>
      <c r="C274" s="189">
        <v>1536972</v>
      </c>
      <c r="D274" s="175"/>
      <c r="E274" s="175"/>
    </row>
    <row r="275" spans="1:5" ht="12.45" customHeight="1" x14ac:dyDescent="0.25">
      <c r="A275" s="173" t="s">
        <v>413</v>
      </c>
      <c r="B275" s="175"/>
      <c r="C275" s="191"/>
      <c r="D275" s="175">
        <f>SUM(C267:C274)</f>
        <v>85896499</v>
      </c>
      <c r="E275" s="175"/>
    </row>
    <row r="276" spans="1:5" ht="12.6" customHeight="1" x14ac:dyDescent="0.25">
      <c r="A276" s="173" t="s">
        <v>414</v>
      </c>
      <c r="B276" s="172" t="s">
        <v>274</v>
      </c>
      <c r="C276" s="189">
        <v>42524534</v>
      </c>
      <c r="D276" s="175"/>
      <c r="E276" s="175"/>
    </row>
    <row r="277" spans="1:5" ht="12.6" customHeight="1" x14ac:dyDescent="0.25">
      <c r="A277" s="173" t="s">
        <v>415</v>
      </c>
      <c r="B277" s="175"/>
      <c r="C277" s="191"/>
      <c r="D277" s="175">
        <f>D275-C276</f>
        <v>43371965</v>
      </c>
      <c r="E277" s="175"/>
    </row>
    <row r="278" spans="1:5" ht="12.6" customHeight="1" x14ac:dyDescent="0.25">
      <c r="A278" s="251" t="s">
        <v>416</v>
      </c>
      <c r="B278" s="251"/>
      <c r="C278" s="251"/>
      <c r="D278" s="251"/>
      <c r="E278" s="251"/>
    </row>
    <row r="279" spans="1:5" ht="12.6" customHeight="1" x14ac:dyDescent="0.25">
      <c r="A279" s="173" t="s">
        <v>417</v>
      </c>
      <c r="B279" s="172" t="s">
        <v>274</v>
      </c>
      <c r="C279" s="189">
        <v>0</v>
      </c>
      <c r="D279" s="175"/>
      <c r="E279" s="175"/>
    </row>
    <row r="280" spans="1:5" ht="12.6" customHeight="1" x14ac:dyDescent="0.25">
      <c r="A280" s="173" t="s">
        <v>418</v>
      </c>
      <c r="B280" s="172" t="s">
        <v>274</v>
      </c>
      <c r="C280" s="189">
        <v>0</v>
      </c>
      <c r="D280" s="175"/>
      <c r="E280" s="175"/>
    </row>
    <row r="281" spans="1:5" ht="12.6" customHeight="1" x14ac:dyDescent="0.25">
      <c r="A281" s="173" t="s">
        <v>419</v>
      </c>
      <c r="B281" s="172" t="s">
        <v>274</v>
      </c>
      <c r="C281" s="189">
        <v>0</v>
      </c>
      <c r="D281" s="175"/>
      <c r="E281" s="175"/>
    </row>
    <row r="282" spans="1:5" ht="12.6" customHeight="1" x14ac:dyDescent="0.25">
      <c r="A282" s="173" t="s">
        <v>407</v>
      </c>
      <c r="B282" s="172" t="s">
        <v>274</v>
      </c>
      <c r="C282" s="189">
        <v>0</v>
      </c>
      <c r="D282" s="175"/>
      <c r="E282" s="175"/>
    </row>
    <row r="283" spans="1:5" ht="12.6" customHeight="1" x14ac:dyDescent="0.25">
      <c r="A283" s="173" t="s">
        <v>420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1" t="s">
        <v>421</v>
      </c>
      <c r="B285" s="251"/>
      <c r="C285" s="251"/>
      <c r="D285" s="251"/>
      <c r="E285" s="251"/>
    </row>
    <row r="286" spans="1:5" ht="12.6" customHeight="1" x14ac:dyDescent="0.25">
      <c r="A286" s="173" t="s">
        <v>422</v>
      </c>
      <c r="B286" s="172" t="s">
        <v>274</v>
      </c>
      <c r="C286" s="189">
        <v>0</v>
      </c>
      <c r="D286" s="175"/>
      <c r="E286" s="175"/>
    </row>
    <row r="287" spans="1:5" ht="12.6" customHeight="1" x14ac:dyDescent="0.25">
      <c r="A287" s="173" t="s">
        <v>423</v>
      </c>
      <c r="B287" s="172" t="s">
        <v>274</v>
      </c>
      <c r="C287" s="189">
        <v>0</v>
      </c>
      <c r="D287" s="175"/>
      <c r="E287" s="175"/>
    </row>
    <row r="288" spans="1:5" ht="12.6" customHeight="1" x14ac:dyDescent="0.25">
      <c r="A288" s="173" t="s">
        <v>424</v>
      </c>
      <c r="B288" s="172" t="s">
        <v>274</v>
      </c>
      <c r="C288" s="189">
        <v>0</v>
      </c>
      <c r="D288" s="175"/>
      <c r="E288" s="175"/>
    </row>
    <row r="289" spans="1:5" ht="12.6" customHeight="1" x14ac:dyDescent="0.25">
      <c r="A289" s="173" t="s">
        <v>425</v>
      </c>
      <c r="B289" s="172" t="s">
        <v>274</v>
      </c>
      <c r="C289" s="189">
        <v>0</v>
      </c>
      <c r="D289" s="175"/>
      <c r="E289" s="175"/>
    </row>
    <row r="290" spans="1:5" ht="12.6" customHeight="1" x14ac:dyDescent="0.25">
      <c r="A290" s="173" t="s">
        <v>426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427</v>
      </c>
      <c r="B292" s="175"/>
      <c r="C292" s="191"/>
      <c r="D292" s="175">
        <f>D260+D265+D277+D283+D290</f>
        <v>94802762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428</v>
      </c>
      <c r="B302" s="205"/>
      <c r="C302" s="205"/>
      <c r="D302" s="205"/>
      <c r="E302" s="205"/>
    </row>
    <row r="303" spans="1:5" ht="14.25" customHeight="1" x14ac:dyDescent="0.25">
      <c r="A303" s="251" t="s">
        <v>429</v>
      </c>
      <c r="B303" s="251"/>
      <c r="C303" s="251"/>
      <c r="D303" s="251"/>
      <c r="E303" s="251"/>
    </row>
    <row r="304" spans="1:5" ht="12.6" customHeight="1" x14ac:dyDescent="0.25">
      <c r="A304" s="173" t="s">
        <v>430</v>
      </c>
      <c r="B304" s="172" t="s">
        <v>274</v>
      </c>
      <c r="C304" s="189">
        <v>0</v>
      </c>
      <c r="D304" s="175"/>
      <c r="E304" s="175"/>
    </row>
    <row r="305" spans="1:5" ht="12.6" customHeight="1" x14ac:dyDescent="0.25">
      <c r="A305" s="173" t="s">
        <v>431</v>
      </c>
      <c r="B305" s="172" t="s">
        <v>274</v>
      </c>
      <c r="C305" s="189">
        <v>2819830</v>
      </c>
      <c r="D305" s="175"/>
      <c r="E305" s="175"/>
    </row>
    <row r="306" spans="1:5" ht="12.6" customHeight="1" x14ac:dyDescent="0.25">
      <c r="A306" s="173" t="s">
        <v>432</v>
      </c>
      <c r="B306" s="172" t="s">
        <v>274</v>
      </c>
      <c r="C306" s="189">
        <v>6039803</v>
      </c>
      <c r="D306" s="175"/>
      <c r="E306" s="175"/>
    </row>
    <row r="307" spans="1:5" ht="12.6" customHeight="1" x14ac:dyDescent="0.25">
      <c r="A307" s="173" t="s">
        <v>433</v>
      </c>
      <c r="B307" s="172" t="s">
        <v>274</v>
      </c>
      <c r="C307" s="189">
        <v>0</v>
      </c>
      <c r="D307" s="175"/>
      <c r="E307" s="175"/>
    </row>
    <row r="308" spans="1:5" ht="12.6" customHeight="1" x14ac:dyDescent="0.25">
      <c r="A308" s="173" t="s">
        <v>434</v>
      </c>
      <c r="B308" s="172" t="s">
        <v>274</v>
      </c>
      <c r="C308" s="189">
        <v>0</v>
      </c>
      <c r="D308" s="175"/>
      <c r="E308" s="175"/>
    </row>
    <row r="309" spans="1:5" ht="12.6" customHeight="1" x14ac:dyDescent="0.25">
      <c r="A309" s="173" t="s">
        <v>435</v>
      </c>
      <c r="B309" s="172" t="s">
        <v>274</v>
      </c>
      <c r="C309" s="189">
        <v>0</v>
      </c>
      <c r="D309" s="175"/>
      <c r="E309" s="175"/>
    </row>
    <row r="310" spans="1:5" ht="12.6" customHeight="1" x14ac:dyDescent="0.25">
      <c r="A310" s="173" t="s">
        <v>436</v>
      </c>
      <c r="B310" s="172" t="s">
        <v>274</v>
      </c>
      <c r="C310" s="189">
        <v>0</v>
      </c>
      <c r="D310" s="175"/>
      <c r="E310" s="175"/>
    </row>
    <row r="311" spans="1:5" ht="12.6" customHeight="1" x14ac:dyDescent="0.25">
      <c r="A311" s="173" t="s">
        <v>437</v>
      </c>
      <c r="B311" s="172" t="s">
        <v>274</v>
      </c>
      <c r="C311" s="189">
        <v>0</v>
      </c>
      <c r="D311" s="175"/>
      <c r="E311" s="175"/>
    </row>
    <row r="312" spans="1:5" ht="12.6" customHeight="1" x14ac:dyDescent="0.25">
      <c r="A312" s="173" t="s">
        <v>438</v>
      </c>
      <c r="B312" s="172" t="s">
        <v>274</v>
      </c>
      <c r="C312" s="189">
        <v>512422</v>
      </c>
      <c r="D312" s="175"/>
      <c r="E312" s="175"/>
    </row>
    <row r="313" spans="1:5" ht="12.6" customHeight="1" x14ac:dyDescent="0.25">
      <c r="A313" s="173" t="s">
        <v>439</v>
      </c>
      <c r="B313" s="172" t="s">
        <v>274</v>
      </c>
      <c r="C313" s="189">
        <v>1227541</v>
      </c>
      <c r="D313" s="175"/>
      <c r="E313" s="175"/>
    </row>
    <row r="314" spans="1:5" ht="12.6" customHeight="1" x14ac:dyDescent="0.25">
      <c r="A314" s="173" t="s">
        <v>440</v>
      </c>
      <c r="B314" s="175"/>
      <c r="C314" s="191"/>
      <c r="D314" s="175">
        <f>SUM(C304:C313)</f>
        <v>10599596</v>
      </c>
      <c r="E314" s="175"/>
    </row>
    <row r="315" spans="1:5" ht="12.6" customHeight="1" x14ac:dyDescent="0.25">
      <c r="A315" s="251" t="s">
        <v>441</v>
      </c>
      <c r="B315" s="251"/>
      <c r="C315" s="251"/>
      <c r="D315" s="251"/>
      <c r="E315" s="251"/>
    </row>
    <row r="316" spans="1:5" ht="12.6" customHeight="1" x14ac:dyDescent="0.25">
      <c r="A316" s="173" t="s">
        <v>442</v>
      </c>
      <c r="B316" s="172" t="s">
        <v>274</v>
      </c>
      <c r="C316" s="189">
        <v>0</v>
      </c>
      <c r="D316" s="175"/>
      <c r="E316" s="175"/>
    </row>
    <row r="317" spans="1:5" ht="12.6" customHeight="1" x14ac:dyDescent="0.25">
      <c r="A317" s="173" t="s">
        <v>443</v>
      </c>
      <c r="B317" s="172" t="s">
        <v>274</v>
      </c>
      <c r="C317" s="189">
        <v>0</v>
      </c>
      <c r="D317" s="175"/>
      <c r="E317" s="175"/>
    </row>
    <row r="318" spans="1:5" ht="12.6" customHeight="1" x14ac:dyDescent="0.25">
      <c r="A318" s="173" t="s">
        <v>444</v>
      </c>
      <c r="B318" s="172" t="s">
        <v>274</v>
      </c>
      <c r="C318" s="189">
        <v>0</v>
      </c>
      <c r="D318" s="175"/>
      <c r="E318" s="175"/>
    </row>
    <row r="319" spans="1:5" ht="12.6" customHeight="1" x14ac:dyDescent="0.25">
      <c r="A319" s="173" t="s">
        <v>445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1" t="s">
        <v>446</v>
      </c>
      <c r="B320" s="251"/>
      <c r="C320" s="251"/>
      <c r="D320" s="251"/>
      <c r="E320" s="251"/>
    </row>
    <row r="321" spans="1:5" ht="12.6" customHeight="1" x14ac:dyDescent="0.25">
      <c r="A321" s="173" t="s">
        <v>447</v>
      </c>
      <c r="B321" s="172" t="s">
        <v>274</v>
      </c>
      <c r="C321" s="189">
        <v>0</v>
      </c>
      <c r="D321" s="175"/>
      <c r="E321" s="175"/>
    </row>
    <row r="322" spans="1:5" ht="12.6" customHeight="1" x14ac:dyDescent="0.25">
      <c r="A322" s="173" t="s">
        <v>448</v>
      </c>
      <c r="B322" s="172" t="s">
        <v>274</v>
      </c>
      <c r="C322" s="189">
        <v>0</v>
      </c>
      <c r="D322" s="175"/>
      <c r="E322" s="175"/>
    </row>
    <row r="323" spans="1:5" ht="12.6" customHeight="1" x14ac:dyDescent="0.25">
      <c r="A323" s="173" t="s">
        <v>449</v>
      </c>
      <c r="B323" s="172" t="s">
        <v>274</v>
      </c>
      <c r="C323" s="189">
        <v>3984880</v>
      </c>
      <c r="D323" s="175"/>
      <c r="E323" s="175"/>
    </row>
    <row r="324" spans="1:5" ht="12.6" customHeight="1" x14ac:dyDescent="0.25">
      <c r="A324" s="171" t="s">
        <v>450</v>
      </c>
      <c r="B324" s="172" t="s">
        <v>274</v>
      </c>
      <c r="C324" s="189">
        <v>0</v>
      </c>
      <c r="D324" s="175"/>
      <c r="E324" s="175"/>
    </row>
    <row r="325" spans="1:5" ht="12.6" customHeight="1" x14ac:dyDescent="0.25">
      <c r="A325" s="173" t="s">
        <v>451</v>
      </c>
      <c r="B325" s="172" t="s">
        <v>274</v>
      </c>
      <c r="C325" s="189">
        <f>24450165+54893+1227541</f>
        <v>25732599</v>
      </c>
      <c r="D325" s="175"/>
      <c r="E325" s="175"/>
    </row>
    <row r="326" spans="1:5" ht="12.6" customHeight="1" x14ac:dyDescent="0.25">
      <c r="A326" s="171" t="s">
        <v>452</v>
      </c>
      <c r="B326" s="172" t="s">
        <v>274</v>
      </c>
      <c r="C326" s="189">
        <v>385670</v>
      </c>
      <c r="D326" s="175"/>
      <c r="E326" s="175"/>
    </row>
    <row r="327" spans="1:5" ht="12.6" customHeight="1" x14ac:dyDescent="0.25">
      <c r="A327" s="173" t="s">
        <v>453</v>
      </c>
      <c r="B327" s="172" t="s">
        <v>274</v>
      </c>
      <c r="C327" s="189"/>
      <c r="D327" s="175"/>
      <c r="E327" s="175"/>
    </row>
    <row r="328" spans="1:5" ht="19.5" customHeight="1" x14ac:dyDescent="0.25">
      <c r="A328" s="173" t="s">
        <v>219</v>
      </c>
      <c r="B328" s="175"/>
      <c r="C328" s="191"/>
      <c r="D328" s="175">
        <f>SUM(C321:C327)</f>
        <v>30103149</v>
      </c>
      <c r="E328" s="175"/>
    </row>
    <row r="329" spans="1:5" ht="12.6" customHeight="1" x14ac:dyDescent="0.25">
      <c r="A329" s="173" t="s">
        <v>454</v>
      </c>
      <c r="B329" s="175"/>
      <c r="C329" s="191"/>
      <c r="D329" s="175">
        <f>C313</f>
        <v>1227541</v>
      </c>
      <c r="E329" s="175"/>
    </row>
    <row r="330" spans="1:5" ht="12.6" customHeight="1" x14ac:dyDescent="0.25">
      <c r="A330" s="173" t="s">
        <v>455</v>
      </c>
      <c r="B330" s="175"/>
      <c r="C330" s="191"/>
      <c r="D330" s="175">
        <f>D328-D329</f>
        <v>28875608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456</v>
      </c>
      <c r="B332" s="172" t="s">
        <v>274</v>
      </c>
      <c r="C332" s="217">
        <v>55327558</v>
      </c>
      <c r="D332" s="175"/>
      <c r="E332" s="175"/>
    </row>
    <row r="333" spans="1:5" ht="12.6" customHeight="1" x14ac:dyDescent="0.25">
      <c r="A333" s="173"/>
      <c r="B333" s="172"/>
      <c r="C333" s="226"/>
      <c r="D333" s="175"/>
      <c r="E333" s="175"/>
    </row>
    <row r="334" spans="1:5" ht="12.6" customHeight="1" x14ac:dyDescent="0.25">
      <c r="A334" s="173" t="s">
        <v>457</v>
      </c>
      <c r="B334" s="172" t="s">
        <v>274</v>
      </c>
      <c r="C334" s="217"/>
      <c r="D334" s="175"/>
      <c r="E334" s="175"/>
    </row>
    <row r="335" spans="1:5" ht="12.6" customHeight="1" x14ac:dyDescent="0.25">
      <c r="A335" s="173" t="s">
        <v>458</v>
      </c>
      <c r="B335" s="172" t="s">
        <v>274</v>
      </c>
      <c r="C335" s="217"/>
      <c r="D335" s="175"/>
      <c r="E335" s="175"/>
    </row>
    <row r="336" spans="1:5" ht="12.6" customHeight="1" x14ac:dyDescent="0.25">
      <c r="A336" s="173" t="s">
        <v>459</v>
      </c>
      <c r="B336" s="172" t="s">
        <v>274</v>
      </c>
      <c r="C336" s="217"/>
      <c r="D336" s="175"/>
      <c r="E336" s="175"/>
    </row>
    <row r="337" spans="1:5" ht="12.6" customHeight="1" x14ac:dyDescent="0.25">
      <c r="A337" s="173" t="s">
        <v>460</v>
      </c>
      <c r="B337" s="172" t="s">
        <v>274</v>
      </c>
      <c r="C337" s="189"/>
      <c r="D337" s="175"/>
      <c r="E337" s="175"/>
    </row>
    <row r="338" spans="1:5" ht="12.6" customHeight="1" x14ac:dyDescent="0.25">
      <c r="A338" s="173" t="s">
        <v>461</v>
      </c>
      <c r="B338" s="172" t="s">
        <v>274</v>
      </c>
      <c r="C338" s="189"/>
      <c r="D338" s="175"/>
      <c r="E338" s="175"/>
    </row>
    <row r="339" spans="1:5" ht="12.6" customHeight="1" x14ac:dyDescent="0.25">
      <c r="A339" s="173" t="s">
        <v>462</v>
      </c>
      <c r="B339" s="175"/>
      <c r="C339" s="191"/>
      <c r="D339" s="175">
        <f>D314+D319+D330+C332+C336+C337</f>
        <v>94802762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463</v>
      </c>
      <c r="B341" s="175"/>
      <c r="C341" s="191"/>
      <c r="D341" s="175">
        <f>D292</f>
        <v>94802762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464</v>
      </c>
      <c r="B357" s="205"/>
      <c r="C357" s="205"/>
      <c r="D357" s="205"/>
      <c r="E357" s="205"/>
    </row>
    <row r="358" spans="1:5" ht="12.6" customHeight="1" x14ac:dyDescent="0.25">
      <c r="A358" s="251" t="s">
        <v>465</v>
      </c>
      <c r="B358" s="251"/>
      <c r="C358" s="251"/>
      <c r="D358" s="251"/>
      <c r="E358" s="251"/>
    </row>
    <row r="359" spans="1:5" ht="12.6" customHeight="1" x14ac:dyDescent="0.25">
      <c r="A359" s="173" t="s">
        <v>466</v>
      </c>
      <c r="B359" s="172" t="s">
        <v>274</v>
      </c>
      <c r="C359" s="189">
        <v>44536960</v>
      </c>
      <c r="D359" s="175"/>
      <c r="E359" s="175"/>
    </row>
    <row r="360" spans="1:5" ht="12.6" customHeight="1" x14ac:dyDescent="0.25">
      <c r="A360" s="173" t="s">
        <v>467</v>
      </c>
      <c r="B360" s="172" t="s">
        <v>274</v>
      </c>
      <c r="C360" s="189">
        <v>182830448</v>
      </c>
      <c r="D360" s="175"/>
      <c r="E360" s="175"/>
    </row>
    <row r="361" spans="1:5" ht="12.6" customHeight="1" x14ac:dyDescent="0.25">
      <c r="A361" s="173" t="s">
        <v>468</v>
      </c>
      <c r="B361" s="175"/>
      <c r="C361" s="191"/>
      <c r="D361" s="175">
        <f>SUM(C359:C360)</f>
        <v>227367408</v>
      </c>
      <c r="E361" s="175"/>
    </row>
    <row r="362" spans="1:5" ht="12.6" customHeight="1" x14ac:dyDescent="0.25">
      <c r="A362" s="251" t="s">
        <v>469</v>
      </c>
      <c r="B362" s="251"/>
      <c r="C362" s="251"/>
      <c r="D362" s="251"/>
      <c r="E362" s="251"/>
    </row>
    <row r="363" spans="1:5" ht="12.6" customHeight="1" x14ac:dyDescent="0.25">
      <c r="A363" s="173" t="s">
        <v>375</v>
      </c>
      <c r="B363" s="251"/>
      <c r="C363" s="189">
        <v>2539872</v>
      </c>
      <c r="D363" s="175"/>
      <c r="E363" s="251"/>
    </row>
    <row r="364" spans="1:5" ht="12.6" customHeight="1" x14ac:dyDescent="0.25">
      <c r="A364" s="173" t="s">
        <v>470</v>
      </c>
      <c r="B364" s="172" t="s">
        <v>274</v>
      </c>
      <c r="C364" s="189">
        <v>97069959</v>
      </c>
      <c r="D364" s="175"/>
      <c r="E364" s="175"/>
    </row>
    <row r="365" spans="1:5" ht="12.6" customHeight="1" x14ac:dyDescent="0.25">
      <c r="A365" s="173" t="s">
        <v>471</v>
      </c>
      <c r="B365" s="172" t="s">
        <v>274</v>
      </c>
      <c r="C365" s="189">
        <v>2363239</v>
      </c>
      <c r="D365" s="175"/>
      <c r="E365" s="175"/>
    </row>
    <row r="366" spans="1:5" ht="12.6" customHeight="1" x14ac:dyDescent="0.25">
      <c r="A366" s="173" t="s">
        <v>472</v>
      </c>
      <c r="B366" s="172" t="s">
        <v>274</v>
      </c>
      <c r="C366" s="189">
        <v>18668913</v>
      </c>
      <c r="D366" s="175"/>
      <c r="E366" s="175"/>
    </row>
    <row r="367" spans="1:5" ht="12.6" customHeight="1" x14ac:dyDescent="0.25">
      <c r="A367" s="173" t="s">
        <v>392</v>
      </c>
      <c r="B367" s="175"/>
      <c r="C367" s="191"/>
      <c r="D367" s="175">
        <f>SUM(C363:C366)</f>
        <v>120641983</v>
      </c>
      <c r="E367" s="175"/>
    </row>
    <row r="368" spans="1:5" ht="12.6" customHeight="1" x14ac:dyDescent="0.25">
      <c r="A368" s="173" t="s">
        <v>473</v>
      </c>
      <c r="B368" s="175"/>
      <c r="C368" s="191"/>
      <c r="D368" s="175">
        <f>D361-D367</f>
        <v>106725425</v>
      </c>
      <c r="E368" s="175"/>
    </row>
    <row r="369" spans="1:5" ht="12.6" customHeight="1" x14ac:dyDescent="0.25">
      <c r="A369" s="251" t="s">
        <v>474</v>
      </c>
      <c r="B369" s="251"/>
      <c r="C369" s="251"/>
      <c r="D369" s="251"/>
      <c r="E369" s="251"/>
    </row>
    <row r="370" spans="1:5" ht="12.6" customHeight="1" x14ac:dyDescent="0.25">
      <c r="A370" s="173" t="s">
        <v>475</v>
      </c>
      <c r="B370" s="172" t="s">
        <v>274</v>
      </c>
      <c r="C370" s="189">
        <f>5753466-461199-57264</f>
        <v>5235003</v>
      </c>
      <c r="D370" s="175"/>
      <c r="E370" s="175"/>
    </row>
    <row r="371" spans="1:5" ht="12.6" customHeight="1" x14ac:dyDescent="0.25">
      <c r="A371" s="173" t="s">
        <v>476</v>
      </c>
      <c r="B371" s="172" t="s">
        <v>274</v>
      </c>
      <c r="C371" s="189">
        <f>265881+195318</f>
        <v>461199</v>
      </c>
      <c r="D371" s="175"/>
      <c r="E371" s="175"/>
    </row>
    <row r="372" spans="1:5" ht="12.6" customHeight="1" x14ac:dyDescent="0.25">
      <c r="A372" s="173" t="s">
        <v>477</v>
      </c>
      <c r="B372" s="175"/>
      <c r="C372" s="191"/>
      <c r="D372" s="175">
        <f>SUM(C370:C371)</f>
        <v>5696202</v>
      </c>
      <c r="E372" s="175"/>
    </row>
    <row r="373" spans="1:5" ht="12.6" customHeight="1" x14ac:dyDescent="0.25">
      <c r="A373" s="173" t="s">
        <v>478</v>
      </c>
      <c r="B373" s="175"/>
      <c r="C373" s="191"/>
      <c r="D373" s="175">
        <f>D368+D372</f>
        <v>112421627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1" t="s">
        <v>479</v>
      </c>
      <c r="B377" s="251"/>
      <c r="C377" s="251"/>
      <c r="D377" s="251"/>
      <c r="E377" s="251"/>
    </row>
    <row r="378" spans="1:5" ht="12.6" customHeight="1" x14ac:dyDescent="0.25">
      <c r="A378" s="173" t="s">
        <v>480</v>
      </c>
      <c r="B378" s="172" t="s">
        <v>274</v>
      </c>
      <c r="C378" s="189">
        <v>53801639</v>
      </c>
      <c r="D378" s="175"/>
      <c r="E378" s="175"/>
    </row>
    <row r="379" spans="1:5" ht="12.6" customHeight="1" x14ac:dyDescent="0.25">
      <c r="A379" s="173" t="s">
        <v>13</v>
      </c>
      <c r="B379" s="172" t="s">
        <v>274</v>
      </c>
      <c r="C379" s="189">
        <v>13499328</v>
      </c>
      <c r="D379" s="175"/>
      <c r="E379" s="175"/>
    </row>
    <row r="380" spans="1:5" ht="12.6" customHeight="1" x14ac:dyDescent="0.25">
      <c r="A380" s="173" t="s">
        <v>253</v>
      </c>
      <c r="B380" s="172" t="s">
        <v>274</v>
      </c>
      <c r="C380" s="189">
        <v>6098592</v>
      </c>
      <c r="D380" s="175"/>
      <c r="E380" s="175"/>
    </row>
    <row r="381" spans="1:5" ht="12.6" customHeight="1" x14ac:dyDescent="0.25">
      <c r="A381" s="173" t="s">
        <v>481</v>
      </c>
      <c r="B381" s="172" t="s">
        <v>274</v>
      </c>
      <c r="C381" s="189">
        <v>18386976</v>
      </c>
      <c r="D381" s="175"/>
      <c r="E381" s="175"/>
    </row>
    <row r="382" spans="1:5" ht="12.6" customHeight="1" x14ac:dyDescent="0.25">
      <c r="A382" s="173" t="s">
        <v>482</v>
      </c>
      <c r="B382" s="172" t="s">
        <v>274</v>
      </c>
      <c r="C382" s="189">
        <v>1146728</v>
      </c>
      <c r="D382" s="175"/>
      <c r="E382" s="175"/>
    </row>
    <row r="383" spans="1:5" ht="12.6" customHeight="1" x14ac:dyDescent="0.25">
      <c r="A383" s="173" t="s">
        <v>483</v>
      </c>
      <c r="B383" s="172" t="s">
        <v>274</v>
      </c>
      <c r="C383" s="189">
        <v>5039231</v>
      </c>
      <c r="D383" s="175"/>
      <c r="E383" s="175"/>
    </row>
    <row r="384" spans="1:5" ht="12.6" customHeight="1" x14ac:dyDescent="0.25">
      <c r="A384" s="173" t="s">
        <v>18</v>
      </c>
      <c r="B384" s="172" t="s">
        <v>274</v>
      </c>
      <c r="C384" s="189">
        <v>4703575</v>
      </c>
      <c r="D384" s="175"/>
      <c r="E384" s="175"/>
    </row>
    <row r="385" spans="1:6" ht="12.6" customHeight="1" x14ac:dyDescent="0.25">
      <c r="A385" s="173" t="s">
        <v>484</v>
      </c>
      <c r="B385" s="172" t="s">
        <v>274</v>
      </c>
      <c r="C385" s="189">
        <v>1547347</v>
      </c>
      <c r="D385" s="175"/>
      <c r="E385" s="175"/>
    </row>
    <row r="386" spans="1:6" ht="12.6" customHeight="1" x14ac:dyDescent="0.25">
      <c r="A386" s="173" t="s">
        <v>485</v>
      </c>
      <c r="B386" s="172" t="s">
        <v>274</v>
      </c>
      <c r="C386" s="189">
        <v>740154</v>
      </c>
      <c r="D386" s="175"/>
      <c r="E386" s="175"/>
    </row>
    <row r="387" spans="1:6" ht="12.6" customHeight="1" x14ac:dyDescent="0.25">
      <c r="A387" s="173" t="s">
        <v>486</v>
      </c>
      <c r="B387" s="172" t="s">
        <v>274</v>
      </c>
      <c r="C387" s="189">
        <v>641426</v>
      </c>
      <c r="D387" s="175"/>
      <c r="E387" s="175"/>
    </row>
    <row r="388" spans="1:6" ht="12.6" customHeight="1" x14ac:dyDescent="0.25">
      <c r="A388" s="173" t="s">
        <v>487</v>
      </c>
      <c r="B388" s="172" t="s">
        <v>274</v>
      </c>
      <c r="C388" s="189">
        <v>1055232</v>
      </c>
      <c r="D388" s="175"/>
      <c r="E388" s="175"/>
    </row>
    <row r="389" spans="1:6" ht="12.6" customHeight="1" x14ac:dyDescent="0.25">
      <c r="A389" s="173" t="s">
        <v>488</v>
      </c>
      <c r="B389" s="172" t="s">
        <v>274</v>
      </c>
      <c r="C389" s="189">
        <v>2508110</v>
      </c>
      <c r="D389" s="175"/>
      <c r="E389" s="175"/>
    </row>
    <row r="390" spans="1:6" ht="12.6" customHeight="1" x14ac:dyDescent="0.25">
      <c r="A390" s="173" t="s">
        <v>489</v>
      </c>
      <c r="B390" s="175"/>
      <c r="C390" s="191"/>
      <c r="D390" s="175">
        <f>SUM(C378:C389)</f>
        <v>109168338</v>
      </c>
      <c r="E390" s="175"/>
    </row>
    <row r="391" spans="1:6" ht="12.6" customHeight="1" x14ac:dyDescent="0.25">
      <c r="A391" s="173" t="s">
        <v>490</v>
      </c>
      <c r="B391" s="175"/>
      <c r="C391" s="191"/>
      <c r="D391" s="175">
        <f>D373-D390</f>
        <v>3253289</v>
      </c>
      <c r="E391" s="175"/>
    </row>
    <row r="392" spans="1:6" ht="12.6" customHeight="1" x14ac:dyDescent="0.25">
      <c r="A392" s="173" t="s">
        <v>491</v>
      </c>
      <c r="B392" s="172" t="s">
        <v>274</v>
      </c>
      <c r="C392" s="189">
        <f>1048238+57264</f>
        <v>1105502</v>
      </c>
      <c r="D392" s="175"/>
      <c r="E392" s="175"/>
    </row>
    <row r="393" spans="1:6" ht="12.6" customHeight="1" x14ac:dyDescent="0.25">
      <c r="A393" s="173" t="s">
        <v>492</v>
      </c>
      <c r="B393" s="175"/>
      <c r="C393" s="191"/>
      <c r="D393" s="195">
        <f>D391+C392</f>
        <v>4358791</v>
      </c>
      <c r="E393" s="175"/>
      <c r="F393" s="197"/>
    </row>
    <row r="394" spans="1:6" ht="12.6" customHeight="1" x14ac:dyDescent="0.25">
      <c r="A394" s="173" t="s">
        <v>493</v>
      </c>
      <c r="B394" s="172" t="s">
        <v>274</v>
      </c>
      <c r="C394" s="189"/>
      <c r="D394" s="175"/>
      <c r="E394" s="175"/>
    </row>
    <row r="395" spans="1:6" ht="12.6" customHeight="1" x14ac:dyDescent="0.25">
      <c r="A395" s="173" t="s">
        <v>494</v>
      </c>
      <c r="B395" s="172" t="s">
        <v>274</v>
      </c>
      <c r="C395" s="189"/>
      <c r="D395" s="175"/>
      <c r="E395" s="175"/>
    </row>
    <row r="396" spans="1:6" ht="12.6" customHeight="1" x14ac:dyDescent="0.25">
      <c r="A396" s="173" t="s">
        <v>495</v>
      </c>
      <c r="B396" s="175"/>
      <c r="C396" s="191"/>
      <c r="D396" s="175">
        <f>D393+C394-C395</f>
        <v>4358791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496</v>
      </c>
      <c r="D411" s="179"/>
      <c r="E411" s="254"/>
    </row>
    <row r="412" spans="1:5" ht="12.6" customHeight="1" x14ac:dyDescent="0.25">
      <c r="A412" s="179" t="str">
        <f>C84&amp;"   "&amp;"H-"&amp;FIXED(C83,0,TRUE)&amp;"     FYE "&amp;C82</f>
        <v>Jefferson County Public Hospital District No 2   H-0     FYE 12/31/2018</v>
      </c>
      <c r="B412" s="179"/>
      <c r="C412" s="179"/>
      <c r="D412" s="179"/>
      <c r="E412" s="254"/>
    </row>
    <row r="413" spans="1:5" ht="12.6" customHeight="1" x14ac:dyDescent="0.25">
      <c r="A413" s="179" t="s">
        <v>497</v>
      </c>
      <c r="B413" s="181" t="s">
        <v>498</v>
      </c>
      <c r="C413" s="181" t="s">
        <v>499</v>
      </c>
      <c r="D413" s="181" t="s">
        <v>500</v>
      </c>
    </row>
    <row r="414" spans="1:5" ht="12.6" customHeight="1" x14ac:dyDescent="0.25">
      <c r="A414" s="179" t="s">
        <v>501</v>
      </c>
      <c r="B414" s="179">
        <f>C111</f>
        <v>1501</v>
      </c>
      <c r="C414" s="194">
        <f>E138</f>
        <v>1501</v>
      </c>
      <c r="D414" s="179"/>
    </row>
    <row r="415" spans="1:5" ht="12.6" customHeight="1" x14ac:dyDescent="0.25">
      <c r="A415" s="179" t="s">
        <v>502</v>
      </c>
      <c r="B415" s="179">
        <f>D111</f>
        <v>4598</v>
      </c>
      <c r="C415" s="179">
        <f>E139</f>
        <v>4598</v>
      </c>
      <c r="D415" s="194">
        <f>SUM(C59:H59)+N59</f>
        <v>4598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503</v>
      </c>
      <c r="B417" s="179">
        <f>C112</f>
        <v>23</v>
      </c>
      <c r="C417" s="194">
        <f>E144</f>
        <v>23</v>
      </c>
      <c r="D417" s="179"/>
    </row>
    <row r="418" spans="1:7" ht="12.6" customHeight="1" x14ac:dyDescent="0.25">
      <c r="A418" s="179" t="s">
        <v>504</v>
      </c>
      <c r="B418" s="179">
        <f>D112</f>
        <v>124</v>
      </c>
      <c r="C418" s="179">
        <f>E145</f>
        <v>124</v>
      </c>
      <c r="D418" s="179">
        <f>K59+L59</f>
        <v>124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505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506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507</v>
      </c>
      <c r="B423" s="180">
        <f>C114</f>
        <v>113</v>
      </c>
    </row>
    <row r="424" spans="1:7" ht="12.6" customHeight="1" x14ac:dyDescent="0.25">
      <c r="A424" s="179" t="s">
        <v>508</v>
      </c>
      <c r="B424" s="179">
        <f>D114</f>
        <v>278</v>
      </c>
      <c r="D424" s="179">
        <f>J59</f>
        <v>278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509</v>
      </c>
      <c r="B426" s="181" t="s">
        <v>510</v>
      </c>
      <c r="C426" s="181" t="s">
        <v>500</v>
      </c>
      <c r="D426" s="181" t="s">
        <v>511</v>
      </c>
    </row>
    <row r="427" spans="1:7" ht="12.6" customHeight="1" x14ac:dyDescent="0.25">
      <c r="A427" s="179" t="s">
        <v>512</v>
      </c>
      <c r="B427" s="179">
        <f t="shared" ref="B427:B437" si="12">C378</f>
        <v>53801639</v>
      </c>
      <c r="C427" s="179">
        <f t="shared" ref="C427:C434" si="13">CE61</f>
        <v>53801639</v>
      </c>
      <c r="D427" s="179"/>
    </row>
    <row r="428" spans="1:7" ht="12.6" customHeight="1" x14ac:dyDescent="0.25">
      <c r="A428" s="179" t="s">
        <v>13</v>
      </c>
      <c r="B428" s="179">
        <f t="shared" si="12"/>
        <v>13499328</v>
      </c>
      <c r="C428" s="179">
        <f t="shared" si="13"/>
        <v>13499330</v>
      </c>
      <c r="D428" s="179">
        <f>D173</f>
        <v>13499328</v>
      </c>
    </row>
    <row r="429" spans="1:7" ht="12.6" customHeight="1" x14ac:dyDescent="0.25">
      <c r="A429" s="179" t="s">
        <v>253</v>
      </c>
      <c r="B429" s="179">
        <f t="shared" si="12"/>
        <v>6098592</v>
      </c>
      <c r="C429" s="179">
        <f t="shared" si="13"/>
        <v>6098592</v>
      </c>
      <c r="D429" s="179"/>
    </row>
    <row r="430" spans="1:7" ht="12.6" customHeight="1" x14ac:dyDescent="0.25">
      <c r="A430" s="179" t="s">
        <v>254</v>
      </c>
      <c r="B430" s="179">
        <f t="shared" si="12"/>
        <v>18386976</v>
      </c>
      <c r="C430" s="179">
        <f t="shared" si="13"/>
        <v>18386976</v>
      </c>
      <c r="D430" s="179"/>
    </row>
    <row r="431" spans="1:7" ht="12.6" customHeight="1" x14ac:dyDescent="0.25">
      <c r="A431" s="179" t="s">
        <v>482</v>
      </c>
      <c r="B431" s="179">
        <f t="shared" si="12"/>
        <v>1146728</v>
      </c>
      <c r="C431" s="179">
        <f t="shared" si="13"/>
        <v>1146728</v>
      </c>
      <c r="D431" s="179"/>
    </row>
    <row r="432" spans="1:7" ht="12.6" customHeight="1" x14ac:dyDescent="0.25">
      <c r="A432" s="179" t="s">
        <v>483</v>
      </c>
      <c r="B432" s="179">
        <f t="shared" si="12"/>
        <v>5039231</v>
      </c>
      <c r="C432" s="179">
        <f t="shared" si="13"/>
        <v>5039231</v>
      </c>
      <c r="D432" s="179"/>
    </row>
    <row r="433" spans="1:7" ht="12.6" customHeight="1" x14ac:dyDescent="0.25">
      <c r="A433" s="179" t="s">
        <v>18</v>
      </c>
      <c r="B433" s="179">
        <f t="shared" si="12"/>
        <v>4703575</v>
      </c>
      <c r="C433" s="179">
        <f t="shared" si="13"/>
        <v>3771138</v>
      </c>
      <c r="D433" s="179">
        <f>C217</f>
        <v>4703575</v>
      </c>
    </row>
    <row r="434" spans="1:7" ht="12.6" customHeight="1" x14ac:dyDescent="0.25">
      <c r="A434" s="179" t="s">
        <v>513</v>
      </c>
      <c r="B434" s="179">
        <f t="shared" si="12"/>
        <v>1547347</v>
      </c>
      <c r="C434" s="179">
        <f t="shared" si="13"/>
        <v>1547347</v>
      </c>
      <c r="D434" s="179">
        <f>D177</f>
        <v>1547347</v>
      </c>
    </row>
    <row r="435" spans="1:7" ht="12.6" customHeight="1" x14ac:dyDescent="0.25">
      <c r="A435" s="179" t="s">
        <v>485</v>
      </c>
      <c r="B435" s="179">
        <f t="shared" si="12"/>
        <v>740154</v>
      </c>
      <c r="C435" s="179"/>
      <c r="D435" s="179">
        <f>D181</f>
        <v>740154</v>
      </c>
    </row>
    <row r="436" spans="1:7" ht="12.6" customHeight="1" x14ac:dyDescent="0.25">
      <c r="A436" s="179" t="s">
        <v>514</v>
      </c>
      <c r="B436" s="179">
        <f t="shared" si="12"/>
        <v>641426</v>
      </c>
      <c r="C436" s="179"/>
      <c r="D436" s="179">
        <f>D186</f>
        <v>641426</v>
      </c>
    </row>
    <row r="437" spans="1:7" ht="12.6" customHeight="1" x14ac:dyDescent="0.25">
      <c r="A437" s="194" t="s">
        <v>487</v>
      </c>
      <c r="B437" s="194">
        <f t="shared" si="12"/>
        <v>1055232</v>
      </c>
      <c r="C437" s="194"/>
      <c r="D437" s="194">
        <f>D190</f>
        <v>1055232</v>
      </c>
    </row>
    <row r="438" spans="1:7" ht="12.6" customHeight="1" x14ac:dyDescent="0.25">
      <c r="A438" s="194" t="s">
        <v>515</v>
      </c>
      <c r="B438" s="194">
        <f>C386+C387+C388</f>
        <v>2436812</v>
      </c>
      <c r="C438" s="194">
        <f>CD69</f>
        <v>2436812</v>
      </c>
      <c r="D438" s="194">
        <f>D181+D186+D190</f>
        <v>2436812</v>
      </c>
    </row>
    <row r="439" spans="1:7" ht="12.6" customHeight="1" x14ac:dyDescent="0.25">
      <c r="A439" s="179" t="s">
        <v>488</v>
      </c>
      <c r="B439" s="194">
        <f>C389</f>
        <v>2508110</v>
      </c>
      <c r="C439" s="194">
        <f>SUM(C69:CC69)</f>
        <v>2508110</v>
      </c>
      <c r="D439" s="179"/>
    </row>
    <row r="440" spans="1:7" ht="12.6" customHeight="1" x14ac:dyDescent="0.25">
      <c r="A440" s="179" t="s">
        <v>516</v>
      </c>
      <c r="B440" s="194">
        <f>B438+B439</f>
        <v>4944922</v>
      </c>
      <c r="C440" s="194">
        <f>CE69</f>
        <v>4944922</v>
      </c>
      <c r="D440" s="179"/>
    </row>
    <row r="441" spans="1:7" ht="12.6" customHeight="1" x14ac:dyDescent="0.25">
      <c r="A441" s="179" t="s">
        <v>517</v>
      </c>
      <c r="B441" s="179">
        <f>D390</f>
        <v>109168338</v>
      </c>
      <c r="C441" s="179">
        <f>SUM(C427:C437)+C440</f>
        <v>108235903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518</v>
      </c>
      <c r="B443" s="181" t="s">
        <v>519</v>
      </c>
      <c r="C443" s="181" t="s">
        <v>510</v>
      </c>
      <c r="D443" s="179"/>
    </row>
    <row r="444" spans="1:7" ht="12.6" customHeight="1" x14ac:dyDescent="0.25">
      <c r="A444" s="179" t="s">
        <v>520</v>
      </c>
      <c r="B444" s="179">
        <f>D221</f>
        <v>2539972</v>
      </c>
      <c r="C444" s="179">
        <f>C363</f>
        <v>2539872</v>
      </c>
      <c r="D444" s="179"/>
    </row>
    <row r="445" spans="1:7" ht="12.6" customHeight="1" x14ac:dyDescent="0.25">
      <c r="A445" s="179" t="s">
        <v>376</v>
      </c>
      <c r="B445" s="179">
        <f>D229</f>
        <v>97069859</v>
      </c>
      <c r="C445" s="179">
        <f>C364</f>
        <v>97069959</v>
      </c>
      <c r="D445" s="179"/>
    </row>
    <row r="446" spans="1:7" ht="12.6" customHeight="1" x14ac:dyDescent="0.25">
      <c r="A446" s="179" t="s">
        <v>384</v>
      </c>
      <c r="B446" s="179">
        <f>D236</f>
        <v>2363238.5599999996</v>
      </c>
      <c r="C446" s="179">
        <f>C365</f>
        <v>2363239</v>
      </c>
      <c r="D446" s="179"/>
    </row>
    <row r="447" spans="1:7" ht="12.6" customHeight="1" x14ac:dyDescent="0.25">
      <c r="A447" s="179" t="s">
        <v>389</v>
      </c>
      <c r="B447" s="179">
        <f>D240</f>
        <v>18668913</v>
      </c>
      <c r="C447" s="179">
        <f>C366</f>
        <v>18668913</v>
      </c>
      <c r="D447" s="179"/>
    </row>
    <row r="448" spans="1:7" ht="12.6" customHeight="1" x14ac:dyDescent="0.25">
      <c r="A448" s="179" t="s">
        <v>391</v>
      </c>
      <c r="B448" s="179">
        <f>D242</f>
        <v>120641982.56</v>
      </c>
      <c r="C448" s="179">
        <f>D367</f>
        <v>120641983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521</v>
      </c>
      <c r="B450" s="181" t="s">
        <v>522</v>
      </c>
      <c r="C450" s="203"/>
      <c r="D450" s="203"/>
      <c r="F450" s="203"/>
      <c r="G450" s="203"/>
    </row>
    <row r="451" spans="1:7" ht="12.6" customHeight="1" x14ac:dyDescent="0.25">
      <c r="B451" s="181" t="s">
        <v>523</v>
      </c>
    </row>
    <row r="452" spans="1:7" ht="12.6" customHeight="1" x14ac:dyDescent="0.25">
      <c r="B452" s="181" t="s">
        <v>511</v>
      </c>
    </row>
    <row r="453" spans="1:7" ht="12.6" customHeight="1" x14ac:dyDescent="0.25">
      <c r="A453" s="199" t="s">
        <v>524</v>
      </c>
      <c r="B453" s="180">
        <f>C231</f>
        <v>1403</v>
      </c>
    </row>
    <row r="454" spans="1:7" ht="12.6" customHeight="1" x14ac:dyDescent="0.25">
      <c r="A454" s="179" t="s">
        <v>184</v>
      </c>
      <c r="B454" s="179">
        <f>C233</f>
        <v>313130.46999999997</v>
      </c>
      <c r="C454" s="179"/>
      <c r="D454" s="179"/>
    </row>
    <row r="455" spans="1:7" ht="12.6" customHeight="1" x14ac:dyDescent="0.25">
      <c r="A455" s="179" t="s">
        <v>147</v>
      </c>
      <c r="B455" s="179">
        <f>C234</f>
        <v>2050108.0899999999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525</v>
      </c>
      <c r="B457" s="181" t="s">
        <v>510</v>
      </c>
      <c r="C457" s="181" t="s">
        <v>526</v>
      </c>
      <c r="D457" s="179"/>
    </row>
    <row r="458" spans="1:7" ht="12.6" customHeight="1" x14ac:dyDescent="0.25">
      <c r="A458" s="179" t="s">
        <v>527</v>
      </c>
      <c r="B458" s="194">
        <f>C370</f>
        <v>5235003</v>
      </c>
      <c r="C458" s="194">
        <f>CE70</f>
        <v>5235003</v>
      </c>
      <c r="D458" s="194"/>
    </row>
    <row r="459" spans="1:7" ht="12.6" customHeight="1" x14ac:dyDescent="0.25">
      <c r="A459" s="179" t="s">
        <v>261</v>
      </c>
      <c r="B459" s="194">
        <f>C371</f>
        <v>461199</v>
      </c>
      <c r="C459" s="194">
        <f>CE72</f>
        <v>461199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528</v>
      </c>
      <c r="B461" s="181"/>
      <c r="C461" s="181"/>
      <c r="D461" s="181" t="s">
        <v>529</v>
      </c>
    </row>
    <row r="462" spans="1:7" ht="12.6" customHeight="1" x14ac:dyDescent="0.25">
      <c r="B462" s="181" t="s">
        <v>510</v>
      </c>
      <c r="C462" s="181" t="s">
        <v>526</v>
      </c>
      <c r="D462" s="181" t="s">
        <v>530</v>
      </c>
    </row>
    <row r="463" spans="1:7" ht="12.6" customHeight="1" x14ac:dyDescent="0.25">
      <c r="A463" s="179" t="s">
        <v>262</v>
      </c>
      <c r="B463" s="194">
        <f>C359</f>
        <v>44536960</v>
      </c>
      <c r="C463" s="194">
        <f>CE73</f>
        <v>44536960</v>
      </c>
      <c r="D463" s="194">
        <f>E141+E147+E153</f>
        <v>44536960</v>
      </c>
    </row>
    <row r="464" spans="1:7" ht="12.6" customHeight="1" x14ac:dyDescent="0.25">
      <c r="A464" s="179" t="s">
        <v>263</v>
      </c>
      <c r="B464" s="194">
        <f>C360</f>
        <v>182830448</v>
      </c>
      <c r="C464" s="194">
        <f>CE74</f>
        <v>182830448</v>
      </c>
      <c r="D464" s="194">
        <f>E142+E148+E154</f>
        <v>182830448</v>
      </c>
    </row>
    <row r="465" spans="1:7" ht="12.6" customHeight="1" x14ac:dyDescent="0.25">
      <c r="A465" s="179" t="s">
        <v>264</v>
      </c>
      <c r="B465" s="194">
        <f>D361</f>
        <v>227367408</v>
      </c>
      <c r="C465" s="194">
        <f>CE75</f>
        <v>227367408</v>
      </c>
      <c r="D465" s="194">
        <f>D463+D464</f>
        <v>227367408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531</v>
      </c>
      <c r="B467" s="181" t="s">
        <v>532</v>
      </c>
      <c r="C467" s="181" t="s">
        <v>533</v>
      </c>
      <c r="D467" s="179"/>
    </row>
    <row r="468" spans="1:7" ht="12.6" customHeight="1" x14ac:dyDescent="0.25">
      <c r="A468" s="179" t="s">
        <v>364</v>
      </c>
      <c r="B468" s="179">
        <f t="shared" ref="B468:B475" si="14">C267</f>
        <v>718068</v>
      </c>
      <c r="C468" s="179">
        <f>E195</f>
        <v>718068</v>
      </c>
      <c r="D468" s="179"/>
    </row>
    <row r="469" spans="1:7" ht="12.6" customHeight="1" x14ac:dyDescent="0.25">
      <c r="A469" s="179" t="s">
        <v>365</v>
      </c>
      <c r="B469" s="179">
        <f t="shared" si="14"/>
        <v>4028158</v>
      </c>
      <c r="C469" s="179">
        <f>E196</f>
        <v>4028158</v>
      </c>
      <c r="D469" s="179"/>
    </row>
    <row r="470" spans="1:7" ht="12.6" customHeight="1" x14ac:dyDescent="0.25">
      <c r="A470" s="179" t="s">
        <v>366</v>
      </c>
      <c r="B470" s="179">
        <f t="shared" si="14"/>
        <v>39695927</v>
      </c>
      <c r="C470" s="179">
        <f>E197</f>
        <v>39695927</v>
      </c>
      <c r="D470" s="179"/>
    </row>
    <row r="471" spans="1:7" ht="12.6" customHeight="1" x14ac:dyDescent="0.25">
      <c r="A471" s="179" t="s">
        <v>534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411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535</v>
      </c>
      <c r="B473" s="179">
        <f t="shared" si="14"/>
        <v>38625118</v>
      </c>
      <c r="C473" s="179">
        <f>SUM(E200:E201)</f>
        <v>38625118</v>
      </c>
      <c r="D473" s="179"/>
    </row>
    <row r="474" spans="1:7" ht="12.6" customHeight="1" x14ac:dyDescent="0.25">
      <c r="A474" s="179" t="s">
        <v>371</v>
      </c>
      <c r="B474" s="179">
        <f t="shared" si="14"/>
        <v>1292256</v>
      </c>
      <c r="C474" s="179">
        <f>E202</f>
        <v>1292256</v>
      </c>
      <c r="D474" s="179"/>
    </row>
    <row r="475" spans="1:7" ht="12.6" customHeight="1" x14ac:dyDescent="0.25">
      <c r="A475" s="179" t="s">
        <v>372</v>
      </c>
      <c r="B475" s="179">
        <f t="shared" si="14"/>
        <v>1536972</v>
      </c>
      <c r="C475" s="179">
        <f>E203</f>
        <v>1536972</v>
      </c>
      <c r="D475" s="179"/>
    </row>
    <row r="476" spans="1:7" ht="12.6" customHeight="1" x14ac:dyDescent="0.25">
      <c r="A476" s="179" t="s">
        <v>219</v>
      </c>
      <c r="B476" s="179">
        <f>D275</f>
        <v>85896499</v>
      </c>
      <c r="C476" s="179">
        <f>E204</f>
        <v>85896499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536</v>
      </c>
      <c r="B478" s="179">
        <f>C276</f>
        <v>42524534</v>
      </c>
      <c r="C478" s="179">
        <f>E217</f>
        <v>42524534</v>
      </c>
      <c r="D478" s="179"/>
    </row>
    <row r="480" spans="1:7" ht="12.6" customHeight="1" x14ac:dyDescent="0.25">
      <c r="A480" s="180" t="s">
        <v>537</v>
      </c>
    </row>
    <row r="481" spans="1:12" ht="12.6" customHeight="1" x14ac:dyDescent="0.25">
      <c r="A481" s="180" t="s">
        <v>538</v>
      </c>
      <c r="C481" s="180">
        <f>D341</f>
        <v>94802762</v>
      </c>
    </row>
    <row r="482" spans="1:12" ht="12.6" customHeight="1" x14ac:dyDescent="0.25">
      <c r="A482" s="180" t="s">
        <v>539</v>
      </c>
      <c r="C482" s="180">
        <f>D339</f>
        <v>94802762</v>
      </c>
    </row>
    <row r="485" spans="1:12" ht="12.6" customHeight="1" x14ac:dyDescent="0.25">
      <c r="A485" s="199" t="s">
        <v>540</v>
      </c>
    </row>
    <row r="486" spans="1:12" ht="12.6" customHeight="1" x14ac:dyDescent="0.25">
      <c r="A486" s="199" t="s">
        <v>541</v>
      </c>
    </row>
    <row r="487" spans="1:12" ht="12.6" customHeight="1" x14ac:dyDescent="0.25">
      <c r="A487" s="199" t="s">
        <v>542</v>
      </c>
    </row>
    <row r="488" spans="1:12" ht="12.6" customHeight="1" x14ac:dyDescent="0.25">
      <c r="A488" s="199"/>
    </row>
    <row r="489" spans="1:12" ht="12.6" customHeight="1" x14ac:dyDescent="0.25">
      <c r="A489" s="198" t="s">
        <v>543</v>
      </c>
    </row>
    <row r="490" spans="1:12" ht="12.6" customHeight="1" x14ac:dyDescent="0.25">
      <c r="A490" s="199" t="s">
        <v>544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085</v>
      </c>
      <c r="B493" s="255" t="s">
        <v>1015</v>
      </c>
      <c r="C493" s="255" t="str">
        <f>RIGHT(C82,4)</f>
        <v>2018</v>
      </c>
      <c r="D493" s="255" t="s">
        <v>1015</v>
      </c>
      <c r="E493" s="255" t="str">
        <f>RIGHT(C82,4)</f>
        <v>2018</v>
      </c>
      <c r="F493" s="255" t="s">
        <v>1015</v>
      </c>
      <c r="G493" s="255" t="str">
        <f>RIGHT(C82,4)</f>
        <v>2018</v>
      </c>
      <c r="H493" s="255"/>
      <c r="K493" s="255"/>
      <c r="L493" s="255"/>
    </row>
    <row r="494" spans="1:12" ht="12.6" customHeight="1" x14ac:dyDescent="0.25">
      <c r="A494" s="198"/>
      <c r="B494" s="181" t="s">
        <v>545</v>
      </c>
      <c r="C494" s="181" t="s">
        <v>545</v>
      </c>
      <c r="D494" s="256" t="s">
        <v>546</v>
      </c>
      <c r="E494" s="256" t="s">
        <v>546</v>
      </c>
      <c r="F494" s="255" t="s">
        <v>547</v>
      </c>
      <c r="G494" s="255" t="s">
        <v>547</v>
      </c>
      <c r="H494" s="255" t="s">
        <v>548</v>
      </c>
      <c r="K494" s="255"/>
      <c r="L494" s="255"/>
    </row>
    <row r="495" spans="1:12" ht="12.6" customHeight="1" x14ac:dyDescent="0.25">
      <c r="B495" s="181" t="s">
        <v>335</v>
      </c>
      <c r="C495" s="181" t="s">
        <v>335</v>
      </c>
      <c r="D495" s="181" t="s">
        <v>549</v>
      </c>
      <c r="E495" s="181" t="s">
        <v>549</v>
      </c>
      <c r="F495" s="255" t="s">
        <v>550</v>
      </c>
      <c r="G495" s="255" t="s">
        <v>550</v>
      </c>
      <c r="H495" s="255" t="s">
        <v>551</v>
      </c>
      <c r="K495" s="255"/>
      <c r="L495" s="255"/>
    </row>
    <row r="496" spans="1:12" ht="12.6" customHeight="1" x14ac:dyDescent="0.3">
      <c r="A496" s="180" t="s">
        <v>552</v>
      </c>
      <c r="B496" s="234">
        <v>1736125</v>
      </c>
      <c r="C496" s="234">
        <f>C71</f>
        <v>1656725</v>
      </c>
      <c r="D496" s="234">
        <v>276</v>
      </c>
      <c r="E496" s="180">
        <f>C59</f>
        <v>208</v>
      </c>
      <c r="F496" s="257">
        <f t="shared" ref="F496:G511" si="15">IF(B496=0,"",IF(D496=0,"",B496/D496))</f>
        <v>6290.307971014493</v>
      </c>
      <c r="G496" s="258">
        <f t="shared" si="15"/>
        <v>7965.0240384615381</v>
      </c>
      <c r="H496" s="259">
        <f>IF(B496=0,"",IF(C496=0,"",IF(D496=0,"",IF(E496=0,"",IF(G496/F496-1&lt;-0.25,G496/F496-1,IF(G496/F496-1&gt;0.25,G496/F496-1,""))))))</f>
        <v>0.2662375316382084</v>
      </c>
      <c r="I496" s="274" t="s">
        <v>1016</v>
      </c>
      <c r="K496" s="255"/>
      <c r="L496" s="255"/>
    </row>
    <row r="497" spans="1:12" ht="12.6" customHeight="1" x14ac:dyDescent="0.25">
      <c r="A497" s="180" t="s">
        <v>553</v>
      </c>
      <c r="B497" s="234">
        <v>0</v>
      </c>
      <c r="C497" s="234">
        <f>D71</f>
        <v>0</v>
      </c>
      <c r="D497" s="234">
        <v>0</v>
      </c>
      <c r="E497" s="180">
        <f>D59</f>
        <v>0</v>
      </c>
      <c r="F497" s="257" t="str">
        <f t="shared" si="15"/>
        <v/>
      </c>
      <c r="G497" s="257" t="str">
        <f t="shared" si="15"/>
        <v/>
      </c>
      <c r="H497" s="259" t="str">
        <f t="shared" ref="H497:H550" si="16">IF(B497=0,"",IF(C497=0,"",IF(D497=0,"",IF(E497=0,"",IF(G497/F497-1&lt;-0.25,G497/F497-1,IF(G497/F497-1&gt;0.25,G497/F497-1,""))))))</f>
        <v/>
      </c>
      <c r="I497" s="261"/>
      <c r="K497" s="255"/>
      <c r="L497" s="255"/>
    </row>
    <row r="498" spans="1:12" ht="12.6" customHeight="1" x14ac:dyDescent="0.25">
      <c r="A498" s="180" t="s">
        <v>554</v>
      </c>
      <c r="B498" s="234">
        <v>4045128</v>
      </c>
      <c r="C498" s="234">
        <f>E71</f>
        <v>4121972</v>
      </c>
      <c r="D498" s="234">
        <v>4558</v>
      </c>
      <c r="E498" s="180">
        <f>E59</f>
        <v>4390</v>
      </c>
      <c r="F498" s="257">
        <f t="shared" si="15"/>
        <v>887.47871873628787</v>
      </c>
      <c r="G498" s="257">
        <f t="shared" si="15"/>
        <v>938.94578587699311</v>
      </c>
      <c r="H498" s="259" t="str">
        <f t="shared" si="16"/>
        <v/>
      </c>
      <c r="I498" s="261"/>
      <c r="K498" s="255"/>
      <c r="L498" s="255"/>
    </row>
    <row r="499" spans="1:12" ht="12.6" customHeight="1" x14ac:dyDescent="0.25">
      <c r="A499" s="180" t="s">
        <v>555</v>
      </c>
      <c r="B499" s="234">
        <v>0</v>
      </c>
      <c r="C499" s="234">
        <f>F71</f>
        <v>0</v>
      </c>
      <c r="D499" s="234">
        <v>0</v>
      </c>
      <c r="E499" s="180">
        <f>F59</f>
        <v>0</v>
      </c>
      <c r="F499" s="257" t="str">
        <f t="shared" si="15"/>
        <v/>
      </c>
      <c r="G499" s="257" t="str">
        <f t="shared" si="15"/>
        <v/>
      </c>
      <c r="H499" s="259" t="str">
        <f t="shared" si="16"/>
        <v/>
      </c>
      <c r="I499" s="261"/>
      <c r="K499" s="255"/>
      <c r="L499" s="255"/>
    </row>
    <row r="500" spans="1:12" ht="12.6" customHeight="1" x14ac:dyDescent="0.25">
      <c r="A500" s="180" t="s">
        <v>556</v>
      </c>
      <c r="B500" s="234">
        <v>0</v>
      </c>
      <c r="C500" s="234">
        <f>G71</f>
        <v>0</v>
      </c>
      <c r="D500" s="234">
        <v>0</v>
      </c>
      <c r="E500" s="180">
        <f>G59</f>
        <v>0</v>
      </c>
      <c r="F500" s="257" t="str">
        <f t="shared" si="15"/>
        <v/>
      </c>
      <c r="G500" s="257" t="str">
        <f t="shared" si="15"/>
        <v/>
      </c>
      <c r="H500" s="259" t="str">
        <f t="shared" si="16"/>
        <v/>
      </c>
      <c r="I500" s="261"/>
      <c r="K500" s="255"/>
      <c r="L500" s="255"/>
    </row>
    <row r="501" spans="1:12" ht="12.6" customHeight="1" x14ac:dyDescent="0.25">
      <c r="A501" s="180" t="s">
        <v>557</v>
      </c>
      <c r="B501" s="234">
        <v>0</v>
      </c>
      <c r="C501" s="234">
        <f>H71</f>
        <v>0</v>
      </c>
      <c r="D501" s="234">
        <v>0</v>
      </c>
      <c r="E501" s="180">
        <f>H59</f>
        <v>0</v>
      </c>
      <c r="F501" s="257" t="str">
        <f t="shared" si="15"/>
        <v/>
      </c>
      <c r="G501" s="257" t="str">
        <f t="shared" si="15"/>
        <v/>
      </c>
      <c r="H501" s="259" t="str">
        <f t="shared" si="16"/>
        <v/>
      </c>
      <c r="I501" s="261"/>
      <c r="K501" s="255"/>
      <c r="L501" s="255"/>
    </row>
    <row r="502" spans="1:12" ht="12.6" customHeight="1" x14ac:dyDescent="0.25">
      <c r="A502" s="180" t="s">
        <v>558</v>
      </c>
      <c r="B502" s="234">
        <v>0</v>
      </c>
      <c r="C502" s="234">
        <f>I71</f>
        <v>0</v>
      </c>
      <c r="D502" s="234">
        <v>0</v>
      </c>
      <c r="E502" s="180">
        <f>I59</f>
        <v>0</v>
      </c>
      <c r="F502" s="257" t="str">
        <f t="shared" si="15"/>
        <v/>
      </c>
      <c r="G502" s="257" t="str">
        <f t="shared" si="15"/>
        <v/>
      </c>
      <c r="H502" s="259" t="str">
        <f t="shared" si="16"/>
        <v/>
      </c>
      <c r="I502" s="261"/>
      <c r="K502" s="255"/>
      <c r="L502" s="255"/>
    </row>
    <row r="503" spans="1:12" ht="12.6" customHeight="1" x14ac:dyDescent="0.25">
      <c r="A503" s="180" t="s">
        <v>559</v>
      </c>
      <c r="B503" s="234">
        <v>2782</v>
      </c>
      <c r="C503" s="234">
        <f>J71</f>
        <v>2385</v>
      </c>
      <c r="D503" s="234">
        <v>0</v>
      </c>
      <c r="E503" s="180">
        <f>J59</f>
        <v>278</v>
      </c>
      <c r="F503" s="257" t="str">
        <f t="shared" si="15"/>
        <v/>
      </c>
      <c r="G503" s="257">
        <f t="shared" si="15"/>
        <v>8.5791366906474824</v>
      </c>
      <c r="H503" s="259" t="str">
        <f t="shared" si="16"/>
        <v/>
      </c>
      <c r="I503" s="261"/>
      <c r="K503" s="255"/>
      <c r="L503" s="255"/>
    </row>
    <row r="504" spans="1:12" ht="12.6" customHeight="1" x14ac:dyDescent="0.25">
      <c r="A504" s="180" t="s">
        <v>560</v>
      </c>
      <c r="B504" s="234">
        <v>0</v>
      </c>
      <c r="C504" s="234">
        <f>K71</f>
        <v>0</v>
      </c>
      <c r="D504" s="234">
        <v>0</v>
      </c>
      <c r="E504" s="180">
        <f>K59</f>
        <v>0</v>
      </c>
      <c r="F504" s="257" t="str">
        <f t="shared" si="15"/>
        <v/>
      </c>
      <c r="G504" s="257" t="str">
        <f t="shared" si="15"/>
        <v/>
      </c>
      <c r="H504" s="259" t="str">
        <f t="shared" si="16"/>
        <v/>
      </c>
      <c r="I504" s="261"/>
      <c r="K504" s="255"/>
      <c r="L504" s="255"/>
    </row>
    <row r="505" spans="1:12" ht="12.6" customHeight="1" x14ac:dyDescent="0.3">
      <c r="A505" s="180" t="s">
        <v>561</v>
      </c>
      <c r="B505" s="234">
        <v>73058</v>
      </c>
      <c r="C505" s="234">
        <f>L71</f>
        <v>60446</v>
      </c>
      <c r="D505" s="234">
        <v>176</v>
      </c>
      <c r="E505" s="180">
        <f>L59</f>
        <v>124</v>
      </c>
      <c r="F505" s="257">
        <f t="shared" si="15"/>
        <v>415.10227272727275</v>
      </c>
      <c r="G505" s="257">
        <f t="shared" si="15"/>
        <v>487.46774193548384</v>
      </c>
      <c r="H505" s="259" t="str">
        <f t="shared" si="16"/>
        <v/>
      </c>
      <c r="I505" s="274" t="s">
        <v>1017</v>
      </c>
      <c r="K505" s="255"/>
      <c r="L505" s="255"/>
    </row>
    <row r="506" spans="1:12" ht="12.6" customHeight="1" x14ac:dyDescent="0.25">
      <c r="A506" s="180" t="s">
        <v>563</v>
      </c>
      <c r="B506" s="234">
        <v>0</v>
      </c>
      <c r="C506" s="234">
        <f>M71</f>
        <v>0</v>
      </c>
      <c r="D506" s="234">
        <v>0</v>
      </c>
      <c r="E506" s="180">
        <f>M59</f>
        <v>0</v>
      </c>
      <c r="F506" s="257" t="str">
        <f t="shared" si="15"/>
        <v/>
      </c>
      <c r="G506" s="257" t="str">
        <f t="shared" si="15"/>
        <v/>
      </c>
      <c r="H506" s="259" t="str">
        <f t="shared" si="16"/>
        <v/>
      </c>
      <c r="I506" s="261"/>
      <c r="K506" s="255"/>
      <c r="L506" s="255"/>
    </row>
    <row r="507" spans="1:12" ht="12.6" customHeight="1" x14ac:dyDescent="0.25">
      <c r="A507" s="180" t="s">
        <v>564</v>
      </c>
      <c r="B507" s="234">
        <v>2015202</v>
      </c>
      <c r="C507" s="234">
        <f>N71</f>
        <v>2124093</v>
      </c>
      <c r="D507" s="234">
        <v>203</v>
      </c>
      <c r="E507" s="180">
        <f>N59</f>
        <v>0</v>
      </c>
      <c r="F507" s="257">
        <f t="shared" si="15"/>
        <v>9927.1034482758623</v>
      </c>
      <c r="G507" s="257" t="str">
        <f t="shared" si="15"/>
        <v/>
      </c>
      <c r="H507" s="259" t="str">
        <f t="shared" si="16"/>
        <v/>
      </c>
      <c r="I507" s="261"/>
      <c r="K507" s="255"/>
      <c r="L507" s="255"/>
    </row>
    <row r="508" spans="1:12" ht="12.6" customHeight="1" x14ac:dyDescent="0.25">
      <c r="A508" s="180" t="s">
        <v>565</v>
      </c>
      <c r="B508" s="234">
        <v>1558027</v>
      </c>
      <c r="C508" s="234">
        <f>O71</f>
        <v>1674152</v>
      </c>
      <c r="D508" s="234">
        <v>115</v>
      </c>
      <c r="E508" s="180">
        <f>O59</f>
        <v>119</v>
      </c>
      <c r="F508" s="257">
        <f t="shared" si="15"/>
        <v>13548.060869565217</v>
      </c>
      <c r="G508" s="257">
        <f t="shared" si="15"/>
        <v>14068.504201680673</v>
      </c>
      <c r="H508" s="259" t="str">
        <f t="shared" si="16"/>
        <v/>
      </c>
      <c r="I508" s="261"/>
      <c r="K508" s="255"/>
      <c r="L508" s="255"/>
    </row>
    <row r="509" spans="1:12" ht="12.6" customHeight="1" x14ac:dyDescent="0.25">
      <c r="A509" s="180" t="s">
        <v>566</v>
      </c>
      <c r="B509" s="234">
        <v>3309034</v>
      </c>
      <c r="C509" s="234">
        <f>P71</f>
        <v>3412620</v>
      </c>
      <c r="D509" s="234">
        <v>108650</v>
      </c>
      <c r="E509" s="180">
        <f>P59</f>
        <v>114752</v>
      </c>
      <c r="F509" s="257">
        <f t="shared" si="15"/>
        <v>30.455904279797515</v>
      </c>
      <c r="G509" s="257">
        <f t="shared" si="15"/>
        <v>29.7390895147797</v>
      </c>
      <c r="H509" s="259" t="str">
        <f t="shared" si="16"/>
        <v/>
      </c>
      <c r="I509" s="261"/>
      <c r="K509" s="255"/>
      <c r="L509" s="255"/>
    </row>
    <row r="510" spans="1:12" ht="12.6" customHeight="1" x14ac:dyDescent="0.25">
      <c r="A510" s="180" t="s">
        <v>567</v>
      </c>
      <c r="B510" s="234">
        <v>113529</v>
      </c>
      <c r="C510" s="234">
        <f>Q71</f>
        <v>114271</v>
      </c>
      <c r="D510" s="234">
        <v>39821</v>
      </c>
      <c r="E510" s="180">
        <f>Q59</f>
        <v>37772</v>
      </c>
      <c r="F510" s="257">
        <f t="shared" si="15"/>
        <v>2.8509831495944349</v>
      </c>
      <c r="G510" s="257">
        <f t="shared" si="15"/>
        <v>3.0252832786190829</v>
      </c>
      <c r="H510" s="259" t="str">
        <f t="shared" si="16"/>
        <v/>
      </c>
      <c r="I510" s="261"/>
      <c r="K510" s="255"/>
      <c r="L510" s="255"/>
    </row>
    <row r="511" spans="1:12" ht="12.6" customHeight="1" x14ac:dyDescent="0.25">
      <c r="A511" s="180" t="s">
        <v>569</v>
      </c>
      <c r="B511" s="234">
        <v>1348402</v>
      </c>
      <c r="C511" s="234">
        <f>R71</f>
        <v>1405534</v>
      </c>
      <c r="D511" s="234">
        <v>145516</v>
      </c>
      <c r="E511" s="180">
        <f>R59</f>
        <v>160555</v>
      </c>
      <c r="F511" s="257">
        <f t="shared" si="15"/>
        <v>9.2663487176667854</v>
      </c>
      <c r="G511" s="257">
        <f t="shared" si="15"/>
        <v>8.754221294883374</v>
      </c>
      <c r="H511" s="259" t="str">
        <f t="shared" si="16"/>
        <v/>
      </c>
      <c r="I511" s="261"/>
      <c r="K511" s="255"/>
      <c r="L511" s="255"/>
    </row>
    <row r="512" spans="1:12" ht="12.6" customHeight="1" x14ac:dyDescent="0.25">
      <c r="A512" s="180" t="s">
        <v>570</v>
      </c>
      <c r="B512" s="234">
        <v>1319560</v>
      </c>
      <c r="C512" s="234">
        <f>S71</f>
        <v>1654540</v>
      </c>
      <c r="D512" s="181" t="s">
        <v>571</v>
      </c>
      <c r="E512" s="181" t="s">
        <v>571</v>
      </c>
      <c r="F512" s="257" t="str">
        <f t="shared" ref="F512:G527" si="17">IF(B512=0,"",IF(D512=0,"",B512/D512))</f>
        <v/>
      </c>
      <c r="G512" s="257" t="str">
        <f t="shared" si="17"/>
        <v/>
      </c>
      <c r="H512" s="259" t="str">
        <f t="shared" si="16"/>
        <v/>
      </c>
      <c r="I512" s="261"/>
      <c r="K512" s="255"/>
      <c r="L512" s="255"/>
    </row>
    <row r="513" spans="1:12" ht="12.6" customHeight="1" x14ac:dyDescent="0.25">
      <c r="A513" s="180" t="s">
        <v>572</v>
      </c>
      <c r="B513" s="234">
        <v>0</v>
      </c>
      <c r="C513" s="234">
        <f>T71</f>
        <v>0</v>
      </c>
      <c r="D513" s="181" t="s">
        <v>571</v>
      </c>
      <c r="E513" s="181" t="s">
        <v>571</v>
      </c>
      <c r="F513" s="257" t="str">
        <f t="shared" si="17"/>
        <v/>
      </c>
      <c r="G513" s="257" t="str">
        <f t="shared" si="17"/>
        <v/>
      </c>
      <c r="H513" s="259" t="str">
        <f t="shared" si="16"/>
        <v/>
      </c>
      <c r="I513" s="261"/>
      <c r="K513" s="255"/>
      <c r="L513" s="255"/>
    </row>
    <row r="514" spans="1:12" ht="12.6" customHeight="1" x14ac:dyDescent="0.25">
      <c r="A514" s="180" t="s">
        <v>573</v>
      </c>
      <c r="B514" s="234">
        <v>4332980</v>
      </c>
      <c r="C514" s="234">
        <f>U71</f>
        <v>4742102</v>
      </c>
      <c r="D514" s="234">
        <v>204659</v>
      </c>
      <c r="E514" s="180">
        <f>U59</f>
        <v>211095</v>
      </c>
      <c r="F514" s="257">
        <f t="shared" si="17"/>
        <v>21.17170512901949</v>
      </c>
      <c r="G514" s="257">
        <f t="shared" si="17"/>
        <v>22.464302802055947</v>
      </c>
      <c r="H514" s="259" t="str">
        <f t="shared" si="16"/>
        <v/>
      </c>
      <c r="I514" s="261"/>
      <c r="K514" s="255"/>
      <c r="L514" s="255"/>
    </row>
    <row r="515" spans="1:12" ht="12.6" customHeight="1" x14ac:dyDescent="0.25">
      <c r="A515" s="180" t="s">
        <v>574</v>
      </c>
      <c r="B515" s="234">
        <v>261966</v>
      </c>
      <c r="C515" s="234">
        <f>V71</f>
        <v>156299</v>
      </c>
      <c r="D515" s="234">
        <v>0</v>
      </c>
      <c r="E515" s="180">
        <f>V59</f>
        <v>1226</v>
      </c>
      <c r="F515" s="257" t="str">
        <f t="shared" si="17"/>
        <v/>
      </c>
      <c r="G515" s="257">
        <f t="shared" si="17"/>
        <v>127.48694942903752</v>
      </c>
      <c r="H515" s="259" t="str">
        <f t="shared" si="16"/>
        <v/>
      </c>
      <c r="I515" s="261"/>
      <c r="K515" s="255"/>
      <c r="L515" s="255"/>
    </row>
    <row r="516" spans="1:12" ht="12.6" customHeight="1" x14ac:dyDescent="0.25">
      <c r="A516" s="180" t="s">
        <v>575</v>
      </c>
      <c r="B516" s="234">
        <v>590988</v>
      </c>
      <c r="C516" s="234">
        <f>W71</f>
        <v>600036</v>
      </c>
      <c r="D516" s="234">
        <v>1826</v>
      </c>
      <c r="E516" s="180">
        <f>W59</f>
        <v>1953</v>
      </c>
      <c r="F516" s="257">
        <f t="shared" si="17"/>
        <v>323.65169769989046</v>
      </c>
      <c r="G516" s="257">
        <f t="shared" si="17"/>
        <v>307.23809523809524</v>
      </c>
      <c r="H516" s="259" t="str">
        <f t="shared" si="16"/>
        <v/>
      </c>
      <c r="I516" s="261"/>
      <c r="K516" s="255"/>
      <c r="L516" s="255"/>
    </row>
    <row r="517" spans="1:12" ht="12.6" customHeight="1" x14ac:dyDescent="0.25">
      <c r="A517" s="180" t="s">
        <v>576</v>
      </c>
      <c r="B517" s="234">
        <v>417427</v>
      </c>
      <c r="C517" s="234">
        <f>X71</f>
        <v>398212</v>
      </c>
      <c r="D517" s="234">
        <v>4536</v>
      </c>
      <c r="E517" s="180">
        <f>X59</f>
        <v>5015</v>
      </c>
      <c r="F517" s="257">
        <f t="shared" si="17"/>
        <v>92.025352733686063</v>
      </c>
      <c r="G517" s="257">
        <f t="shared" si="17"/>
        <v>79.404187437686943</v>
      </c>
      <c r="H517" s="259" t="str">
        <f t="shared" si="16"/>
        <v/>
      </c>
      <c r="I517" s="261"/>
      <c r="K517" s="255"/>
      <c r="L517" s="255"/>
    </row>
    <row r="518" spans="1:12" ht="12.6" customHeight="1" x14ac:dyDescent="0.25">
      <c r="A518" s="180" t="s">
        <v>577</v>
      </c>
      <c r="B518" s="234">
        <v>2471616</v>
      </c>
      <c r="C518" s="234">
        <f>Y71</f>
        <v>2668299</v>
      </c>
      <c r="D518" s="234">
        <v>18261</v>
      </c>
      <c r="E518" s="180">
        <f>Y59</f>
        <v>16773</v>
      </c>
      <c r="F518" s="257">
        <f t="shared" si="17"/>
        <v>135.34943321833416</v>
      </c>
      <c r="G518" s="257">
        <f t="shared" si="17"/>
        <v>159.08299052047934</v>
      </c>
      <c r="H518" s="259" t="str">
        <f t="shared" si="16"/>
        <v/>
      </c>
      <c r="I518" s="261"/>
      <c r="K518" s="255"/>
      <c r="L518" s="255"/>
    </row>
    <row r="519" spans="1:12" ht="12.6" customHeight="1" x14ac:dyDescent="0.25">
      <c r="A519" s="180" t="s">
        <v>578</v>
      </c>
      <c r="B519" s="234">
        <v>0</v>
      </c>
      <c r="C519" s="234">
        <f>Z71</f>
        <v>0</v>
      </c>
      <c r="D519" s="234">
        <v>0</v>
      </c>
      <c r="E519" s="180">
        <f>Z59</f>
        <v>0</v>
      </c>
      <c r="F519" s="257" t="str">
        <f t="shared" si="17"/>
        <v/>
      </c>
      <c r="G519" s="257" t="str">
        <f t="shared" si="17"/>
        <v/>
      </c>
      <c r="H519" s="259" t="str">
        <f t="shared" si="16"/>
        <v/>
      </c>
      <c r="I519" s="261"/>
      <c r="K519" s="255"/>
      <c r="L519" s="255"/>
    </row>
    <row r="520" spans="1:12" ht="12.6" customHeight="1" x14ac:dyDescent="0.25">
      <c r="A520" s="180" t="s">
        <v>579</v>
      </c>
      <c r="B520" s="234">
        <v>108867</v>
      </c>
      <c r="C520" s="234">
        <f>AA71</f>
        <v>209426</v>
      </c>
      <c r="D520" s="234">
        <v>220</v>
      </c>
      <c r="E520" s="180">
        <f>AA59</f>
        <v>348</v>
      </c>
      <c r="F520" s="257">
        <f t="shared" si="17"/>
        <v>494.85</v>
      </c>
      <c r="G520" s="257">
        <f t="shared" si="17"/>
        <v>601.79885057471267</v>
      </c>
      <c r="H520" s="259" t="str">
        <f t="shared" si="16"/>
        <v/>
      </c>
      <c r="I520" s="261"/>
      <c r="K520" s="255"/>
      <c r="L520" s="255"/>
    </row>
    <row r="521" spans="1:12" ht="12.6" customHeight="1" x14ac:dyDescent="0.25">
      <c r="A521" s="180" t="s">
        <v>580</v>
      </c>
      <c r="B521" s="234">
        <v>10184555</v>
      </c>
      <c r="C521" s="234">
        <f>AB71</f>
        <v>12518311</v>
      </c>
      <c r="D521" s="181" t="s">
        <v>571</v>
      </c>
      <c r="E521" s="181" t="s">
        <v>571</v>
      </c>
      <c r="F521" s="257" t="str">
        <f t="shared" si="17"/>
        <v/>
      </c>
      <c r="G521" s="257" t="str">
        <f t="shared" si="17"/>
        <v/>
      </c>
      <c r="H521" s="259" t="str">
        <f t="shared" si="16"/>
        <v/>
      </c>
      <c r="I521" s="261"/>
      <c r="K521" s="255"/>
      <c r="L521" s="255"/>
    </row>
    <row r="522" spans="1:12" ht="12.6" customHeight="1" x14ac:dyDescent="0.25">
      <c r="A522" s="180" t="s">
        <v>581</v>
      </c>
      <c r="B522" s="234">
        <v>1152556</v>
      </c>
      <c r="C522" s="234">
        <f>AC71</f>
        <v>1034694</v>
      </c>
      <c r="D522" s="234">
        <v>35264</v>
      </c>
      <c r="E522" s="180">
        <f>AC59</f>
        <v>36548</v>
      </c>
      <c r="F522" s="257">
        <f t="shared" si="17"/>
        <v>32.683643375680582</v>
      </c>
      <c r="G522" s="257">
        <f t="shared" si="17"/>
        <v>28.310550508919778</v>
      </c>
      <c r="H522" s="259" t="str">
        <f t="shared" si="16"/>
        <v/>
      </c>
      <c r="I522" s="261"/>
      <c r="K522" s="255"/>
      <c r="L522" s="255"/>
    </row>
    <row r="523" spans="1:12" ht="12.6" customHeight="1" x14ac:dyDescent="0.25">
      <c r="A523" s="180" t="s">
        <v>582</v>
      </c>
      <c r="B523" s="234">
        <v>0</v>
      </c>
      <c r="C523" s="234">
        <f>AD71</f>
        <v>0</v>
      </c>
      <c r="D523" s="234">
        <v>0</v>
      </c>
      <c r="E523" s="180">
        <f>AD59</f>
        <v>0</v>
      </c>
      <c r="F523" s="257" t="str">
        <f t="shared" si="17"/>
        <v/>
      </c>
      <c r="G523" s="257" t="str">
        <f t="shared" si="17"/>
        <v/>
      </c>
      <c r="H523" s="259" t="str">
        <f t="shared" si="16"/>
        <v/>
      </c>
      <c r="I523" s="261"/>
      <c r="K523" s="255"/>
      <c r="L523" s="255"/>
    </row>
    <row r="524" spans="1:12" ht="12.6" customHeight="1" x14ac:dyDescent="0.25">
      <c r="A524" s="180" t="s">
        <v>583</v>
      </c>
      <c r="B524" s="234">
        <v>3330135</v>
      </c>
      <c r="C524" s="234">
        <f>AE71</f>
        <v>3805268</v>
      </c>
      <c r="D524" s="234">
        <v>70975</v>
      </c>
      <c r="E524" s="180">
        <f>AE59</f>
        <v>85834</v>
      </c>
      <c r="F524" s="257">
        <f t="shared" si="17"/>
        <v>46.919830926382531</v>
      </c>
      <c r="G524" s="257">
        <f t="shared" si="17"/>
        <v>44.332875084465364</v>
      </c>
      <c r="H524" s="259" t="str">
        <f t="shared" si="16"/>
        <v/>
      </c>
      <c r="I524" s="261"/>
      <c r="K524" s="255"/>
      <c r="L524" s="255"/>
    </row>
    <row r="525" spans="1:12" ht="12.6" customHeight="1" x14ac:dyDescent="0.25">
      <c r="A525" s="180" t="s">
        <v>584</v>
      </c>
      <c r="B525" s="234">
        <v>0</v>
      </c>
      <c r="C525" s="234">
        <f>AF71</f>
        <v>0</v>
      </c>
      <c r="D525" s="234">
        <v>0</v>
      </c>
      <c r="E525" s="180">
        <f>AF59</f>
        <v>0</v>
      </c>
      <c r="F525" s="257" t="str">
        <f t="shared" si="17"/>
        <v/>
      </c>
      <c r="G525" s="257" t="str">
        <f t="shared" si="17"/>
        <v/>
      </c>
      <c r="H525" s="259" t="str">
        <f t="shared" si="16"/>
        <v/>
      </c>
      <c r="I525" s="261"/>
      <c r="K525" s="255"/>
      <c r="L525" s="255"/>
    </row>
    <row r="526" spans="1:12" ht="12.6" customHeight="1" x14ac:dyDescent="0.25">
      <c r="A526" s="180" t="s">
        <v>585</v>
      </c>
      <c r="B526" s="234">
        <v>5385800</v>
      </c>
      <c r="C526" s="234">
        <f>AG71</f>
        <v>5469978</v>
      </c>
      <c r="D526" s="234">
        <v>12918</v>
      </c>
      <c r="E526" s="180">
        <f>AG59</f>
        <v>12259</v>
      </c>
      <c r="F526" s="257">
        <f t="shared" si="17"/>
        <v>416.92212416782786</v>
      </c>
      <c r="G526" s="257">
        <f t="shared" si="17"/>
        <v>446.2009951872094</v>
      </c>
      <c r="H526" s="259" t="str">
        <f t="shared" si="16"/>
        <v/>
      </c>
      <c r="I526" s="261"/>
      <c r="K526" s="255"/>
      <c r="L526" s="255"/>
    </row>
    <row r="527" spans="1:12" ht="12.6" customHeight="1" x14ac:dyDescent="0.25">
      <c r="A527" s="180" t="s">
        <v>586</v>
      </c>
      <c r="B527" s="234">
        <v>0</v>
      </c>
      <c r="C527" s="234">
        <f>AH71</f>
        <v>0</v>
      </c>
      <c r="D527" s="234">
        <v>0</v>
      </c>
      <c r="E527" s="180">
        <f>AH59</f>
        <v>0</v>
      </c>
      <c r="F527" s="257" t="str">
        <f t="shared" si="17"/>
        <v/>
      </c>
      <c r="G527" s="257" t="str">
        <f t="shared" si="17"/>
        <v/>
      </c>
      <c r="H527" s="259" t="str">
        <f t="shared" si="16"/>
        <v/>
      </c>
      <c r="I527" s="261"/>
      <c r="K527" s="255"/>
      <c r="L527" s="255"/>
    </row>
    <row r="528" spans="1:12" ht="12.6" customHeight="1" x14ac:dyDescent="0.25">
      <c r="A528" s="180" t="s">
        <v>587</v>
      </c>
      <c r="B528" s="234">
        <v>2853011</v>
      </c>
      <c r="C528" s="234">
        <f>AI71</f>
        <v>3366077</v>
      </c>
      <c r="D528" s="234">
        <v>13393</v>
      </c>
      <c r="E528" s="180">
        <f>AI59</f>
        <v>15242</v>
      </c>
      <c r="F528" s="257">
        <f t="shared" ref="F528:G540" si="18">IF(B528=0,"",IF(D528=0,"",B528/D528))</f>
        <v>213.02254909280967</v>
      </c>
      <c r="G528" s="257">
        <f t="shared" si="18"/>
        <v>220.84221230809604</v>
      </c>
      <c r="H528" s="259" t="str">
        <f t="shared" si="16"/>
        <v/>
      </c>
      <c r="I528" s="261"/>
      <c r="K528" s="255"/>
      <c r="L528" s="255"/>
    </row>
    <row r="529" spans="1:12" ht="12.6" customHeight="1" x14ac:dyDescent="0.25">
      <c r="A529" s="180" t="s">
        <v>588</v>
      </c>
      <c r="B529" s="234">
        <v>21427451</v>
      </c>
      <c r="C529" s="234">
        <f>AJ71</f>
        <v>24110060</v>
      </c>
      <c r="D529" s="234">
        <v>96669</v>
      </c>
      <c r="E529" s="180">
        <f>AJ59</f>
        <v>96754</v>
      </c>
      <c r="F529" s="257">
        <f t="shared" si="18"/>
        <v>221.65793584292794</v>
      </c>
      <c r="G529" s="257">
        <f t="shared" si="18"/>
        <v>249.18928416396221</v>
      </c>
      <c r="H529" s="259" t="str">
        <f t="shared" si="16"/>
        <v/>
      </c>
      <c r="I529" s="261"/>
      <c r="K529" s="255"/>
      <c r="L529" s="255"/>
    </row>
    <row r="530" spans="1:12" ht="12.6" customHeight="1" x14ac:dyDescent="0.25">
      <c r="A530" s="180" t="s">
        <v>589</v>
      </c>
      <c r="B530" s="234">
        <v>0</v>
      </c>
      <c r="C530" s="234">
        <f>AK71</f>
        <v>0</v>
      </c>
      <c r="D530" s="234">
        <v>0</v>
      </c>
      <c r="E530" s="180">
        <f>AK59</f>
        <v>0</v>
      </c>
      <c r="F530" s="257" t="str">
        <f t="shared" si="18"/>
        <v/>
      </c>
      <c r="G530" s="257" t="str">
        <f t="shared" si="18"/>
        <v/>
      </c>
      <c r="H530" s="259" t="str">
        <f t="shared" si="16"/>
        <v/>
      </c>
      <c r="I530" s="261"/>
      <c r="K530" s="255"/>
      <c r="L530" s="255"/>
    </row>
    <row r="531" spans="1:12" ht="12.6" customHeight="1" x14ac:dyDescent="0.25">
      <c r="A531" s="180" t="s">
        <v>590</v>
      </c>
      <c r="B531" s="234">
        <v>0</v>
      </c>
      <c r="C531" s="234">
        <f>AL71</f>
        <v>0</v>
      </c>
      <c r="D531" s="234">
        <v>0</v>
      </c>
      <c r="E531" s="180">
        <f>AL59</f>
        <v>0</v>
      </c>
      <c r="F531" s="257" t="str">
        <f t="shared" si="18"/>
        <v/>
      </c>
      <c r="G531" s="257" t="str">
        <f t="shared" si="18"/>
        <v/>
      </c>
      <c r="H531" s="259" t="str">
        <f t="shared" si="16"/>
        <v/>
      </c>
      <c r="I531" s="261"/>
      <c r="K531" s="255"/>
      <c r="L531" s="255"/>
    </row>
    <row r="532" spans="1:12" ht="12.6" customHeight="1" x14ac:dyDescent="0.25">
      <c r="A532" s="180" t="s">
        <v>591</v>
      </c>
      <c r="B532" s="234">
        <v>0</v>
      </c>
      <c r="C532" s="234">
        <f>AM71</f>
        <v>0</v>
      </c>
      <c r="D532" s="234">
        <v>0</v>
      </c>
      <c r="E532" s="180">
        <f>AM59</f>
        <v>0</v>
      </c>
      <c r="F532" s="257" t="str">
        <f t="shared" si="18"/>
        <v/>
      </c>
      <c r="G532" s="257" t="str">
        <f t="shared" si="18"/>
        <v/>
      </c>
      <c r="H532" s="259" t="str">
        <f t="shared" si="16"/>
        <v/>
      </c>
      <c r="I532" s="261"/>
      <c r="K532" s="255"/>
      <c r="L532" s="255"/>
    </row>
    <row r="533" spans="1:12" ht="12.6" customHeight="1" x14ac:dyDescent="0.25">
      <c r="A533" s="180" t="s">
        <v>592</v>
      </c>
      <c r="B533" s="234">
        <v>0</v>
      </c>
      <c r="C533" s="234">
        <f>AN71</f>
        <v>0</v>
      </c>
      <c r="D533" s="234">
        <v>0</v>
      </c>
      <c r="E533" s="180">
        <f>AN59</f>
        <v>0</v>
      </c>
      <c r="F533" s="257" t="str">
        <f t="shared" si="18"/>
        <v/>
      </c>
      <c r="G533" s="257" t="str">
        <f t="shared" si="18"/>
        <v/>
      </c>
      <c r="H533" s="259" t="str">
        <f t="shared" si="16"/>
        <v/>
      </c>
      <c r="I533" s="261"/>
      <c r="K533" s="255"/>
      <c r="L533" s="255"/>
    </row>
    <row r="534" spans="1:12" ht="12.6" customHeight="1" x14ac:dyDescent="0.25">
      <c r="A534" s="180" t="s">
        <v>593</v>
      </c>
      <c r="B534" s="234">
        <v>0</v>
      </c>
      <c r="C534" s="234">
        <f>AO71</f>
        <v>0</v>
      </c>
      <c r="D534" s="234">
        <v>0</v>
      </c>
      <c r="E534" s="180">
        <f>AO59</f>
        <v>0</v>
      </c>
      <c r="F534" s="257" t="str">
        <f t="shared" si="18"/>
        <v/>
      </c>
      <c r="G534" s="257" t="str">
        <f t="shared" si="18"/>
        <v/>
      </c>
      <c r="H534" s="259" t="str">
        <f t="shared" si="16"/>
        <v/>
      </c>
      <c r="I534" s="261"/>
      <c r="K534" s="255"/>
      <c r="L534" s="255"/>
    </row>
    <row r="535" spans="1:12" ht="12.6" customHeight="1" x14ac:dyDescent="0.25">
      <c r="A535" s="180" t="s">
        <v>594</v>
      </c>
      <c r="B535" s="234">
        <v>0</v>
      </c>
      <c r="C535" s="234">
        <f>AP71</f>
        <v>0</v>
      </c>
      <c r="D535" s="234">
        <v>0</v>
      </c>
      <c r="E535" s="180">
        <f>AP59</f>
        <v>0</v>
      </c>
      <c r="F535" s="257" t="str">
        <f t="shared" si="18"/>
        <v/>
      </c>
      <c r="G535" s="257" t="str">
        <f t="shared" si="18"/>
        <v/>
      </c>
      <c r="H535" s="259" t="str">
        <f t="shared" si="16"/>
        <v/>
      </c>
      <c r="I535" s="261"/>
      <c r="K535" s="255"/>
      <c r="L535" s="255"/>
    </row>
    <row r="536" spans="1:12" ht="12.6" customHeight="1" x14ac:dyDescent="0.25">
      <c r="A536" s="180" t="s">
        <v>595</v>
      </c>
      <c r="B536" s="234">
        <v>0</v>
      </c>
      <c r="C536" s="234">
        <f>AQ71</f>
        <v>0</v>
      </c>
      <c r="D536" s="234">
        <v>0</v>
      </c>
      <c r="E536" s="180">
        <f>AQ59</f>
        <v>0</v>
      </c>
      <c r="F536" s="257" t="str">
        <f t="shared" si="18"/>
        <v/>
      </c>
      <c r="G536" s="257" t="str">
        <f t="shared" si="18"/>
        <v/>
      </c>
      <c r="H536" s="259" t="str">
        <f t="shared" si="16"/>
        <v/>
      </c>
      <c r="I536" s="261"/>
      <c r="K536" s="255"/>
      <c r="L536" s="255"/>
    </row>
    <row r="537" spans="1:12" ht="12.6" customHeight="1" x14ac:dyDescent="0.25">
      <c r="A537" s="180" t="s">
        <v>596</v>
      </c>
      <c r="B537" s="234">
        <v>3592762</v>
      </c>
      <c r="C537" s="234">
        <f>AR71</f>
        <v>3872074</v>
      </c>
      <c r="D537" s="234">
        <v>13974</v>
      </c>
      <c r="E537" s="180">
        <f>AR59</f>
        <v>16797</v>
      </c>
      <c r="F537" s="257">
        <f t="shared" si="18"/>
        <v>257.10333476456276</v>
      </c>
      <c r="G537" s="257">
        <f t="shared" si="18"/>
        <v>230.52175983806632</v>
      </c>
      <c r="H537" s="259" t="str">
        <f t="shared" si="16"/>
        <v/>
      </c>
      <c r="I537" s="261"/>
      <c r="K537" s="255"/>
      <c r="L537" s="255"/>
    </row>
    <row r="538" spans="1:12" ht="12.6" customHeight="1" x14ac:dyDescent="0.25">
      <c r="A538" s="180" t="s">
        <v>597</v>
      </c>
      <c r="B538" s="234">
        <v>0</v>
      </c>
      <c r="C538" s="234">
        <f>AS71</f>
        <v>0</v>
      </c>
      <c r="D538" s="234">
        <v>0</v>
      </c>
      <c r="E538" s="180">
        <f>AS59</f>
        <v>0</v>
      </c>
      <c r="F538" s="257" t="str">
        <f t="shared" si="18"/>
        <v/>
      </c>
      <c r="G538" s="257" t="str">
        <f t="shared" si="18"/>
        <v/>
      </c>
      <c r="H538" s="259" t="str">
        <f t="shared" si="16"/>
        <v/>
      </c>
      <c r="I538" s="261"/>
      <c r="K538" s="255"/>
      <c r="L538" s="255"/>
    </row>
    <row r="539" spans="1:12" ht="12.6" customHeight="1" x14ac:dyDescent="0.25">
      <c r="A539" s="180" t="s">
        <v>598</v>
      </c>
      <c r="B539" s="234">
        <v>0</v>
      </c>
      <c r="C539" s="234">
        <f>AT71</f>
        <v>0</v>
      </c>
      <c r="D539" s="234">
        <v>0</v>
      </c>
      <c r="E539" s="180">
        <f>AT59</f>
        <v>0</v>
      </c>
      <c r="F539" s="257" t="str">
        <f t="shared" si="18"/>
        <v/>
      </c>
      <c r="G539" s="257" t="str">
        <f t="shared" si="18"/>
        <v/>
      </c>
      <c r="H539" s="259" t="str">
        <f t="shared" si="16"/>
        <v/>
      </c>
      <c r="I539" s="261"/>
      <c r="K539" s="255"/>
      <c r="L539" s="255"/>
    </row>
    <row r="540" spans="1:12" ht="12.6" customHeight="1" x14ac:dyDescent="0.25">
      <c r="A540" s="180" t="s">
        <v>599</v>
      </c>
      <c r="B540" s="234">
        <v>0</v>
      </c>
      <c r="C540" s="234">
        <f>AU71</f>
        <v>0</v>
      </c>
      <c r="D540" s="234">
        <v>0</v>
      </c>
      <c r="E540" s="180">
        <f>AU59</f>
        <v>0</v>
      </c>
      <c r="F540" s="257" t="str">
        <f t="shared" si="18"/>
        <v/>
      </c>
      <c r="G540" s="257" t="str">
        <f t="shared" si="18"/>
        <v/>
      </c>
      <c r="H540" s="259" t="str">
        <f t="shared" si="16"/>
        <v/>
      </c>
      <c r="I540" s="261"/>
      <c r="K540" s="255"/>
      <c r="L540" s="255"/>
    </row>
    <row r="541" spans="1:12" ht="12.6" customHeight="1" x14ac:dyDescent="0.25">
      <c r="A541" s="180" t="s">
        <v>600</v>
      </c>
      <c r="B541" s="234">
        <v>2032693</v>
      </c>
      <c r="C541" s="234">
        <f>AV71</f>
        <v>2171543</v>
      </c>
      <c r="D541" s="181" t="s">
        <v>571</v>
      </c>
      <c r="E541" s="181" t="s">
        <v>571</v>
      </c>
      <c r="F541" s="257"/>
      <c r="G541" s="257"/>
      <c r="H541" s="259"/>
      <c r="I541" s="261"/>
      <c r="K541" s="255"/>
      <c r="L541" s="255"/>
    </row>
    <row r="542" spans="1:12" ht="12.6" customHeight="1" x14ac:dyDescent="0.25">
      <c r="A542" s="180" t="s">
        <v>601</v>
      </c>
      <c r="B542" s="234">
        <v>0</v>
      </c>
      <c r="C542" s="234">
        <f>AW71</f>
        <v>0</v>
      </c>
      <c r="D542" s="181" t="s">
        <v>571</v>
      </c>
      <c r="E542" s="181" t="s">
        <v>571</v>
      </c>
      <c r="F542" s="257"/>
      <c r="G542" s="257"/>
      <c r="H542" s="259"/>
      <c r="I542" s="261"/>
      <c r="K542" s="255"/>
      <c r="L542" s="255"/>
    </row>
    <row r="543" spans="1:12" ht="12.6" customHeight="1" x14ac:dyDescent="0.25">
      <c r="A543" s="180" t="s">
        <v>602</v>
      </c>
      <c r="B543" s="234">
        <v>0</v>
      </c>
      <c r="C543" s="234">
        <f>AX71</f>
        <v>0</v>
      </c>
      <c r="D543" s="181" t="s">
        <v>571</v>
      </c>
      <c r="E543" s="181" t="s">
        <v>571</v>
      </c>
      <c r="F543" s="257"/>
      <c r="G543" s="257"/>
      <c r="H543" s="259"/>
      <c r="I543" s="261"/>
      <c r="K543" s="255"/>
      <c r="L543" s="255"/>
    </row>
    <row r="544" spans="1:12" ht="12.6" customHeight="1" x14ac:dyDescent="0.25">
      <c r="A544" s="180" t="s">
        <v>603</v>
      </c>
      <c r="B544" s="234">
        <v>884790</v>
      </c>
      <c r="C544" s="234">
        <f>AY71</f>
        <v>798907</v>
      </c>
      <c r="D544" s="234">
        <v>16418</v>
      </c>
      <c r="E544" s="180">
        <f>AY59</f>
        <v>15389</v>
      </c>
      <c r="F544" s="257">
        <f t="shared" ref="F544:G550" si="19">IF(B544=0,"",IF(D544=0,"",B544/D544))</f>
        <v>53.891460592033134</v>
      </c>
      <c r="G544" s="257">
        <f t="shared" si="19"/>
        <v>51.914159464552604</v>
      </c>
      <c r="H544" s="259" t="str">
        <f t="shared" si="16"/>
        <v/>
      </c>
      <c r="I544" s="261"/>
      <c r="K544" s="255"/>
      <c r="L544" s="255"/>
    </row>
    <row r="545" spans="1:13" ht="12.6" customHeight="1" x14ac:dyDescent="0.25">
      <c r="A545" s="180" t="s">
        <v>604</v>
      </c>
      <c r="B545" s="234">
        <v>0</v>
      </c>
      <c r="C545" s="234">
        <f>AZ71</f>
        <v>0</v>
      </c>
      <c r="D545" s="234">
        <v>12389</v>
      </c>
      <c r="E545" s="180">
        <f>AZ59</f>
        <v>0</v>
      </c>
      <c r="F545" s="257" t="str">
        <f t="shared" si="19"/>
        <v/>
      </c>
      <c r="G545" s="257" t="str">
        <f t="shared" si="19"/>
        <v/>
      </c>
      <c r="H545" s="259" t="str">
        <f t="shared" si="16"/>
        <v/>
      </c>
      <c r="I545" s="261"/>
      <c r="K545" s="255"/>
      <c r="L545" s="255"/>
    </row>
    <row r="546" spans="1:13" ht="12.6" customHeight="1" x14ac:dyDescent="0.25">
      <c r="A546" s="180" t="s">
        <v>605</v>
      </c>
      <c r="B546" s="234">
        <v>317909</v>
      </c>
      <c r="C546" s="234">
        <f>BA71</f>
        <v>284608</v>
      </c>
      <c r="D546" s="234">
        <v>0</v>
      </c>
      <c r="E546" s="180">
        <f>BA59</f>
        <v>0</v>
      </c>
      <c r="F546" s="257" t="str">
        <f t="shared" si="19"/>
        <v/>
      </c>
      <c r="G546" s="257" t="str">
        <f t="shared" si="19"/>
        <v/>
      </c>
      <c r="H546" s="259" t="str">
        <f t="shared" si="16"/>
        <v/>
      </c>
      <c r="I546" s="261"/>
      <c r="K546" s="255"/>
      <c r="L546" s="255"/>
    </row>
    <row r="547" spans="1:13" ht="12.6" customHeight="1" x14ac:dyDescent="0.25">
      <c r="A547" s="180" t="s">
        <v>606</v>
      </c>
      <c r="B547" s="234">
        <v>384119</v>
      </c>
      <c r="C547" s="234">
        <f>BB71</f>
        <v>2136</v>
      </c>
      <c r="D547" s="181" t="s">
        <v>571</v>
      </c>
      <c r="E547" s="181" t="s">
        <v>571</v>
      </c>
      <c r="F547" s="257"/>
      <c r="G547" s="257"/>
      <c r="H547" s="259"/>
      <c r="I547" s="261"/>
      <c r="K547" s="255"/>
      <c r="L547" s="255"/>
    </row>
    <row r="548" spans="1:13" ht="12.6" customHeight="1" x14ac:dyDescent="0.25">
      <c r="A548" s="180" t="s">
        <v>607</v>
      </c>
      <c r="B548" s="234">
        <v>0</v>
      </c>
      <c r="C548" s="234">
        <f>BC71</f>
        <v>0</v>
      </c>
      <c r="D548" s="181" t="s">
        <v>571</v>
      </c>
      <c r="E548" s="181" t="s">
        <v>571</v>
      </c>
      <c r="F548" s="257"/>
      <c r="G548" s="257"/>
      <c r="H548" s="259"/>
      <c r="I548" s="261"/>
      <c r="K548" s="255"/>
      <c r="L548" s="255"/>
    </row>
    <row r="549" spans="1:13" ht="12.6" customHeight="1" x14ac:dyDescent="0.25">
      <c r="A549" s="180" t="s">
        <v>608</v>
      </c>
      <c r="B549" s="234">
        <v>699877</v>
      </c>
      <c r="C549" s="234">
        <f>BD71</f>
        <v>694454</v>
      </c>
      <c r="D549" s="181" t="s">
        <v>571</v>
      </c>
      <c r="E549" s="181" t="s">
        <v>571</v>
      </c>
      <c r="F549" s="257"/>
      <c r="G549" s="257"/>
      <c r="H549" s="259"/>
      <c r="I549" s="261"/>
      <c r="K549" s="255"/>
      <c r="L549" s="255"/>
    </row>
    <row r="550" spans="1:13" ht="12.6" customHeight="1" x14ac:dyDescent="0.25">
      <c r="A550" s="180" t="s">
        <v>609</v>
      </c>
      <c r="B550" s="234">
        <v>2876318</v>
      </c>
      <c r="C550" s="234">
        <f>BE71</f>
        <v>3081031</v>
      </c>
      <c r="D550" s="234">
        <v>137062</v>
      </c>
      <c r="E550" s="180">
        <f>BE59</f>
        <v>170421</v>
      </c>
      <c r="F550" s="257">
        <f t="shared" si="19"/>
        <v>20.985524798996074</v>
      </c>
      <c r="G550" s="257">
        <f t="shared" si="19"/>
        <v>18.078939802019704</v>
      </c>
      <c r="H550" s="259" t="str">
        <f t="shared" si="16"/>
        <v/>
      </c>
      <c r="I550" s="261"/>
      <c r="K550" s="255"/>
      <c r="L550" s="255"/>
    </row>
    <row r="551" spans="1:13" ht="12.6" customHeight="1" x14ac:dyDescent="0.25">
      <c r="A551" s="180" t="s">
        <v>610</v>
      </c>
      <c r="B551" s="234">
        <v>1386901</v>
      </c>
      <c r="C551" s="234">
        <f>BF71</f>
        <v>1490617</v>
      </c>
      <c r="D551" s="181" t="s">
        <v>571</v>
      </c>
      <c r="E551" s="181" t="s">
        <v>571</v>
      </c>
      <c r="F551" s="257"/>
      <c r="G551" s="257"/>
      <c r="H551" s="259"/>
      <c r="I551" s="261"/>
      <c r="J551" s="199"/>
      <c r="M551" s="259"/>
    </row>
    <row r="552" spans="1:13" ht="12.6" customHeight="1" x14ac:dyDescent="0.25">
      <c r="A552" s="180" t="s">
        <v>611</v>
      </c>
      <c r="B552" s="234">
        <v>258224</v>
      </c>
      <c r="C552" s="234">
        <f>BG71</f>
        <v>259648</v>
      </c>
      <c r="D552" s="181" t="s">
        <v>571</v>
      </c>
      <c r="E552" s="181" t="s">
        <v>571</v>
      </c>
      <c r="F552" s="257"/>
      <c r="G552" s="257"/>
      <c r="H552" s="259"/>
      <c r="J552" s="199"/>
      <c r="M552" s="259"/>
    </row>
    <row r="553" spans="1:13" ht="12.6" customHeight="1" x14ac:dyDescent="0.25">
      <c r="A553" s="180" t="s">
        <v>612</v>
      </c>
      <c r="B553" s="234">
        <v>2743598</v>
      </c>
      <c r="C553" s="234">
        <f>BH71</f>
        <v>3102039</v>
      </c>
      <c r="D553" s="181" t="s">
        <v>571</v>
      </c>
      <c r="E553" s="181" t="s">
        <v>571</v>
      </c>
      <c r="F553" s="257"/>
      <c r="G553" s="257"/>
      <c r="H553" s="259"/>
      <c r="J553" s="199"/>
      <c r="M553" s="259"/>
    </row>
    <row r="554" spans="1:13" ht="12.6" customHeight="1" x14ac:dyDescent="0.25">
      <c r="A554" s="180" t="s">
        <v>613</v>
      </c>
      <c r="B554" s="234">
        <v>0</v>
      </c>
      <c r="C554" s="234">
        <f>BI71</f>
        <v>0</v>
      </c>
      <c r="D554" s="181" t="s">
        <v>571</v>
      </c>
      <c r="E554" s="181" t="s">
        <v>571</v>
      </c>
      <c r="F554" s="257"/>
      <c r="G554" s="257"/>
      <c r="H554" s="259"/>
      <c r="J554" s="199"/>
      <c r="M554" s="259"/>
    </row>
    <row r="555" spans="1:13" ht="12.6" customHeight="1" x14ac:dyDescent="0.25">
      <c r="A555" s="180" t="s">
        <v>614</v>
      </c>
      <c r="B555" s="234">
        <v>1076624</v>
      </c>
      <c r="C555" s="234">
        <f>BJ71</f>
        <v>1113263</v>
      </c>
      <c r="D555" s="181" t="s">
        <v>571</v>
      </c>
      <c r="E555" s="181" t="s">
        <v>571</v>
      </c>
      <c r="F555" s="257"/>
      <c r="G555" s="257"/>
      <c r="H555" s="259"/>
      <c r="J555" s="199"/>
      <c r="M555" s="259"/>
    </row>
    <row r="556" spans="1:13" ht="12.6" customHeight="1" x14ac:dyDescent="0.25">
      <c r="A556" s="180" t="s">
        <v>615</v>
      </c>
      <c r="B556" s="234">
        <v>1366464</v>
      </c>
      <c r="C556" s="234">
        <f>BK71</f>
        <v>1364320</v>
      </c>
      <c r="D556" s="181" t="s">
        <v>571</v>
      </c>
      <c r="E556" s="181" t="s">
        <v>571</v>
      </c>
      <c r="F556" s="257"/>
      <c r="G556" s="257"/>
      <c r="H556" s="259"/>
      <c r="J556" s="199"/>
      <c r="M556" s="259"/>
    </row>
    <row r="557" spans="1:13" ht="12.6" customHeight="1" x14ac:dyDescent="0.25">
      <c r="A557" s="180" t="s">
        <v>616</v>
      </c>
      <c r="B557" s="234">
        <v>796884</v>
      </c>
      <c r="C557" s="234">
        <f>BL71</f>
        <v>827572</v>
      </c>
      <c r="D557" s="181" t="s">
        <v>571</v>
      </c>
      <c r="E557" s="181" t="s">
        <v>571</v>
      </c>
      <c r="F557" s="257"/>
      <c r="G557" s="257"/>
      <c r="H557" s="259"/>
      <c r="J557" s="199"/>
      <c r="M557" s="259"/>
    </row>
    <row r="558" spans="1:13" ht="12.6" customHeight="1" x14ac:dyDescent="0.25">
      <c r="A558" s="180" t="s">
        <v>617</v>
      </c>
      <c r="B558" s="234">
        <v>561360</v>
      </c>
      <c r="C558" s="234">
        <f>BM71</f>
        <v>620369</v>
      </c>
      <c r="D558" s="181" t="s">
        <v>571</v>
      </c>
      <c r="E558" s="181" t="s">
        <v>571</v>
      </c>
      <c r="F558" s="257"/>
      <c r="G558" s="257"/>
      <c r="H558" s="259"/>
      <c r="J558" s="199"/>
      <c r="M558" s="259"/>
    </row>
    <row r="559" spans="1:13" ht="12.6" customHeight="1" x14ac:dyDescent="0.25">
      <c r="A559" s="180" t="s">
        <v>618</v>
      </c>
      <c r="B559" s="234">
        <v>2471448</v>
      </c>
      <c r="C559" s="234">
        <f>BN71</f>
        <v>2246562</v>
      </c>
      <c r="D559" s="181" t="s">
        <v>571</v>
      </c>
      <c r="E559" s="181" t="s">
        <v>571</v>
      </c>
      <c r="F559" s="257"/>
      <c r="G559" s="257"/>
      <c r="H559" s="259"/>
      <c r="J559" s="199"/>
      <c r="M559" s="259"/>
    </row>
    <row r="560" spans="1:13" ht="12.6" customHeight="1" x14ac:dyDescent="0.25">
      <c r="A560" s="180" t="s">
        <v>619</v>
      </c>
      <c r="B560" s="234">
        <v>132370</v>
      </c>
      <c r="C560" s="234">
        <f>BO71</f>
        <v>143607</v>
      </c>
      <c r="D560" s="181" t="s">
        <v>571</v>
      </c>
      <c r="E560" s="181" t="s">
        <v>571</v>
      </c>
      <c r="F560" s="257"/>
      <c r="G560" s="257"/>
      <c r="H560" s="259"/>
      <c r="J560" s="199"/>
      <c r="M560" s="259"/>
    </row>
    <row r="561" spans="1:13" ht="12.6" customHeight="1" x14ac:dyDescent="0.25">
      <c r="A561" s="180" t="s">
        <v>620</v>
      </c>
      <c r="B561" s="234">
        <v>580266</v>
      </c>
      <c r="C561" s="234">
        <f>BP71</f>
        <v>403042</v>
      </c>
      <c r="D561" s="181" t="s">
        <v>571</v>
      </c>
      <c r="E561" s="181" t="s">
        <v>571</v>
      </c>
      <c r="F561" s="257"/>
      <c r="G561" s="257"/>
      <c r="H561" s="259"/>
      <c r="J561" s="199"/>
      <c r="M561" s="259"/>
    </row>
    <row r="562" spans="1:13" ht="12.6" customHeight="1" x14ac:dyDescent="0.25">
      <c r="A562" s="180" t="s">
        <v>621</v>
      </c>
      <c r="B562" s="234">
        <v>0</v>
      </c>
      <c r="C562" s="234">
        <f>BQ71</f>
        <v>0</v>
      </c>
      <c r="D562" s="181" t="s">
        <v>571</v>
      </c>
      <c r="E562" s="181" t="s">
        <v>571</v>
      </c>
      <c r="F562" s="257"/>
      <c r="G562" s="257"/>
      <c r="H562" s="259"/>
      <c r="J562" s="199"/>
      <c r="M562" s="259"/>
    </row>
    <row r="563" spans="1:13" ht="12.6" customHeight="1" x14ac:dyDescent="0.25">
      <c r="A563" s="180" t="s">
        <v>622</v>
      </c>
      <c r="B563" s="234">
        <v>1040685</v>
      </c>
      <c r="C563" s="234">
        <f>BR71</f>
        <v>1088075</v>
      </c>
      <c r="D563" s="181" t="s">
        <v>571</v>
      </c>
      <c r="E563" s="181" t="s">
        <v>571</v>
      </c>
      <c r="F563" s="257"/>
      <c r="G563" s="257"/>
      <c r="H563" s="259"/>
      <c r="J563" s="199"/>
      <c r="M563" s="259"/>
    </row>
    <row r="564" spans="1:13" ht="12.6" customHeight="1" x14ac:dyDescent="0.25">
      <c r="A564" s="180" t="s">
        <v>623</v>
      </c>
      <c r="B564" s="234">
        <v>111165</v>
      </c>
      <c r="C564" s="234">
        <f>BS71</f>
        <v>89560</v>
      </c>
      <c r="D564" s="181" t="s">
        <v>571</v>
      </c>
      <c r="E564" s="181" t="s">
        <v>571</v>
      </c>
      <c r="F564" s="257"/>
      <c r="G564" s="257"/>
      <c r="H564" s="259"/>
      <c r="J564" s="199"/>
      <c r="M564" s="259"/>
    </row>
    <row r="565" spans="1:13" ht="12.6" customHeight="1" x14ac:dyDescent="0.25">
      <c r="A565" s="180" t="s">
        <v>624</v>
      </c>
      <c r="B565" s="234">
        <v>0</v>
      </c>
      <c r="C565" s="234">
        <f>BT71</f>
        <v>0</v>
      </c>
      <c r="D565" s="181" t="s">
        <v>571</v>
      </c>
      <c r="E565" s="181" t="s">
        <v>571</v>
      </c>
      <c r="F565" s="257"/>
      <c r="G565" s="257"/>
      <c r="H565" s="259"/>
      <c r="J565" s="199"/>
      <c r="M565" s="259"/>
    </row>
    <row r="566" spans="1:13" ht="12.6" customHeight="1" x14ac:dyDescent="0.25">
      <c r="A566" s="180" t="s">
        <v>625</v>
      </c>
      <c r="B566" s="234">
        <v>0</v>
      </c>
      <c r="C566" s="234">
        <f>BU71</f>
        <v>0</v>
      </c>
      <c r="D566" s="181" t="s">
        <v>571</v>
      </c>
      <c r="E566" s="181" t="s">
        <v>571</v>
      </c>
      <c r="F566" s="257"/>
      <c r="G566" s="257"/>
      <c r="H566" s="259"/>
      <c r="J566" s="199"/>
      <c r="M566" s="259"/>
    </row>
    <row r="567" spans="1:13" ht="12.6" customHeight="1" x14ac:dyDescent="0.25">
      <c r="A567" s="180" t="s">
        <v>626</v>
      </c>
      <c r="B567" s="234">
        <v>862011</v>
      </c>
      <c r="C567" s="234">
        <f>BV71</f>
        <v>885107</v>
      </c>
      <c r="D567" s="181" t="s">
        <v>571</v>
      </c>
      <c r="E567" s="181" t="s">
        <v>571</v>
      </c>
      <c r="F567" s="257"/>
      <c r="G567" s="257"/>
      <c r="H567" s="259"/>
      <c r="J567" s="199"/>
      <c r="M567" s="259"/>
    </row>
    <row r="568" spans="1:13" ht="12.6" customHeight="1" x14ac:dyDescent="0.25">
      <c r="A568" s="180" t="s">
        <v>627</v>
      </c>
      <c r="B568" s="234">
        <v>195205</v>
      </c>
      <c r="C568" s="234">
        <f>BW71</f>
        <v>536867</v>
      </c>
      <c r="D568" s="181" t="s">
        <v>571</v>
      </c>
      <c r="E568" s="181" t="s">
        <v>571</v>
      </c>
      <c r="F568" s="257"/>
      <c r="G568" s="257"/>
      <c r="H568" s="259"/>
      <c r="J568" s="199"/>
      <c r="M568" s="259"/>
    </row>
    <row r="569" spans="1:13" ht="12.6" customHeight="1" x14ac:dyDescent="0.25">
      <c r="A569" s="180" t="s">
        <v>628</v>
      </c>
      <c r="B569" s="234">
        <v>381965</v>
      </c>
      <c r="C569" s="234">
        <f>BX71</f>
        <v>478940</v>
      </c>
      <c r="D569" s="181" t="s">
        <v>571</v>
      </c>
      <c r="E569" s="181" t="s">
        <v>571</v>
      </c>
      <c r="F569" s="257"/>
      <c r="G569" s="257"/>
      <c r="H569" s="259"/>
      <c r="J569" s="199"/>
      <c r="M569" s="259"/>
    </row>
    <row r="570" spans="1:13" ht="12.6" customHeight="1" x14ac:dyDescent="0.25">
      <c r="A570" s="180" t="s">
        <v>629</v>
      </c>
      <c r="B570" s="234">
        <v>1516487</v>
      </c>
      <c r="C570" s="234">
        <f>BY71</f>
        <v>1495548</v>
      </c>
      <c r="D570" s="181" t="s">
        <v>571</v>
      </c>
      <c r="E570" s="181" t="s">
        <v>571</v>
      </c>
      <c r="F570" s="257"/>
      <c r="G570" s="257"/>
      <c r="H570" s="259"/>
      <c r="J570" s="199"/>
      <c r="M570" s="259"/>
    </row>
    <row r="571" spans="1:13" ht="12.6" customHeight="1" x14ac:dyDescent="0.25">
      <c r="A571" s="180" t="s">
        <v>630</v>
      </c>
      <c r="B571" s="234">
        <v>0</v>
      </c>
      <c r="C571" s="234">
        <f>BZ71</f>
        <v>0</v>
      </c>
      <c r="D571" s="181" t="s">
        <v>571</v>
      </c>
      <c r="E571" s="181" t="s">
        <v>571</v>
      </c>
      <c r="F571" s="257"/>
      <c r="G571" s="257"/>
      <c r="H571" s="259"/>
      <c r="J571" s="199"/>
      <c r="M571" s="259"/>
    </row>
    <row r="572" spans="1:13" ht="12.6" customHeight="1" x14ac:dyDescent="0.25">
      <c r="A572" s="180" t="s">
        <v>631</v>
      </c>
      <c r="B572" s="234">
        <v>0</v>
      </c>
      <c r="C572" s="234">
        <f>CA71</f>
        <v>0</v>
      </c>
      <c r="D572" s="181" t="s">
        <v>571</v>
      </c>
      <c r="E572" s="181" t="s">
        <v>571</v>
      </c>
      <c r="F572" s="257"/>
      <c r="G572" s="257"/>
      <c r="H572" s="259"/>
      <c r="J572" s="199"/>
      <c r="M572" s="259"/>
    </row>
    <row r="573" spans="1:13" ht="12.6" customHeight="1" x14ac:dyDescent="0.25">
      <c r="A573" s="180" t="s">
        <v>632</v>
      </c>
      <c r="B573" s="234">
        <v>155389</v>
      </c>
      <c r="C573" s="234">
        <f>CB71</f>
        <v>121696</v>
      </c>
      <c r="D573" s="181" t="s">
        <v>571</v>
      </c>
      <c r="E573" s="181" t="s">
        <v>571</v>
      </c>
      <c r="F573" s="257"/>
      <c r="G573" s="257"/>
      <c r="H573" s="259"/>
      <c r="J573" s="199"/>
      <c r="M573" s="259"/>
    </row>
    <row r="574" spans="1:13" ht="12.6" customHeight="1" x14ac:dyDescent="0.25">
      <c r="A574" s="180" t="s">
        <v>633</v>
      </c>
      <c r="B574" s="234">
        <v>1437963</v>
      </c>
      <c r="C574" s="234">
        <f>CC71</f>
        <v>1690440</v>
      </c>
      <c r="D574" s="181" t="s">
        <v>571</v>
      </c>
      <c r="E574" s="181" t="s">
        <v>571</v>
      </c>
      <c r="F574" s="257"/>
      <c r="G574" s="257"/>
      <c r="H574" s="259"/>
      <c r="J574" s="199"/>
      <c r="M574" s="259"/>
    </row>
    <row r="575" spans="1:13" ht="12.6" customHeight="1" x14ac:dyDescent="0.25">
      <c r="A575" s="180" t="s">
        <v>634</v>
      </c>
      <c r="B575" s="234">
        <v>-1119457</v>
      </c>
      <c r="C575" s="234">
        <f>CD71</f>
        <v>-1166625</v>
      </c>
      <c r="D575" s="181" t="s">
        <v>571</v>
      </c>
      <c r="E575" s="181" t="s">
        <v>571</v>
      </c>
      <c r="F575" s="257"/>
      <c r="G575" s="257"/>
      <c r="H575" s="259"/>
    </row>
    <row r="576" spans="1:13" ht="12.6" customHeight="1" x14ac:dyDescent="0.25">
      <c r="M576" s="259"/>
    </row>
    <row r="577" spans="13:13" ht="12.6" customHeight="1" x14ac:dyDescent="0.25">
      <c r="M577" s="259"/>
    </row>
    <row r="578" spans="13:13" ht="12.6" customHeight="1" x14ac:dyDescent="0.25">
      <c r="M578" s="259"/>
    </row>
    <row r="612" spans="1:14" ht="12.6" customHeight="1" x14ac:dyDescent="0.25">
      <c r="A612" s="196"/>
      <c r="C612" s="181" t="s">
        <v>635</v>
      </c>
      <c r="D612" s="180">
        <f>CE76-(BE76+CD76)</f>
        <v>147841.29999999999</v>
      </c>
      <c r="E612" s="180">
        <f>SUM(C624:D647)+SUM(C668:D713)</f>
        <v>96539421.218296245</v>
      </c>
      <c r="F612" s="180">
        <f>CE64-(AX64+BD64+BE64+BG64+BJ64+BN64+BP64+BQ64+CB64+CC64+CD64)</f>
        <v>17978071</v>
      </c>
      <c r="G612" s="180">
        <f>CE77-(AX77+AY77+BD77+BE77+BG77+BJ77+BN77+BP77+BQ77+CB77+CC77+CD77)</f>
        <v>15388.99</v>
      </c>
      <c r="H612" s="197">
        <f>CE60-(AX60+AY60+AZ60+BD60+BE60+BG60+BJ60+BN60+BO60+BP60+BQ60+BR60+CB60+CC60+CD60)</f>
        <v>655.93180288461633</v>
      </c>
      <c r="I612" s="180">
        <f>CE78-(AX78+AY78+AZ78+BD78+BE78+BF78+BG78+BJ78+BN78+BO78+BP78+BQ78+BR78+CB78+CC78+CD78)</f>
        <v>91886.65</v>
      </c>
      <c r="J612" s="180">
        <f>CE79-(AX79+AY79+AZ79+BA79+BD79+BE79+BF79+BG79+BJ79+BN79+BO79+BP79+BQ79+BR79+CB79+CC79+CD79)</f>
        <v>319766.99999999994</v>
      </c>
      <c r="K612" s="180">
        <f>CE75-(AW75+AX75+AY75+AZ75+BA75+BB75+BC75+BD75+BE75+BF75+BG75+BH75+BI75+BJ75+BK75+BL75+BM75+BN75+BO75+BP75+BQ75+BR75+BS75+BT75+BU75+BV75+BW75+BX75+CB75+CC75+CD75)</f>
        <v>227367408</v>
      </c>
      <c r="L612" s="197">
        <f>CE80-(AW80+AX80+AY80+AZ80+BA80+BB80+BC80+BD80+BE80+BF80+BG80+BH80+BI80+BJ80+BK80+BL80+BM80+BN80+BO80+BP80+BQ80+BR80+BS80+BT80+BU80+BV80+BW80+BX80+BY80+BZ80+CA80+CB80+CC80+CD80)</f>
        <v>328.55085096153925</v>
      </c>
    </row>
    <row r="613" spans="1:14" ht="12.6" customHeight="1" x14ac:dyDescent="0.25">
      <c r="A613" s="196"/>
      <c r="C613" s="181" t="s">
        <v>636</v>
      </c>
      <c r="D613" s="181" t="s">
        <v>637</v>
      </c>
      <c r="E613" s="198" t="s">
        <v>638</v>
      </c>
      <c r="F613" s="181" t="s">
        <v>639</v>
      </c>
      <c r="G613" s="181" t="s">
        <v>640</v>
      </c>
      <c r="H613" s="181" t="s">
        <v>641</v>
      </c>
      <c r="I613" s="181" t="s">
        <v>642</v>
      </c>
      <c r="J613" s="181" t="s">
        <v>643</v>
      </c>
      <c r="K613" s="181" t="s">
        <v>644</v>
      </c>
      <c r="L613" s="198" t="s">
        <v>645</v>
      </c>
    </row>
    <row r="614" spans="1:14" ht="12.6" customHeight="1" x14ac:dyDescent="0.25">
      <c r="A614" s="196">
        <v>8430</v>
      </c>
      <c r="B614" s="198" t="s">
        <v>156</v>
      </c>
      <c r="C614" s="180">
        <f>BE71</f>
        <v>3081031</v>
      </c>
      <c r="N614" s="199" t="s">
        <v>646</v>
      </c>
    </row>
    <row r="615" spans="1:14" ht="12.6" customHeight="1" x14ac:dyDescent="0.25">
      <c r="A615" s="196"/>
      <c r="B615" s="198" t="s">
        <v>647</v>
      </c>
      <c r="C615" s="266">
        <f>CD69-CD70</f>
        <v>-1166625</v>
      </c>
      <c r="D615" s="260">
        <f>SUM(C614:C615)</f>
        <v>1914406</v>
      </c>
      <c r="N615" s="199" t="s">
        <v>648</v>
      </c>
    </row>
    <row r="616" spans="1:14" ht="12.6" customHeight="1" x14ac:dyDescent="0.25">
      <c r="A616" s="196">
        <v>8310</v>
      </c>
      <c r="B616" s="200" t="s">
        <v>649</v>
      </c>
      <c r="C616" s="180">
        <f>AX71</f>
        <v>0</v>
      </c>
      <c r="D616" s="180">
        <f>(D615/D612)*AX76</f>
        <v>0</v>
      </c>
      <c r="N616" s="199" t="s">
        <v>650</v>
      </c>
    </row>
    <row r="617" spans="1:14" ht="12.6" customHeight="1" x14ac:dyDescent="0.25">
      <c r="A617" s="196">
        <v>8510</v>
      </c>
      <c r="B617" s="200" t="s">
        <v>161</v>
      </c>
      <c r="C617" s="180">
        <f>BJ71</f>
        <v>1113263</v>
      </c>
      <c r="D617" s="180">
        <f>(D615/D612)*BJ76</f>
        <v>13017.690941570454</v>
      </c>
      <c r="N617" s="199" t="s">
        <v>651</v>
      </c>
    </row>
    <row r="618" spans="1:14" ht="12.6" customHeight="1" x14ac:dyDescent="0.25">
      <c r="A618" s="196">
        <v>8470</v>
      </c>
      <c r="B618" s="200" t="s">
        <v>652</v>
      </c>
      <c r="C618" s="180">
        <f>BG71</f>
        <v>259648</v>
      </c>
      <c r="D618" s="180">
        <f>(D615/D612)*BG76</f>
        <v>0</v>
      </c>
      <c r="N618" s="199" t="s">
        <v>653</v>
      </c>
    </row>
    <row r="619" spans="1:14" ht="12.6" customHeight="1" x14ac:dyDescent="0.25">
      <c r="A619" s="196">
        <v>8610</v>
      </c>
      <c r="B619" s="200" t="s">
        <v>654</v>
      </c>
      <c r="C619" s="180">
        <f>BN71</f>
        <v>2246562</v>
      </c>
      <c r="D619" s="180">
        <f>(D615/D612)*BN76</f>
        <v>136745.96801976176</v>
      </c>
      <c r="N619" s="199" t="s">
        <v>655</v>
      </c>
    </row>
    <row r="620" spans="1:14" ht="12.6" customHeight="1" x14ac:dyDescent="0.25">
      <c r="A620" s="196">
        <v>8790</v>
      </c>
      <c r="B620" s="200" t="s">
        <v>656</v>
      </c>
      <c r="C620" s="180">
        <f>CC71</f>
        <v>1690440</v>
      </c>
      <c r="D620" s="180">
        <f>(D615/D612)*CC76</f>
        <v>17404.832780826469</v>
      </c>
      <c r="N620" s="199" t="s">
        <v>657</v>
      </c>
    </row>
    <row r="621" spans="1:14" ht="12.6" customHeight="1" x14ac:dyDescent="0.25">
      <c r="A621" s="196">
        <v>8630</v>
      </c>
      <c r="B621" s="200" t="s">
        <v>658</v>
      </c>
      <c r="C621" s="180">
        <f>BP71</f>
        <v>403042</v>
      </c>
      <c r="D621" s="180">
        <f>(D615/D612)*BP76</f>
        <v>1428.2814193327572</v>
      </c>
      <c r="N621" s="199" t="s">
        <v>659</v>
      </c>
    </row>
    <row r="622" spans="1:14" ht="12.6" customHeight="1" x14ac:dyDescent="0.25">
      <c r="A622" s="196">
        <v>8770</v>
      </c>
      <c r="B622" s="198" t="s">
        <v>660</v>
      </c>
      <c r="C622" s="180">
        <f>CB71</f>
        <v>121696</v>
      </c>
      <c r="D622" s="180">
        <f>(D615/D612)*CB76</f>
        <v>20757.344652678243</v>
      </c>
      <c r="N622" s="199" t="s">
        <v>661</v>
      </c>
    </row>
    <row r="623" spans="1:14" ht="12.6" customHeight="1" x14ac:dyDescent="0.25">
      <c r="A623" s="196">
        <v>8640</v>
      </c>
      <c r="B623" s="200" t="s">
        <v>662</v>
      </c>
      <c r="C623" s="180">
        <f>BQ71</f>
        <v>0</v>
      </c>
      <c r="D623" s="180">
        <f>(D615/D612)*BQ76</f>
        <v>0</v>
      </c>
      <c r="E623" s="180">
        <f>SUM(C616:D623)</f>
        <v>6024005.1178141693</v>
      </c>
      <c r="N623" s="199" t="s">
        <v>663</v>
      </c>
    </row>
    <row r="624" spans="1:14" ht="12.6" customHeight="1" x14ac:dyDescent="0.25">
      <c r="A624" s="196">
        <v>8420</v>
      </c>
      <c r="B624" s="200" t="s">
        <v>155</v>
      </c>
      <c r="C624" s="180">
        <f>BD71</f>
        <v>694454</v>
      </c>
      <c r="D624" s="180">
        <f>(D615/D612)*BD76</f>
        <v>30479.499590439213</v>
      </c>
      <c r="E624" s="180">
        <f>(E623/E612)*SUM(C624:D624)</f>
        <v>45235.43912422072</v>
      </c>
      <c r="F624" s="180">
        <f>SUM(C624:E624)</f>
        <v>770168.93871466001</v>
      </c>
      <c r="N624" s="199" t="s">
        <v>664</v>
      </c>
    </row>
    <row r="625" spans="1:14" ht="12.6" customHeight="1" x14ac:dyDescent="0.25">
      <c r="A625" s="196">
        <v>8320</v>
      </c>
      <c r="B625" s="200" t="s">
        <v>151</v>
      </c>
      <c r="C625" s="180">
        <f>AY71</f>
        <v>798907</v>
      </c>
      <c r="D625" s="180">
        <f>(D615/D612)*AY76</f>
        <v>70725.180925762965</v>
      </c>
      <c r="E625" s="180">
        <f>(E623/E612)*SUM(C625:D625)</f>
        <v>54264.554752891519</v>
      </c>
      <c r="F625" s="180">
        <f>(F624/F612)*AY64</f>
        <v>14206.129369659475</v>
      </c>
      <c r="G625" s="180">
        <f>SUM(C625:F625)</f>
        <v>938102.86504831398</v>
      </c>
      <c r="N625" s="199" t="s">
        <v>665</v>
      </c>
    </row>
    <row r="626" spans="1:14" ht="12.6" customHeight="1" x14ac:dyDescent="0.25">
      <c r="A626" s="196">
        <v>8650</v>
      </c>
      <c r="B626" s="200" t="s">
        <v>168</v>
      </c>
      <c r="C626" s="180">
        <f>BR71</f>
        <v>1088075</v>
      </c>
      <c r="D626" s="180">
        <f>(D615/D612)*BR76</f>
        <v>2100.3376810133568</v>
      </c>
      <c r="E626" s="180">
        <f>(E623/E612)*SUM(C626:D626)</f>
        <v>68026.322621671032</v>
      </c>
      <c r="F626" s="180">
        <f>(F624/F612)*BR64</f>
        <v>1128.3457316864212</v>
      </c>
      <c r="G626" s="180">
        <f>(G625/G612)*BR77</f>
        <v>0</v>
      </c>
      <c r="N626" s="199" t="s">
        <v>666</v>
      </c>
    </row>
    <row r="627" spans="1:14" ht="12.6" customHeight="1" x14ac:dyDescent="0.25">
      <c r="A627" s="196">
        <v>8620</v>
      </c>
      <c r="B627" s="198" t="s">
        <v>667</v>
      </c>
      <c r="C627" s="180">
        <f>BO71</f>
        <v>143607</v>
      </c>
      <c r="D627" s="180">
        <f>(D615/D612)*BO76</f>
        <v>0</v>
      </c>
      <c r="E627" s="180">
        <f>(E623/E612)*SUM(C627:D627)</f>
        <v>8960.9953326505638</v>
      </c>
      <c r="F627" s="180">
        <f>(F624/F612)*BO64</f>
        <v>1013.3220675542203</v>
      </c>
      <c r="G627" s="180">
        <f>(G625/G612)*BO77</f>
        <v>0</v>
      </c>
      <c r="N627" s="199" t="s">
        <v>668</v>
      </c>
    </row>
    <row r="628" spans="1:14" ht="12.6" customHeight="1" x14ac:dyDescent="0.25">
      <c r="A628" s="196">
        <v>8330</v>
      </c>
      <c r="B628" s="200" t="s">
        <v>152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1312911.3234345755</v>
      </c>
      <c r="N628" s="199" t="s">
        <v>669</v>
      </c>
    </row>
    <row r="629" spans="1:14" ht="12.6" customHeight="1" x14ac:dyDescent="0.25">
      <c r="A629" s="196">
        <v>8460</v>
      </c>
      <c r="B629" s="200" t="s">
        <v>157</v>
      </c>
      <c r="C629" s="180">
        <f>BF71</f>
        <v>1490617</v>
      </c>
      <c r="D629" s="180">
        <f>(D615/D612)*BF76</f>
        <v>36071.659457021386</v>
      </c>
      <c r="E629" s="180">
        <f>(E623/E612)*SUM(C629:D629)</f>
        <v>95264.506269227219</v>
      </c>
      <c r="F629" s="180">
        <f>(F624/F612)*BF64</f>
        <v>6829.878127596573</v>
      </c>
      <c r="G629" s="180">
        <f>(G625/G612)*BF77</f>
        <v>0</v>
      </c>
      <c r="H629" s="180">
        <f>(H628/H612)*BF60</f>
        <v>87582.997964166658</v>
      </c>
      <c r="I629" s="180">
        <f>SUM(C629:H629)</f>
        <v>1716366.0418180118</v>
      </c>
      <c r="N629" s="199" t="s">
        <v>670</v>
      </c>
    </row>
    <row r="630" spans="1:14" ht="12.6" customHeight="1" x14ac:dyDescent="0.25">
      <c r="A630" s="196">
        <v>8350</v>
      </c>
      <c r="B630" s="200" t="s">
        <v>671</v>
      </c>
      <c r="C630" s="180">
        <f>BA71</f>
        <v>284608</v>
      </c>
      <c r="D630" s="180">
        <f>(D615/D612)*BA76</f>
        <v>0</v>
      </c>
      <c r="E630" s="180">
        <f>(E623/E612)*SUM(C630:D630)</f>
        <v>17759.377743668563</v>
      </c>
      <c r="F630" s="180">
        <f>(F624/F612)*BA64</f>
        <v>2255.7061582424735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304623.08390191104</v>
      </c>
      <c r="N630" s="199" t="s">
        <v>672</v>
      </c>
    </row>
    <row r="631" spans="1:14" ht="12.6" customHeight="1" x14ac:dyDescent="0.25">
      <c r="A631" s="196">
        <v>8200</v>
      </c>
      <c r="B631" s="200" t="s">
        <v>673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674</v>
      </c>
    </row>
    <row r="632" spans="1:14" ht="12.6" customHeight="1" x14ac:dyDescent="0.25">
      <c r="A632" s="196">
        <v>8360</v>
      </c>
      <c r="B632" s="200" t="s">
        <v>675</v>
      </c>
      <c r="C632" s="180">
        <f>BB71</f>
        <v>2136</v>
      </c>
      <c r="D632" s="180">
        <f>(D615/D612)*BB76</f>
        <v>1002.2573151074838</v>
      </c>
      <c r="E632" s="180">
        <f>(E623/E612)*SUM(C632:D632)</f>
        <v>195.82547614903626</v>
      </c>
      <c r="F632" s="180">
        <f>(F624/F612)*BB64</f>
        <v>0</v>
      </c>
      <c r="G632" s="180">
        <f>(G625/G612)*BB77</f>
        <v>0</v>
      </c>
      <c r="H632" s="180">
        <f>(H628/H612)*BB60</f>
        <v>246.35043650963718</v>
      </c>
      <c r="I632" s="180">
        <f>(I629/I612)*BB78</f>
        <v>0</v>
      </c>
      <c r="J632" s="180">
        <f>(J630/J612)*BB79</f>
        <v>0</v>
      </c>
      <c r="N632" s="199" t="s">
        <v>676</v>
      </c>
    </row>
    <row r="633" spans="1:14" ht="12.6" customHeight="1" x14ac:dyDescent="0.25">
      <c r="A633" s="196">
        <v>8370</v>
      </c>
      <c r="B633" s="200" t="s">
        <v>677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678</v>
      </c>
    </row>
    <row r="634" spans="1:14" ht="12.6" customHeight="1" x14ac:dyDescent="0.25">
      <c r="A634" s="196">
        <v>8490</v>
      </c>
      <c r="B634" s="200" t="s">
        <v>679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680</v>
      </c>
    </row>
    <row r="635" spans="1:14" ht="12.6" customHeight="1" x14ac:dyDescent="0.25">
      <c r="A635" s="196">
        <v>8530</v>
      </c>
      <c r="B635" s="200" t="s">
        <v>681</v>
      </c>
      <c r="C635" s="180">
        <f>BK71</f>
        <v>1364320</v>
      </c>
      <c r="D635" s="180">
        <f>(D615/D612)*BK76</f>
        <v>46668.41555099962</v>
      </c>
      <c r="E635" s="180">
        <f>(E623/E612)*SUM(C635:D635)</f>
        <v>88044.876685513387</v>
      </c>
      <c r="F635" s="180">
        <f>(F624/F612)*BK64</f>
        <v>523.45406034687653</v>
      </c>
      <c r="G635" s="180">
        <f>(G625/G612)*BK77</f>
        <v>0</v>
      </c>
      <c r="H635" s="180">
        <f>(H628/H612)*BK60</f>
        <v>30713.326880090175</v>
      </c>
      <c r="I635" s="180">
        <f>(I629/I612)*BK78</f>
        <v>0</v>
      </c>
      <c r="J635" s="180">
        <f>(J630/J612)*BK79</f>
        <v>0</v>
      </c>
      <c r="N635" s="199" t="s">
        <v>682</v>
      </c>
    </row>
    <row r="636" spans="1:14" ht="12.6" customHeight="1" x14ac:dyDescent="0.25">
      <c r="A636" s="196">
        <v>8480</v>
      </c>
      <c r="B636" s="200" t="s">
        <v>683</v>
      </c>
      <c r="C636" s="180">
        <f>BH71</f>
        <v>3102039</v>
      </c>
      <c r="D636" s="180">
        <f>(D615/D612)*BH76</f>
        <v>47821.637334650964</v>
      </c>
      <c r="E636" s="180">
        <f>(E623/E612)*SUM(C636:D636)</f>
        <v>196549.51687351963</v>
      </c>
      <c r="F636" s="180">
        <f>(F624/F612)*BH64</f>
        <v>9851.0806934287302</v>
      </c>
      <c r="G636" s="180">
        <f>(G625/G612)*BH77</f>
        <v>0</v>
      </c>
      <c r="H636" s="180">
        <f>(H628/H612)*BH60</f>
        <v>33866.246790984354</v>
      </c>
      <c r="I636" s="180">
        <f>(I629/I612)*BH78</f>
        <v>0</v>
      </c>
      <c r="J636" s="180">
        <f>(J630/J612)*BH79</f>
        <v>0</v>
      </c>
      <c r="N636" s="199" t="s">
        <v>684</v>
      </c>
    </row>
    <row r="637" spans="1:14" ht="12.6" customHeight="1" x14ac:dyDescent="0.25">
      <c r="A637" s="196">
        <v>8560</v>
      </c>
      <c r="B637" s="200" t="s">
        <v>163</v>
      </c>
      <c r="C637" s="180">
        <f>BL71</f>
        <v>827572</v>
      </c>
      <c r="D637" s="180">
        <f>(D615/D612)*BL76</f>
        <v>11086.985958592088</v>
      </c>
      <c r="E637" s="180">
        <f>(E623/E612)*SUM(C637:D637)</f>
        <v>52331.844957839086</v>
      </c>
      <c r="F637" s="180">
        <f>(F624/F612)*BL64</f>
        <v>393.22242572419839</v>
      </c>
      <c r="G637" s="180">
        <f>(G625/G612)*BL77</f>
        <v>0</v>
      </c>
      <c r="H637" s="180">
        <f>(H628/H612)*BL60</f>
        <v>45585.733685711137</v>
      </c>
      <c r="I637" s="180">
        <f>(I629/I612)*BL78</f>
        <v>0</v>
      </c>
      <c r="J637" s="180">
        <f>(J630/J612)*BL79</f>
        <v>0</v>
      </c>
      <c r="N637" s="199" t="s">
        <v>685</v>
      </c>
    </row>
    <row r="638" spans="1:14" ht="12.6" customHeight="1" x14ac:dyDescent="0.25">
      <c r="A638" s="196">
        <v>8590</v>
      </c>
      <c r="B638" s="200" t="s">
        <v>686</v>
      </c>
      <c r="C638" s="180">
        <f>BM71</f>
        <v>620369</v>
      </c>
      <c r="D638" s="180">
        <f>(D615/D612)*BM76</f>
        <v>5907.3615911115494</v>
      </c>
      <c r="E638" s="180">
        <f>(E623/E612)*SUM(C638:D638)</f>
        <v>39079.289680637623</v>
      </c>
      <c r="F638" s="180">
        <f>(F624/F612)*BM64</f>
        <v>218.69489958841189</v>
      </c>
      <c r="G638" s="180">
        <f>(G625/G612)*BM77</f>
        <v>0</v>
      </c>
      <c r="H638" s="180">
        <f>(H628/H612)*BM60</f>
        <v>9720.786140327833</v>
      </c>
      <c r="I638" s="180">
        <f>(I629/I612)*BM78</f>
        <v>0</v>
      </c>
      <c r="J638" s="180">
        <f>(J630/J612)*BM79</f>
        <v>0</v>
      </c>
      <c r="N638" s="199" t="s">
        <v>687</v>
      </c>
    </row>
    <row r="639" spans="1:14" ht="12.6" customHeight="1" x14ac:dyDescent="0.25">
      <c r="A639" s="196">
        <v>8660</v>
      </c>
      <c r="B639" s="200" t="s">
        <v>688</v>
      </c>
      <c r="C639" s="180">
        <f>BS71</f>
        <v>89560</v>
      </c>
      <c r="D639" s="180">
        <f>(D615/D612)*BS76</f>
        <v>8690.1147825404678</v>
      </c>
      <c r="E639" s="180">
        <f>(E623/E612)*SUM(C639:D639)</f>
        <v>6130.7514257572902</v>
      </c>
      <c r="F639" s="180">
        <f>(F624/F612)*BS64</f>
        <v>227.60548511522671</v>
      </c>
      <c r="G639" s="180">
        <f>(G625/G612)*BS77</f>
        <v>0</v>
      </c>
      <c r="H639" s="180">
        <f>(H628/H612)*BS60</f>
        <v>958.45716704530707</v>
      </c>
      <c r="I639" s="180">
        <f>(I629/I612)*BS78</f>
        <v>0</v>
      </c>
      <c r="J639" s="180">
        <f>(J630/J612)*BS79</f>
        <v>0</v>
      </c>
      <c r="N639" s="199" t="s">
        <v>689</v>
      </c>
    </row>
    <row r="640" spans="1:14" ht="12.6" customHeight="1" x14ac:dyDescent="0.25">
      <c r="A640" s="196">
        <v>8670</v>
      </c>
      <c r="B640" s="200" t="s">
        <v>690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691</v>
      </c>
    </row>
    <row r="641" spans="1:14" ht="12.6" customHeight="1" x14ac:dyDescent="0.25">
      <c r="A641" s="196">
        <v>8680</v>
      </c>
      <c r="B641" s="200" t="s">
        <v>692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693</v>
      </c>
    </row>
    <row r="642" spans="1:14" ht="12.6" customHeight="1" x14ac:dyDescent="0.25">
      <c r="A642" s="196">
        <v>8690</v>
      </c>
      <c r="B642" s="200" t="s">
        <v>694</v>
      </c>
      <c r="C642" s="180">
        <f>BV71</f>
        <v>885107</v>
      </c>
      <c r="D642" s="180">
        <f>(D615/D612)*BV76</f>
        <v>14295.76325424628</v>
      </c>
      <c r="E642" s="180">
        <f>(E623/E612)*SUM(C642:D642)</f>
        <v>56122.222201524441</v>
      </c>
      <c r="F642" s="180">
        <f>(F624/F612)*BV64</f>
        <v>531.2508226828395</v>
      </c>
      <c r="G642" s="180">
        <f>(G625/G612)*BV77</f>
        <v>0</v>
      </c>
      <c r="H642" s="180">
        <f>(H628/H612)*BV60</f>
        <v>26122.807826203385</v>
      </c>
      <c r="I642" s="180">
        <f>(I629/I612)*BV78</f>
        <v>0</v>
      </c>
      <c r="J642" s="180">
        <f>(J630/J612)*BV79</f>
        <v>0</v>
      </c>
      <c r="N642" s="199" t="s">
        <v>695</v>
      </c>
    </row>
    <row r="643" spans="1:14" ht="12.6" customHeight="1" x14ac:dyDescent="0.25">
      <c r="A643" s="196">
        <v>8700</v>
      </c>
      <c r="B643" s="200" t="s">
        <v>696</v>
      </c>
      <c r="C643" s="180">
        <f>BW71</f>
        <v>536867</v>
      </c>
      <c r="D643" s="180">
        <f>(D615/D612)*BW76</f>
        <v>4585.2624713121431</v>
      </c>
      <c r="E643" s="180">
        <f>(E623/E612)*SUM(C643:D643)</f>
        <v>33786.314015740987</v>
      </c>
      <c r="F643" s="180">
        <f>(F624/F612)*BW64</f>
        <v>561.79528172427683</v>
      </c>
      <c r="G643" s="180">
        <f>(G625/G612)*BW77</f>
        <v>0</v>
      </c>
      <c r="H643" s="180">
        <f>(H628/H612)*BW60</f>
        <v>2010.9316686491752</v>
      </c>
      <c r="I643" s="180">
        <f>(I629/I612)*BW78</f>
        <v>0</v>
      </c>
      <c r="J643" s="180">
        <f>(J630/J612)*BW79</f>
        <v>0</v>
      </c>
      <c r="N643" s="199" t="s">
        <v>697</v>
      </c>
    </row>
    <row r="644" spans="1:14" ht="12.6" customHeight="1" x14ac:dyDescent="0.25">
      <c r="A644" s="196">
        <v>8710</v>
      </c>
      <c r="B644" s="200" t="s">
        <v>698</v>
      </c>
      <c r="C644" s="180">
        <f>BX71</f>
        <v>478940</v>
      </c>
      <c r="D644" s="180">
        <f>(D615/D612)*BX76</f>
        <v>1344.1125233611992</v>
      </c>
      <c r="E644" s="180">
        <f>(E623/E612)*SUM(C644:D644)</f>
        <v>29969.45615929626</v>
      </c>
      <c r="F644" s="180">
        <f>(F624/F612)*BX64</f>
        <v>9.0819429407920307</v>
      </c>
      <c r="G644" s="180">
        <f>(G625/G612)*BX77</f>
        <v>0</v>
      </c>
      <c r="H644" s="180">
        <f>(H628/H612)*BX60</f>
        <v>8978.8575346850012</v>
      </c>
      <c r="I644" s="180">
        <f>(I629/I612)*BX78</f>
        <v>0</v>
      </c>
      <c r="J644" s="180">
        <f>(J630/J612)*BX79</f>
        <v>0</v>
      </c>
      <c r="K644" s="180">
        <f>SUM(C631:J644)</f>
        <v>8721041.6919996552</v>
      </c>
      <c r="N644" s="199" t="s">
        <v>699</v>
      </c>
    </row>
    <row r="645" spans="1:14" ht="12.6" customHeight="1" x14ac:dyDescent="0.25">
      <c r="A645" s="196">
        <v>8720</v>
      </c>
      <c r="B645" s="200" t="s">
        <v>700</v>
      </c>
      <c r="C645" s="180">
        <f>BY71</f>
        <v>1495548</v>
      </c>
      <c r="D645" s="180">
        <f>(D615/D612)*BY76</f>
        <v>17780.355547468807</v>
      </c>
      <c r="E645" s="180">
        <f>(E623/E612)*SUM(C645:D645)</f>
        <v>94430.830884487674</v>
      </c>
      <c r="F645" s="180">
        <f>(F624/F612)*BY64</f>
        <v>467.72006145078961</v>
      </c>
      <c r="G645" s="180">
        <f>(G625/G612)*BY77</f>
        <v>0</v>
      </c>
      <c r="H645" s="180">
        <f>(H628/H612)*BY60</f>
        <v>17500.985209306706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701</v>
      </c>
    </row>
    <row r="646" spans="1:14" ht="12.6" customHeight="1" x14ac:dyDescent="0.25">
      <c r="A646" s="196">
        <v>8730</v>
      </c>
      <c r="B646" s="200" t="s">
        <v>702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703</v>
      </c>
    </row>
    <row r="647" spans="1:14" ht="12.6" customHeight="1" x14ac:dyDescent="0.25">
      <c r="A647" s="196">
        <v>8740</v>
      </c>
      <c r="B647" s="200" t="s">
        <v>704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1625727.8917027139</v>
      </c>
      <c r="N647" s="199" t="s">
        <v>705</v>
      </c>
    </row>
    <row r="648" spans="1:14" ht="12.6" customHeight="1" x14ac:dyDescent="0.25">
      <c r="A648" s="196"/>
      <c r="B648" s="196"/>
      <c r="C648" s="180">
        <f>SUM(C614:C647)</f>
        <v>21651783</v>
      </c>
      <c r="L648" s="260"/>
    </row>
    <row r="666" spans="1:14" ht="12.6" customHeight="1" x14ac:dyDescent="0.25">
      <c r="C666" s="181" t="s">
        <v>706</v>
      </c>
      <c r="M666" s="181" t="s">
        <v>707</v>
      </c>
    </row>
    <row r="667" spans="1:14" ht="12.6" customHeight="1" x14ac:dyDescent="0.25">
      <c r="C667" s="181" t="s">
        <v>636</v>
      </c>
      <c r="D667" s="181" t="s">
        <v>637</v>
      </c>
      <c r="E667" s="198" t="s">
        <v>638</v>
      </c>
      <c r="F667" s="181" t="s">
        <v>639</v>
      </c>
      <c r="G667" s="181" t="s">
        <v>640</v>
      </c>
      <c r="H667" s="181" t="s">
        <v>641</v>
      </c>
      <c r="I667" s="181" t="s">
        <v>642</v>
      </c>
      <c r="J667" s="181" t="s">
        <v>643</v>
      </c>
      <c r="K667" s="181" t="s">
        <v>644</v>
      </c>
      <c r="L667" s="198" t="s">
        <v>645</v>
      </c>
      <c r="M667" s="181" t="s">
        <v>708</v>
      </c>
    </row>
    <row r="668" spans="1:14" ht="12.6" customHeight="1" x14ac:dyDescent="0.25">
      <c r="A668" s="196">
        <v>6010</v>
      </c>
      <c r="B668" s="198" t="s">
        <v>313</v>
      </c>
      <c r="C668" s="180">
        <f>C71</f>
        <v>1656725</v>
      </c>
      <c r="D668" s="180">
        <f>(D615/D612)*C76</f>
        <v>33100.389520384357</v>
      </c>
      <c r="E668" s="180">
        <f>(E623/E612)*SUM(C668:D668)</f>
        <v>105444.14567873839</v>
      </c>
      <c r="F668" s="180">
        <f>(F624/F612)*C64</f>
        <v>3555.1522677851372</v>
      </c>
      <c r="G668" s="180">
        <f>(G625/G612)*C77</f>
        <v>186996.47115942021</v>
      </c>
      <c r="H668" s="180">
        <f>(H628/H612)*C60</f>
        <v>61110.690079228742</v>
      </c>
      <c r="I668" s="180">
        <f>(I629/I612)*C78</f>
        <v>76411.878535512325</v>
      </c>
      <c r="J668" s="180">
        <f>(J630/J612)*C79</f>
        <v>13561.688776812838</v>
      </c>
      <c r="K668" s="180">
        <f>(K644/K612)*C75</f>
        <v>117829.18691372609</v>
      </c>
      <c r="L668" s="180">
        <f>(L647/L612)*C80</f>
        <v>151072.61353400038</v>
      </c>
      <c r="M668" s="180">
        <f t="shared" ref="M668:M713" si="20">ROUND(SUM(D668:L668),0)</f>
        <v>749082</v>
      </c>
      <c r="N668" s="198" t="s">
        <v>709</v>
      </c>
    </row>
    <row r="669" spans="1:14" ht="12.6" customHeight="1" x14ac:dyDescent="0.25">
      <c r="A669" s="196">
        <v>6030</v>
      </c>
      <c r="B669" s="198" t="s">
        <v>314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710</v>
      </c>
    </row>
    <row r="670" spans="1:14" ht="12.6" customHeight="1" x14ac:dyDescent="0.25">
      <c r="A670" s="196">
        <v>6070</v>
      </c>
      <c r="B670" s="198" t="s">
        <v>711</v>
      </c>
      <c r="C670" s="180">
        <f>E71</f>
        <v>4121972</v>
      </c>
      <c r="D670" s="180">
        <f>(D615/D612)*E76</f>
        <v>74828.738330899418</v>
      </c>
      <c r="E670" s="180">
        <f>(E623/E612)*SUM(C670:D670)</f>
        <v>261877.98525313969</v>
      </c>
      <c r="F670" s="180">
        <f>(F624/F612)*E64</f>
        <v>12768.826220572148</v>
      </c>
      <c r="G670" s="180">
        <f>(G625/G612)*E77</f>
        <v>725313.88227958139</v>
      </c>
      <c r="H670" s="180">
        <f>(H628/H612)*E60</f>
        <v>160008.53472309303</v>
      </c>
      <c r="I670" s="180">
        <f>(I629/I612)*E78</f>
        <v>348081.29450340639</v>
      </c>
      <c r="J670" s="180">
        <f>(J630/J612)*E79</f>
        <v>61777.962740327755</v>
      </c>
      <c r="K670" s="180">
        <f>(K644/K612)*E75</f>
        <v>413594.12403226038</v>
      </c>
      <c r="L670" s="180">
        <f>(L647/L612)*E80</f>
        <v>395559.39389694086</v>
      </c>
      <c r="M670" s="180">
        <f t="shared" si="20"/>
        <v>2453811</v>
      </c>
      <c r="N670" s="198" t="s">
        <v>712</v>
      </c>
    </row>
    <row r="671" spans="1:14" ht="12.6" customHeight="1" x14ac:dyDescent="0.25">
      <c r="A671" s="196">
        <v>6100</v>
      </c>
      <c r="B671" s="198" t="s">
        <v>713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714</v>
      </c>
    </row>
    <row r="672" spans="1:14" ht="12.6" customHeight="1" x14ac:dyDescent="0.25">
      <c r="A672" s="196">
        <v>6120</v>
      </c>
      <c r="B672" s="198" t="s">
        <v>715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716</v>
      </c>
    </row>
    <row r="673" spans="1:14" ht="12.6" customHeight="1" x14ac:dyDescent="0.25">
      <c r="A673" s="196">
        <v>6140</v>
      </c>
      <c r="B673" s="198" t="s">
        <v>717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718</v>
      </c>
    </row>
    <row r="674" spans="1:14" ht="12.6" customHeight="1" x14ac:dyDescent="0.25">
      <c r="A674" s="196">
        <v>6150</v>
      </c>
      <c r="B674" s="198" t="s">
        <v>719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720</v>
      </c>
    </row>
    <row r="675" spans="1:14" ht="12.6" customHeight="1" x14ac:dyDescent="0.25">
      <c r="A675" s="196">
        <v>6170</v>
      </c>
      <c r="B675" s="198" t="s">
        <v>114</v>
      </c>
      <c r="C675" s="180">
        <f>J71</f>
        <v>2385</v>
      </c>
      <c r="D675" s="180">
        <f>(D615/D612)*J76</f>
        <v>1118.7988633757959</v>
      </c>
      <c r="E675" s="180">
        <f>(E623/E612)*SUM(C675:D675)</f>
        <v>218.63506139155373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12269.779069340904</v>
      </c>
      <c r="L675" s="180">
        <f>(L647/L612)*J80</f>
        <v>0</v>
      </c>
      <c r="M675" s="180">
        <f t="shared" si="20"/>
        <v>13607</v>
      </c>
      <c r="N675" s="198" t="s">
        <v>721</v>
      </c>
    </row>
    <row r="676" spans="1:14" ht="12.6" customHeight="1" x14ac:dyDescent="0.25">
      <c r="A676" s="196">
        <v>6200</v>
      </c>
      <c r="B676" s="198" t="s">
        <v>319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722</v>
      </c>
    </row>
    <row r="677" spans="1:14" ht="12.6" customHeight="1" x14ac:dyDescent="0.25">
      <c r="A677" s="196">
        <v>6210</v>
      </c>
      <c r="B677" s="198" t="s">
        <v>320</v>
      </c>
      <c r="C677" s="180">
        <f>L71</f>
        <v>60446</v>
      </c>
      <c r="D677" s="180">
        <f>(D615/D612)*L76</f>
        <v>28359.738318047795</v>
      </c>
      <c r="E677" s="180">
        <f>(E623/E612)*SUM(C677:D677)</f>
        <v>5541.4276921084174</v>
      </c>
      <c r="F677" s="180">
        <f>(F624/F612)*L64</f>
        <v>0</v>
      </c>
      <c r="G677" s="180">
        <f>(G625/G612)*L77</f>
        <v>25792.51160931238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6583.4508432775765</v>
      </c>
      <c r="L677" s="180">
        <f>(L647/L612)*L80</f>
        <v>0</v>
      </c>
      <c r="M677" s="180">
        <f t="shared" si="20"/>
        <v>66277</v>
      </c>
      <c r="N677" s="198" t="s">
        <v>723</v>
      </c>
    </row>
    <row r="678" spans="1:14" ht="12.6" customHeight="1" x14ac:dyDescent="0.25">
      <c r="A678" s="196">
        <v>6330</v>
      </c>
      <c r="B678" s="198" t="s">
        <v>724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725</v>
      </c>
    </row>
    <row r="679" spans="1:14" ht="12.6" customHeight="1" x14ac:dyDescent="0.25">
      <c r="A679" s="196">
        <v>6400</v>
      </c>
      <c r="B679" s="198" t="s">
        <v>726</v>
      </c>
      <c r="C679" s="180">
        <f>N71</f>
        <v>2124093</v>
      </c>
      <c r="D679" s="180">
        <f>(D615/D612)*N76</f>
        <v>3755.2276664233882</v>
      </c>
      <c r="E679" s="180">
        <f>(E623/E612)*SUM(C679:D679)</f>
        <v>132776.52229144535</v>
      </c>
      <c r="F679" s="180">
        <f>(F624/F612)*N64</f>
        <v>706.12106364658041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68722.377168081293</v>
      </c>
      <c r="L679" s="180">
        <f>(L647/L612)*N80</f>
        <v>0</v>
      </c>
      <c r="M679" s="180">
        <f t="shared" si="20"/>
        <v>205960</v>
      </c>
      <c r="N679" s="198" t="s">
        <v>727</v>
      </c>
    </row>
    <row r="680" spans="1:14" ht="12.6" customHeight="1" x14ac:dyDescent="0.25">
      <c r="A680" s="196">
        <v>7010</v>
      </c>
      <c r="B680" s="198" t="s">
        <v>728</v>
      </c>
      <c r="C680" s="180">
        <f>O71</f>
        <v>1674152</v>
      </c>
      <c r="D680" s="180">
        <f>(D615/D612)*O76</f>
        <v>35528.338442640845</v>
      </c>
      <c r="E680" s="180">
        <f>(E623/E612)*SUM(C680:D680)</f>
        <v>106683.08322789933</v>
      </c>
      <c r="F680" s="180">
        <f>(F624/F612)*O64</f>
        <v>2811.5039304775482</v>
      </c>
      <c r="G680" s="180">
        <f>(G625/G612)*O77</f>
        <v>0</v>
      </c>
      <c r="H680" s="180">
        <f>(H628/H612)*O60</f>
        <v>43192.44881808394</v>
      </c>
      <c r="I680" s="180">
        <f>(I629/I612)*O78</f>
        <v>66318.841635028992</v>
      </c>
      <c r="J680" s="180">
        <f>(J630/J612)*O79</f>
        <v>11770.362246427534</v>
      </c>
      <c r="K680" s="180">
        <f>(K644/K612)*O75</f>
        <v>53224.813136415636</v>
      </c>
      <c r="L680" s="180">
        <f>(L647/L612)*O80</f>
        <v>106776.67228796968</v>
      </c>
      <c r="M680" s="180">
        <f t="shared" si="20"/>
        <v>426306</v>
      </c>
      <c r="N680" s="198" t="s">
        <v>729</v>
      </c>
    </row>
    <row r="681" spans="1:14" ht="12.6" customHeight="1" x14ac:dyDescent="0.25">
      <c r="A681" s="196">
        <v>7020</v>
      </c>
      <c r="B681" s="198" t="s">
        <v>730</v>
      </c>
      <c r="C681" s="180">
        <f>P71</f>
        <v>3412620</v>
      </c>
      <c r="D681" s="180">
        <f>(D615/D612)*P76</f>
        <v>126472.18308686405</v>
      </c>
      <c r="E681" s="180">
        <f>(E623/E612)*SUM(C681:D681)</f>
        <v>220837.3445198457</v>
      </c>
      <c r="F681" s="180">
        <f>(F624/F612)*P64</f>
        <v>52482.106411687972</v>
      </c>
      <c r="G681" s="180">
        <f>(G625/G612)*P77</f>
        <v>0</v>
      </c>
      <c r="H681" s="180">
        <f>(H628/H612)*P60</f>
        <v>44737.980246072359</v>
      </c>
      <c r="I681" s="180">
        <f>(I629/I612)*P78</f>
        <v>250347.95021246214</v>
      </c>
      <c r="J681" s="180">
        <f>(J630/J612)*P79</f>
        <v>44432.109925377103</v>
      </c>
      <c r="K681" s="180">
        <f>(K644/K612)*P75</f>
        <v>716989.83907359838</v>
      </c>
      <c r="L681" s="180">
        <f>(L647/L612)*P80</f>
        <v>110597.40270064272</v>
      </c>
      <c r="M681" s="180">
        <f t="shared" si="20"/>
        <v>1566897</v>
      </c>
      <c r="N681" s="198" t="s">
        <v>731</v>
      </c>
    </row>
    <row r="682" spans="1:14" ht="12.6" customHeight="1" x14ac:dyDescent="0.25">
      <c r="A682" s="196">
        <v>7030</v>
      </c>
      <c r="B682" s="198" t="s">
        <v>732</v>
      </c>
      <c r="C682" s="180">
        <f>Q71</f>
        <v>114271</v>
      </c>
      <c r="D682" s="180">
        <f>(D615/D612)*Q76</f>
        <v>7620.5223506557377</v>
      </c>
      <c r="E682" s="180">
        <f>(E623/E612)*SUM(C682:D682)</f>
        <v>7605.9618463856068</v>
      </c>
      <c r="F682" s="180">
        <f>(F624/F612)*Q64</f>
        <v>182.40996717873807</v>
      </c>
      <c r="G682" s="180">
        <f>(G625/G612)*Q77</f>
        <v>0</v>
      </c>
      <c r="H682" s="180">
        <f>(H628/H612)*Q60</f>
        <v>3578.3363209417407</v>
      </c>
      <c r="I682" s="180">
        <f>(I629/I612)*Q78</f>
        <v>0</v>
      </c>
      <c r="J682" s="180">
        <f>(J630/J612)*Q79</f>
        <v>0</v>
      </c>
      <c r="K682" s="180">
        <f>(K644/K612)*Q75</f>
        <v>152449.35928978139</v>
      </c>
      <c r="L682" s="180">
        <f>(L647/L612)*Q80</f>
        <v>8846.0565476751526</v>
      </c>
      <c r="M682" s="180">
        <f t="shared" si="20"/>
        <v>180283</v>
      </c>
      <c r="N682" s="198" t="s">
        <v>733</v>
      </c>
    </row>
    <row r="683" spans="1:14" ht="12.6" customHeight="1" x14ac:dyDescent="0.25">
      <c r="A683" s="196">
        <v>7040</v>
      </c>
      <c r="B683" s="198" t="s">
        <v>122</v>
      </c>
      <c r="C683" s="180">
        <f>R71</f>
        <v>1405534</v>
      </c>
      <c r="D683" s="180">
        <f>(D615/D612)*R76</f>
        <v>1761.0722849433816</v>
      </c>
      <c r="E683" s="180">
        <f>(E623/E612)*SUM(C683:D683)</f>
        <v>87814.414160921922</v>
      </c>
      <c r="F683" s="180">
        <f>(F624/F612)*R64</f>
        <v>4227.7729569991734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319807.31695269985</v>
      </c>
      <c r="L683" s="180">
        <f>(L647/L612)*R80</f>
        <v>0</v>
      </c>
      <c r="M683" s="180">
        <f t="shared" si="20"/>
        <v>413611</v>
      </c>
      <c r="N683" s="198" t="s">
        <v>734</v>
      </c>
    </row>
    <row r="684" spans="1:14" ht="12.6" customHeight="1" x14ac:dyDescent="0.25">
      <c r="A684" s="196">
        <v>7050</v>
      </c>
      <c r="B684" s="198" t="s">
        <v>735</v>
      </c>
      <c r="C684" s="180">
        <f>S71</f>
        <v>1654540</v>
      </c>
      <c r="D684" s="180">
        <f>(D615/D612)*S76</f>
        <v>9661.2943514430681</v>
      </c>
      <c r="E684" s="180">
        <f>(E623/E612)*SUM(C684:D684)</f>
        <v>103845.21667658477</v>
      </c>
      <c r="F684" s="180">
        <f>(F624/F612)*S64</f>
        <v>64178.492256883765</v>
      </c>
      <c r="G684" s="180">
        <f>(G625/G612)*S77</f>
        <v>0</v>
      </c>
      <c r="H684" s="180">
        <f>(H628/H612)*S60</f>
        <v>3819.923340807929</v>
      </c>
      <c r="I684" s="180">
        <f>(I629/I612)*S78</f>
        <v>16176.347477565643</v>
      </c>
      <c r="J684" s="180">
        <f>(J630/J612)*S79</f>
        <v>2871.0011354369558</v>
      </c>
      <c r="K684" s="180">
        <f>(K644/K612)*S75</f>
        <v>22609.108602499164</v>
      </c>
      <c r="L684" s="180">
        <f>(L647/L612)*S80</f>
        <v>9443.2872848793595</v>
      </c>
      <c r="M684" s="180">
        <f t="shared" si="20"/>
        <v>232605</v>
      </c>
      <c r="N684" s="198" t="s">
        <v>736</v>
      </c>
    </row>
    <row r="685" spans="1:14" ht="12.6" customHeight="1" x14ac:dyDescent="0.25">
      <c r="A685" s="196">
        <v>7060</v>
      </c>
      <c r="B685" s="198" t="s">
        <v>737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738</v>
      </c>
    </row>
    <row r="686" spans="1:14" ht="12.6" customHeight="1" x14ac:dyDescent="0.25">
      <c r="A686" s="196">
        <v>7070</v>
      </c>
      <c r="B686" s="198" t="s">
        <v>125</v>
      </c>
      <c r="C686" s="180">
        <f>U71</f>
        <v>4742102</v>
      </c>
      <c r="D686" s="180">
        <f>(D615/D612)*U76</f>
        <v>54970.058505979032</v>
      </c>
      <c r="E686" s="180">
        <f>(E623/E612)*SUM(C686:D686)</f>
        <v>299334.57510191365</v>
      </c>
      <c r="F686" s="180">
        <f>(F624/F612)*U64</f>
        <v>62561.478019887836</v>
      </c>
      <c r="G686" s="180">
        <f>(G625/G612)*U77</f>
        <v>0</v>
      </c>
      <c r="H686" s="180">
        <f>(H628/H612)*U60</f>
        <v>74043.866665514521</v>
      </c>
      <c r="I686" s="180">
        <f>(I629/I612)*U78</f>
        <v>764.89563248186266</v>
      </c>
      <c r="J686" s="180">
        <f>(J630/J612)*U79</f>
        <v>135.75476370001121</v>
      </c>
      <c r="K686" s="180">
        <f>(K644/K612)*U75</f>
        <v>776392.06004051503</v>
      </c>
      <c r="L686" s="180">
        <f>(L647/L612)*U80</f>
        <v>183044.90489012498</v>
      </c>
      <c r="M686" s="180">
        <f t="shared" si="20"/>
        <v>1451248</v>
      </c>
      <c r="N686" s="198" t="s">
        <v>739</v>
      </c>
    </row>
    <row r="687" spans="1:14" ht="12.6" customHeight="1" x14ac:dyDescent="0.25">
      <c r="A687" s="196">
        <v>7110</v>
      </c>
      <c r="B687" s="198" t="s">
        <v>740</v>
      </c>
      <c r="C687" s="180">
        <f>V71</f>
        <v>156299</v>
      </c>
      <c r="D687" s="180">
        <f>(D615/D612)*V76</f>
        <v>0</v>
      </c>
      <c r="E687" s="180">
        <f>(E623/E612)*SUM(C687:D687)</f>
        <v>9752.9689325586533</v>
      </c>
      <c r="F687" s="180">
        <f>(F624/F612)*V64</f>
        <v>363.83462922710714</v>
      </c>
      <c r="G687" s="180">
        <f>(G625/G612)*V77</f>
        <v>0</v>
      </c>
      <c r="H687" s="180">
        <f>(H628/H612)*V60</f>
        <v>2013.6357496124256</v>
      </c>
      <c r="I687" s="180">
        <f>(I629/I612)*V78</f>
        <v>0</v>
      </c>
      <c r="J687" s="180">
        <f>(J630/J612)*V79</f>
        <v>0</v>
      </c>
      <c r="K687" s="180">
        <f>(K644/K612)*V75</f>
        <v>7705.3431614997999</v>
      </c>
      <c r="L687" s="180">
        <f>(L647/L612)*V80</f>
        <v>4977.9378207814279</v>
      </c>
      <c r="M687" s="180">
        <f t="shared" si="20"/>
        <v>24814</v>
      </c>
      <c r="N687" s="198" t="s">
        <v>741</v>
      </c>
    </row>
    <row r="688" spans="1:14" ht="12.6" customHeight="1" x14ac:dyDescent="0.25">
      <c r="A688" s="196">
        <v>7120</v>
      </c>
      <c r="B688" s="198" t="s">
        <v>742</v>
      </c>
      <c r="C688" s="180">
        <f>W71</f>
        <v>600036</v>
      </c>
      <c r="D688" s="180">
        <f>(D615/D612)*W76</f>
        <v>14337.200249186122</v>
      </c>
      <c r="E688" s="180">
        <f>(E623/E612)*SUM(C688:D688)</f>
        <v>38336.539165490169</v>
      </c>
      <c r="F688" s="180">
        <f>(F624/F612)*W64</f>
        <v>1175.1691450556934</v>
      </c>
      <c r="G688" s="180">
        <f>(G625/G612)*W77</f>
        <v>0</v>
      </c>
      <c r="H688" s="180">
        <f>(H628/H612)*W60</f>
        <v>3019.8136906675481</v>
      </c>
      <c r="I688" s="180">
        <f>(I629/I612)*W78</f>
        <v>0</v>
      </c>
      <c r="J688" s="180">
        <f>(J630/J612)*W79</f>
        <v>0</v>
      </c>
      <c r="K688" s="180">
        <f>(K644/K612)*W75</f>
        <v>213807.72871774001</v>
      </c>
      <c r="L688" s="180">
        <f>(L647/L612)*W80</f>
        <v>7465.3247417666798</v>
      </c>
      <c r="M688" s="180">
        <f t="shared" si="20"/>
        <v>278142</v>
      </c>
      <c r="N688" s="198" t="s">
        <v>743</v>
      </c>
    </row>
    <row r="689" spans="1:14" ht="12.6" customHeight="1" x14ac:dyDescent="0.25">
      <c r="A689" s="196">
        <v>7130</v>
      </c>
      <c r="B689" s="198" t="s">
        <v>744</v>
      </c>
      <c r="C689" s="180">
        <f>X71</f>
        <v>398212</v>
      </c>
      <c r="D689" s="180">
        <f>(D615/D612)*X76</f>
        <v>6912.208718402775</v>
      </c>
      <c r="E689" s="180">
        <f>(E623/E612)*SUM(C689:D689)</f>
        <v>25279.520799608374</v>
      </c>
      <c r="F689" s="180">
        <f>(F624/F612)*X64</f>
        <v>3426.8055647162082</v>
      </c>
      <c r="G689" s="180">
        <f>(G625/G612)*X77</f>
        <v>0</v>
      </c>
      <c r="H689" s="180">
        <f>(H628/H612)*X60</f>
        <v>5003.0309352093864</v>
      </c>
      <c r="I689" s="180">
        <f>(I629/I612)*X78</f>
        <v>0</v>
      </c>
      <c r="J689" s="180">
        <f>(J630/J612)*X79</f>
        <v>0</v>
      </c>
      <c r="K689" s="180">
        <f>(K644/K612)*X75</f>
        <v>573888.09931363713</v>
      </c>
      <c r="L689" s="180">
        <f>(L647/L612)*X80</f>
        <v>12368.06453983141</v>
      </c>
      <c r="M689" s="180">
        <f t="shared" si="20"/>
        <v>626878</v>
      </c>
      <c r="N689" s="198" t="s">
        <v>745</v>
      </c>
    </row>
    <row r="690" spans="1:14" ht="12.6" customHeight="1" x14ac:dyDescent="0.25">
      <c r="A690" s="196">
        <v>7140</v>
      </c>
      <c r="B690" s="198" t="s">
        <v>746</v>
      </c>
      <c r="C690" s="180">
        <f>Y71</f>
        <v>2668299</v>
      </c>
      <c r="D690" s="180">
        <f>(D615/D612)*Y76</f>
        <v>72631.282692995825</v>
      </c>
      <c r="E690" s="180">
        <f>(E623/E612)*SUM(C690:D690)</f>
        <v>171032.49472750301</v>
      </c>
      <c r="F690" s="180">
        <f>(F624/F612)*Y64</f>
        <v>2812.31787819394</v>
      </c>
      <c r="G690" s="180">
        <f>(G625/G612)*Y77</f>
        <v>0</v>
      </c>
      <c r="H690" s="180">
        <f>(H628/H612)*Y60</f>
        <v>54066.895977199209</v>
      </c>
      <c r="I690" s="180">
        <f>(I629/I612)*Y78</f>
        <v>188911.29398163379</v>
      </c>
      <c r="J690" s="180">
        <f>(J630/J612)*Y79</f>
        <v>33528.244881628547</v>
      </c>
      <c r="K690" s="180">
        <f>(K644/K612)*Y75</f>
        <v>535695.69966893434</v>
      </c>
      <c r="L690" s="180">
        <f>(L647/L612)*Y80</f>
        <v>133659.54909618496</v>
      </c>
      <c r="M690" s="180">
        <f t="shared" si="20"/>
        <v>1192338</v>
      </c>
      <c r="N690" s="198" t="s">
        <v>747</v>
      </c>
    </row>
    <row r="691" spans="1:14" ht="12.6" customHeight="1" x14ac:dyDescent="0.25">
      <c r="A691" s="196">
        <v>7150</v>
      </c>
      <c r="B691" s="198" t="s">
        <v>748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749</v>
      </c>
    </row>
    <row r="692" spans="1:14" ht="12.6" customHeight="1" x14ac:dyDescent="0.25">
      <c r="A692" s="196">
        <v>7160</v>
      </c>
      <c r="B692" s="198" t="s">
        <v>750</v>
      </c>
      <c r="C692" s="180">
        <f>AA71</f>
        <v>209426</v>
      </c>
      <c r="D692" s="180">
        <f>(D615/D612)*AA76</f>
        <v>4629.2892784357309</v>
      </c>
      <c r="E692" s="180">
        <f>(E623/E612)*SUM(C692:D692)</f>
        <v>13356.928618752767</v>
      </c>
      <c r="F692" s="180">
        <f>(F624/F612)*AA64</f>
        <v>3681.9139147747769</v>
      </c>
      <c r="G692" s="180">
        <f>(G625/G612)*AA77</f>
        <v>0</v>
      </c>
      <c r="H692" s="180">
        <f>(H628/H612)*AA60</f>
        <v>1261.3912194407515</v>
      </c>
      <c r="I692" s="180">
        <f>(I629/I612)*AA78</f>
        <v>0</v>
      </c>
      <c r="J692" s="180">
        <f>(J630/J612)*AA79</f>
        <v>0</v>
      </c>
      <c r="K692" s="180">
        <f>(K644/K612)*AA75</f>
        <v>42000.635099408755</v>
      </c>
      <c r="L692" s="180">
        <f>(L647/L612)*AA80</f>
        <v>3118.303327334299</v>
      </c>
      <c r="M692" s="180">
        <f t="shared" si="20"/>
        <v>68048</v>
      </c>
      <c r="N692" s="198" t="s">
        <v>751</v>
      </c>
    </row>
    <row r="693" spans="1:14" ht="12.6" customHeight="1" x14ac:dyDescent="0.25">
      <c r="A693" s="196">
        <v>7170</v>
      </c>
      <c r="B693" s="198" t="s">
        <v>131</v>
      </c>
      <c r="C693" s="180">
        <f>AB71</f>
        <v>12518311</v>
      </c>
      <c r="D693" s="180">
        <f>(D615/D612)*AB76</f>
        <v>14708.838297552849</v>
      </c>
      <c r="E693" s="180">
        <f>(E623/E612)*SUM(C693:D693)</f>
        <v>782053.32800630399</v>
      </c>
      <c r="F693" s="180">
        <f>(F624/F612)*AB64</f>
        <v>410595.75417639856</v>
      </c>
      <c r="G693" s="180">
        <f>(G625/G612)*AB77</f>
        <v>0</v>
      </c>
      <c r="H693" s="180">
        <f>(H628/H612)*AB60</f>
        <v>20920.974013343566</v>
      </c>
      <c r="I693" s="180">
        <f>(I629/I612)*AB78</f>
        <v>0</v>
      </c>
      <c r="J693" s="180">
        <f>(J630/J612)*AB79</f>
        <v>0</v>
      </c>
      <c r="K693" s="180">
        <f>(K644/K612)*AB75</f>
        <v>1069677.9714686319</v>
      </c>
      <c r="L693" s="180">
        <f>(L647/L612)*AB80</f>
        <v>51719.039954794869</v>
      </c>
      <c r="M693" s="180">
        <f t="shared" si="20"/>
        <v>2349676</v>
      </c>
      <c r="N693" s="198" t="s">
        <v>752</v>
      </c>
    </row>
    <row r="694" spans="1:14" ht="12.6" customHeight="1" x14ac:dyDescent="0.25">
      <c r="A694" s="196">
        <v>7180</v>
      </c>
      <c r="B694" s="198" t="s">
        <v>753</v>
      </c>
      <c r="C694" s="180">
        <f>AC71</f>
        <v>1034694</v>
      </c>
      <c r="D694" s="180">
        <f>(D615/D612)*AC76</f>
        <v>12780.723126758221</v>
      </c>
      <c r="E694" s="180">
        <f>(E623/E612)*SUM(C694:D694)</f>
        <v>65361.828497276052</v>
      </c>
      <c r="F694" s="180">
        <f>(F624/F612)*AC64</f>
        <v>2947.0904842870141</v>
      </c>
      <c r="G694" s="180">
        <f>(G625/G612)*AC77</f>
        <v>0</v>
      </c>
      <c r="H694" s="180">
        <f>(H628/H612)*AC60</f>
        <v>23979.308828907513</v>
      </c>
      <c r="I694" s="180">
        <f>(I629/I612)*AC78</f>
        <v>0</v>
      </c>
      <c r="J694" s="180">
        <f>(J630/J612)*AC79</f>
        <v>0</v>
      </c>
      <c r="K694" s="180">
        <f>(K644/K612)*AC75</f>
        <v>175745.58810112983</v>
      </c>
      <c r="L694" s="180">
        <f>(L647/L612)*AC80</f>
        <v>59279.593321975924</v>
      </c>
      <c r="M694" s="180">
        <f t="shared" si="20"/>
        <v>340094</v>
      </c>
      <c r="N694" s="198" t="s">
        <v>754</v>
      </c>
    </row>
    <row r="695" spans="1:14" ht="12.6" customHeight="1" x14ac:dyDescent="0.25">
      <c r="A695" s="196">
        <v>7190</v>
      </c>
      <c r="B695" s="198" t="s">
        <v>133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755</v>
      </c>
    </row>
    <row r="696" spans="1:14" ht="12.6" customHeight="1" x14ac:dyDescent="0.25">
      <c r="A696" s="196">
        <v>7200</v>
      </c>
      <c r="B696" s="198" t="s">
        <v>756</v>
      </c>
      <c r="C696" s="180">
        <f>AE71</f>
        <v>3805268</v>
      </c>
      <c r="D696" s="180">
        <f>(D615/D612)*AE76</f>
        <v>69677.60189744005</v>
      </c>
      <c r="E696" s="180">
        <f>(E623/E612)*SUM(C696:D696)</f>
        <v>241794.40732608986</v>
      </c>
      <c r="F696" s="180">
        <f>(F624/F612)*AE64</f>
        <v>3515.7400625703795</v>
      </c>
      <c r="G696" s="180">
        <f>(G625/G612)*AE77</f>
        <v>0</v>
      </c>
      <c r="H696" s="180">
        <f>(H628/H612)*AE60</f>
        <v>63282.452015275747</v>
      </c>
      <c r="I696" s="180">
        <f>(I629/I612)*AE78</f>
        <v>147272.28798840239</v>
      </c>
      <c r="J696" s="180">
        <f>(J630/J612)*AE79</f>
        <v>26138.094932709188</v>
      </c>
      <c r="K696" s="180">
        <f>(K644/K612)*AE75</f>
        <v>324639.78881116275</v>
      </c>
      <c r="L696" s="180">
        <f>(L647/L612)*AE80</f>
        <v>156441.45736847378</v>
      </c>
      <c r="M696" s="180">
        <f t="shared" si="20"/>
        <v>1032762</v>
      </c>
      <c r="N696" s="198" t="s">
        <v>757</v>
      </c>
    </row>
    <row r="697" spans="1:14" ht="12.6" customHeight="1" x14ac:dyDescent="0.25">
      <c r="A697" s="196">
        <v>7220</v>
      </c>
      <c r="B697" s="198" t="s">
        <v>758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759</v>
      </c>
    </row>
    <row r="698" spans="1:14" ht="12.6" customHeight="1" x14ac:dyDescent="0.25">
      <c r="A698" s="196">
        <v>7230</v>
      </c>
      <c r="B698" s="198" t="s">
        <v>760</v>
      </c>
      <c r="C698" s="180">
        <f>AG71</f>
        <v>5469978</v>
      </c>
      <c r="D698" s="180">
        <f>(D615/D612)*AG76</f>
        <v>106297.33035784548</v>
      </c>
      <c r="E698" s="180">
        <f>(E623/E612)*SUM(C698:D698)</f>
        <v>347956.41722834634</v>
      </c>
      <c r="F698" s="180">
        <f>(F624/F612)*AG64</f>
        <v>11798.986096814644</v>
      </c>
      <c r="G698" s="180">
        <f>(G625/G612)*AG77</f>
        <v>0</v>
      </c>
      <c r="H698" s="180">
        <f>(H628/H612)*AG60</f>
        <v>93587.212470253609</v>
      </c>
      <c r="I698" s="180">
        <f>(I629/I612)*AG78</f>
        <v>394208.08659033995</v>
      </c>
      <c r="J698" s="180">
        <f>(J630/J612)*AG79</f>
        <v>69964.611341893265</v>
      </c>
      <c r="K698" s="180">
        <f>(K644/K612)*AG75</f>
        <v>1038398.4675412608</v>
      </c>
      <c r="L698" s="180">
        <f>(L647/L612)*AG80</f>
        <v>231358.29038933743</v>
      </c>
      <c r="M698" s="180">
        <f t="shared" si="20"/>
        <v>2293569</v>
      </c>
      <c r="N698" s="198" t="s">
        <v>761</v>
      </c>
    </row>
    <row r="699" spans="1:14" ht="12.6" customHeight="1" x14ac:dyDescent="0.25">
      <c r="A699" s="196">
        <v>7240</v>
      </c>
      <c r="B699" s="198" t="s">
        <v>135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762</v>
      </c>
    </row>
    <row r="700" spans="1:14" ht="12.6" customHeight="1" x14ac:dyDescent="0.25">
      <c r="A700" s="196">
        <v>7250</v>
      </c>
      <c r="B700" s="198" t="s">
        <v>763</v>
      </c>
      <c r="C700" s="180">
        <f>AI71</f>
        <v>3366077</v>
      </c>
      <c r="D700" s="180">
        <f>(D615/D612)*AI76</f>
        <v>82498.467113046223</v>
      </c>
      <c r="E700" s="180">
        <f>(E623/E612)*SUM(C700:D700)</f>
        <v>215189.15279264413</v>
      </c>
      <c r="F700" s="180">
        <f>(F624/F612)*AI64</f>
        <v>16300.202647167947</v>
      </c>
      <c r="G700" s="180">
        <f>(G625/G612)*AI77</f>
        <v>0</v>
      </c>
      <c r="H700" s="180">
        <f>(H628/H612)*AI60</f>
        <v>42735.824811723949</v>
      </c>
      <c r="I700" s="180">
        <f>(I629/I612)*AI78</f>
        <v>53303.664388579804</v>
      </c>
      <c r="J700" s="180">
        <f>(J630/J612)*AI79</f>
        <v>9460.4100953445304</v>
      </c>
      <c r="K700" s="180">
        <f>(K644/K612)*AI75</f>
        <v>332482.41025933617</v>
      </c>
      <c r="L700" s="180">
        <f>(L647/L612)*AI80</f>
        <v>0</v>
      </c>
      <c r="M700" s="180">
        <f t="shared" si="20"/>
        <v>751970</v>
      </c>
      <c r="N700" s="198" t="s">
        <v>764</v>
      </c>
    </row>
    <row r="701" spans="1:14" ht="12.6" customHeight="1" x14ac:dyDescent="0.25">
      <c r="A701" s="196">
        <v>7260</v>
      </c>
      <c r="B701" s="198" t="s">
        <v>137</v>
      </c>
      <c r="C701" s="180">
        <f>AJ71</f>
        <v>24110060</v>
      </c>
      <c r="D701" s="180">
        <f>(D615/D612)*AJ76</f>
        <v>194544.10143038517</v>
      </c>
      <c r="E701" s="180">
        <f>(E623/E612)*SUM(C701:D701)</f>
        <v>1516593.5080799502</v>
      </c>
      <c r="F701" s="180">
        <f>(F624/F612)*AJ64</f>
        <v>63556.464844146496</v>
      </c>
      <c r="G701" s="180">
        <f>(G625/G612)*AJ77</f>
        <v>0</v>
      </c>
      <c r="H701" s="180">
        <f>(H628/H612)*AJ60</f>
        <v>243822.6019621946</v>
      </c>
      <c r="I701" s="180">
        <f>(I629/I612)*AJ78</f>
        <v>102011.97923513968</v>
      </c>
      <c r="J701" s="180">
        <f>(J630/J612)*AJ79</f>
        <v>18105.231024397588</v>
      </c>
      <c r="K701" s="180">
        <f>(K644/K612)*AJ75</f>
        <v>1226317.0226425603</v>
      </c>
      <c r="L701" s="180">
        <f>(L647/L612)*AJ80</f>
        <v>0</v>
      </c>
      <c r="M701" s="180">
        <f t="shared" si="20"/>
        <v>3364951</v>
      </c>
      <c r="N701" s="198" t="s">
        <v>765</v>
      </c>
    </row>
    <row r="702" spans="1:14" ht="12.6" customHeight="1" x14ac:dyDescent="0.25">
      <c r="A702" s="196">
        <v>7310</v>
      </c>
      <c r="B702" s="198" t="s">
        <v>766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767</v>
      </c>
    </row>
    <row r="703" spans="1:14" ht="12.6" customHeight="1" x14ac:dyDescent="0.25">
      <c r="A703" s="196">
        <v>7320</v>
      </c>
      <c r="B703" s="198" t="s">
        <v>768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769</v>
      </c>
    </row>
    <row r="704" spans="1:14" ht="12.6" customHeight="1" x14ac:dyDescent="0.25">
      <c r="A704" s="196">
        <v>7330</v>
      </c>
      <c r="B704" s="198" t="s">
        <v>770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771</v>
      </c>
    </row>
    <row r="705" spans="1:15" ht="12.6" customHeight="1" x14ac:dyDescent="0.25">
      <c r="A705" s="196">
        <v>7340</v>
      </c>
      <c r="B705" s="198" t="s">
        <v>772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773</v>
      </c>
    </row>
    <row r="706" spans="1:15" ht="12.6" customHeight="1" x14ac:dyDescent="0.25">
      <c r="A706" s="196">
        <v>7350</v>
      </c>
      <c r="B706" s="198" t="s">
        <v>774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775</v>
      </c>
    </row>
    <row r="707" spans="1:15" ht="12.6" customHeight="1" x14ac:dyDescent="0.25">
      <c r="A707" s="196">
        <v>7380</v>
      </c>
      <c r="B707" s="198" t="s">
        <v>776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777</v>
      </c>
    </row>
    <row r="708" spans="1:15" ht="12.6" customHeight="1" x14ac:dyDescent="0.25">
      <c r="A708" s="196">
        <v>7390</v>
      </c>
      <c r="B708" s="198" t="s">
        <v>778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779</v>
      </c>
    </row>
    <row r="709" spans="1:15" ht="12.6" customHeight="1" x14ac:dyDescent="0.25">
      <c r="A709" s="196">
        <v>7400</v>
      </c>
      <c r="B709" s="198" t="s">
        <v>780</v>
      </c>
      <c r="C709" s="180">
        <f>AR71</f>
        <v>3872074</v>
      </c>
      <c r="D709" s="180">
        <f>(D615/D612)*AR76</f>
        <v>23813.323029491763</v>
      </c>
      <c r="E709" s="180">
        <f>(E623/E612)*SUM(C709:D709)</f>
        <v>243101.15884462299</v>
      </c>
      <c r="F709" s="180">
        <f>(F624/F612)*AR64</f>
        <v>3990.4429386407401</v>
      </c>
      <c r="G709" s="180">
        <f>(G625/G612)*AR77</f>
        <v>0</v>
      </c>
      <c r="H709" s="180">
        <f>(H628/H612)*AR60</f>
        <v>67392.241287667566</v>
      </c>
      <c r="I709" s="180">
        <f>(I629/I612)*AR78</f>
        <v>0</v>
      </c>
      <c r="J709" s="180">
        <f>(J630/J612)*AR79</f>
        <v>0</v>
      </c>
      <c r="K709" s="180">
        <f>(K644/K612)*AR75</f>
        <v>171137.04209838103</v>
      </c>
      <c r="L709" s="180">
        <f>(L647/L612)*AR80</f>
        <v>0</v>
      </c>
      <c r="M709" s="180">
        <f t="shared" si="20"/>
        <v>509434</v>
      </c>
      <c r="N709" s="198" t="s">
        <v>781</v>
      </c>
    </row>
    <row r="710" spans="1:15" ht="12.6" customHeight="1" x14ac:dyDescent="0.25">
      <c r="A710" s="196">
        <v>7410</v>
      </c>
      <c r="B710" s="198" t="s">
        <v>145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782</v>
      </c>
    </row>
    <row r="711" spans="1:15" ht="12.6" customHeight="1" x14ac:dyDescent="0.25">
      <c r="A711" s="196">
        <v>7420</v>
      </c>
      <c r="B711" s="198" t="s">
        <v>783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784</v>
      </c>
    </row>
    <row r="712" spans="1:15" ht="12.6" customHeight="1" x14ac:dyDescent="0.25">
      <c r="A712" s="196">
        <v>7430</v>
      </c>
      <c r="B712" s="198" t="s">
        <v>785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786</v>
      </c>
    </row>
    <row r="713" spans="1:15" ht="12.6" customHeight="1" x14ac:dyDescent="0.25">
      <c r="A713" s="196">
        <v>7490</v>
      </c>
      <c r="B713" s="198" t="s">
        <v>787</v>
      </c>
      <c r="C713" s="180">
        <f>AV71</f>
        <v>2171543</v>
      </c>
      <c r="D713" s="180">
        <f>(D615/D612)*AV76</f>
        <v>9012.5463994161346</v>
      </c>
      <c r="E713" s="180">
        <f>(E623/E612)*SUM(C713:D713)</f>
        <v>136065.42907985311</v>
      </c>
      <c r="F713" s="180">
        <f>(F624/F612)*AV64</f>
        <v>4313.0661098063283</v>
      </c>
      <c r="G713" s="180">
        <f>(G625/G612)*AV77</f>
        <v>0</v>
      </c>
      <c r="H713" s="180">
        <f>(H628/H612)*AV60</f>
        <v>38046.678975657938</v>
      </c>
      <c r="I713" s="180">
        <f>(I629/I612)*AV78</f>
        <v>72557.521637459198</v>
      </c>
      <c r="J713" s="180">
        <f>(J630/J612)*AV79</f>
        <v>12877.612037855752</v>
      </c>
      <c r="K713" s="180">
        <f>(K644/K612)*AV75</f>
        <v>349074.479993777</v>
      </c>
      <c r="L713" s="180">
        <f>(L647/L612)*AV80</f>
        <v>0</v>
      </c>
      <c r="M713" s="180">
        <f t="shared" si="20"/>
        <v>621947</v>
      </c>
      <c r="N713" s="199" t="s">
        <v>788</v>
      </c>
    </row>
    <row r="715" spans="1:15" ht="12.6" customHeight="1" x14ac:dyDescent="0.25">
      <c r="C715" s="180">
        <f>SUM(C614:C647)+SUM(C668:C713)</f>
        <v>103000900</v>
      </c>
      <c r="D715" s="180">
        <f>SUM(D616:D647)+SUM(D668:D713)</f>
        <v>1476932.3361104107</v>
      </c>
      <c r="E715" s="180">
        <f>SUM(E624:E647)+SUM(E668:E713)</f>
        <v>6024005.1178141683</v>
      </c>
      <c r="F715" s="180">
        <f>SUM(F625:F648)+SUM(F668:F713)</f>
        <v>770168.93871466001</v>
      </c>
      <c r="G715" s="180">
        <f>SUM(G626:G647)+SUM(G668:G713)</f>
        <v>938102.86504831398</v>
      </c>
      <c r="H715" s="180">
        <f>SUM(H629:H647)+SUM(H668:H713)</f>
        <v>1312911.3234345752</v>
      </c>
      <c r="I715" s="180">
        <f>SUM(I630:I647)+SUM(I668:I713)</f>
        <v>1716366.0418180123</v>
      </c>
      <c r="J715" s="180">
        <f>SUM(J631:J647)+SUM(J668:J713)</f>
        <v>304623.08390191104</v>
      </c>
      <c r="K715" s="180">
        <f>SUM(K668:K713)</f>
        <v>8721041.6919996552</v>
      </c>
      <c r="L715" s="180">
        <f>SUM(L668:L713)</f>
        <v>1625727.8917027139</v>
      </c>
      <c r="M715" s="180">
        <f>SUM(M668:M713)</f>
        <v>21214310</v>
      </c>
      <c r="N715" s="198" t="s">
        <v>789</v>
      </c>
    </row>
    <row r="716" spans="1:15" ht="12.6" customHeight="1" x14ac:dyDescent="0.25">
      <c r="C716" s="180">
        <f>CE71</f>
        <v>103000900</v>
      </c>
      <c r="D716" s="180">
        <f>D615</f>
        <v>1914406</v>
      </c>
      <c r="E716" s="180">
        <f>E623</f>
        <v>6024005.1178141693</v>
      </c>
      <c r="F716" s="180">
        <f>F624</f>
        <v>770168.93871466001</v>
      </c>
      <c r="G716" s="180">
        <f>G625</f>
        <v>938102.86504831398</v>
      </c>
      <c r="H716" s="180">
        <f>H628</f>
        <v>1312911.3234345755</v>
      </c>
      <c r="I716" s="180">
        <f>I629</f>
        <v>1716366.0418180118</v>
      </c>
      <c r="J716" s="180">
        <f>J630</f>
        <v>304623.08390191104</v>
      </c>
      <c r="K716" s="180">
        <f>K644</f>
        <v>8721041.6919996552</v>
      </c>
      <c r="L716" s="180">
        <f>L647</f>
        <v>1625727.8917027139</v>
      </c>
      <c r="M716" s="180">
        <f>C648</f>
        <v>21651783</v>
      </c>
      <c r="N716" s="198" t="s">
        <v>790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791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792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793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72" t="s">
        <v>794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795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796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797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798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799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3"/>
    </row>
    <row r="16" spans="2:13" ht="15.6" thickBot="1" x14ac:dyDescent="0.3">
      <c r="B16" s="144"/>
      <c r="C16" s="8"/>
      <c r="D16" s="8"/>
      <c r="E16" s="8"/>
      <c r="F16" s="8" t="s">
        <v>800</v>
      </c>
      <c r="G16" s="8"/>
      <c r="H16" s="8"/>
      <c r="I16" s="8"/>
      <c r="J16" s="145"/>
    </row>
    <row r="17" spans="2:10" ht="15.6" thickTop="1" x14ac:dyDescent="0.25">
      <c r="B17" s="141"/>
      <c r="C17" s="150" t="s">
        <v>801</v>
      </c>
      <c r="D17" s="150"/>
      <c r="E17" s="142" t="str">
        <f>+data!C84</f>
        <v>Jefferson County Public Hospital District No 2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802</v>
      </c>
      <c r="D18" s="151"/>
      <c r="E18" s="8" t="str">
        <f>+"H-"&amp;data!C83</f>
        <v>H-085</v>
      </c>
      <c r="F18" s="76"/>
      <c r="G18" s="76"/>
      <c r="H18" s="8"/>
      <c r="I18" s="8"/>
      <c r="J18" s="145"/>
    </row>
    <row r="19" spans="2:10" x14ac:dyDescent="0.25">
      <c r="B19" s="144"/>
      <c r="C19" s="151" t="s">
        <v>803</v>
      </c>
      <c r="D19" s="151"/>
      <c r="E19" s="8" t="str">
        <f>+data!C85</f>
        <v>834 Sheridan Street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804</v>
      </c>
      <c r="D20" s="151"/>
      <c r="E20" s="8" t="str">
        <f>+data!C86</f>
        <v>834 Sheridan Street</v>
      </c>
      <c r="F20" s="76"/>
      <c r="G20" s="76"/>
      <c r="H20" s="8"/>
      <c r="I20" s="8"/>
      <c r="J20" s="145"/>
    </row>
    <row r="21" spans="2:10" x14ac:dyDescent="0.25">
      <c r="B21" s="144"/>
      <c r="C21" s="151" t="s">
        <v>805</v>
      </c>
      <c r="D21" s="151"/>
      <c r="E21" s="8" t="str">
        <f>+data!C87</f>
        <v>Port Townsend, WA 98368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806</v>
      </c>
      <c r="G26" s="70"/>
      <c r="H26" s="70"/>
      <c r="I26" s="70"/>
      <c r="J26" s="154"/>
    </row>
    <row r="27" spans="2:10" x14ac:dyDescent="0.25">
      <c r="B27" s="155" t="s">
        <v>807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808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809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237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810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811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812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237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813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811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812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814</v>
      </c>
      <c r="H1" s="7"/>
    </row>
    <row r="2" spans="1:13" ht="20.100000000000001" customHeight="1" x14ac:dyDescent="0.25">
      <c r="A2" s="6" t="s">
        <v>815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H-85</v>
      </c>
      <c r="G4" s="24"/>
      <c r="H4" s="7"/>
    </row>
    <row r="5" spans="1:13" ht="20.100000000000001" customHeight="1" x14ac:dyDescent="0.25">
      <c r="A5" s="13">
        <v>2</v>
      </c>
      <c r="B5" s="49" t="s">
        <v>276</v>
      </c>
      <c r="C5" s="24"/>
      <c r="D5" s="127" t="str">
        <f>"  "&amp;data!C84</f>
        <v xml:space="preserve">  Jefferson County Public Hospital District No 2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283</v>
      </c>
      <c r="C6" s="24"/>
      <c r="D6" s="127" t="str">
        <f>"  "&amp;data!C88</f>
        <v xml:space="preserve">  Jefferson County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816</v>
      </c>
      <c r="C7" s="24"/>
      <c r="D7" s="127" t="str">
        <f>"  "&amp;data!C89</f>
        <v xml:space="preserve">  Mike Glenn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817</v>
      </c>
      <c r="C8" s="24"/>
      <c r="D8" s="127" t="str">
        <f>"  "&amp;data!C90</f>
        <v xml:space="preserve">  Hilary Whittington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818</v>
      </c>
      <c r="C9" s="24"/>
      <c r="D9" s="127" t="str">
        <f>"  "&amp;data!C91</f>
        <v xml:space="preserve">  Jill Rienstra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819</v>
      </c>
      <c r="C10" s="24"/>
      <c r="D10" s="127" t="str">
        <f>"  "&amp;data!C92</f>
        <v xml:space="preserve">  360-385-2200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820</v>
      </c>
      <c r="C11" s="24"/>
      <c r="D11" s="127" t="str">
        <f>"  "&amp;data!C93</f>
        <v xml:space="preserve">  360-379-2242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821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296</v>
      </c>
      <c r="B15" s="35"/>
      <c r="C15" s="71" t="s">
        <v>299</v>
      </c>
      <c r="D15" s="35"/>
      <c r="E15" s="71" t="s">
        <v>301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297</v>
      </c>
      <c r="C16" s="15" t="str">
        <f>IF(data!C101&gt;0," X","")</f>
        <v/>
      </c>
      <c r="D16" s="22" t="s">
        <v>822</v>
      </c>
      <c r="E16" s="15" t="str">
        <f>IF(data!C104&gt;0," X","")</f>
        <v/>
      </c>
      <c r="F16" s="129" t="s">
        <v>302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283</v>
      </c>
      <c r="C17" s="15" t="str">
        <f>IF(data!C102&gt;0," X","")</f>
        <v/>
      </c>
      <c r="D17" s="22" t="s">
        <v>382</v>
      </c>
      <c r="E17" s="15" t="str">
        <f>IF(data!C105&gt;0," X","")</f>
        <v/>
      </c>
      <c r="F17" s="129" t="s">
        <v>303</v>
      </c>
      <c r="G17" s="24"/>
      <c r="H17" s="7"/>
    </row>
    <row r="18" spans="1:9" ht="20.100000000000001" customHeight="1" x14ac:dyDescent="0.25">
      <c r="A18" s="130"/>
      <c r="B18" s="14" t="s">
        <v>823</v>
      </c>
      <c r="C18" s="24"/>
      <c r="D18" s="24"/>
      <c r="E18" s="15" t="str">
        <f>IF(data!C106&gt;0," X","")</f>
        <v/>
      </c>
      <c r="F18" s="129" t="s">
        <v>304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824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825</v>
      </c>
      <c r="C22" s="38"/>
      <c r="D22" s="38"/>
      <c r="E22" s="38"/>
      <c r="F22" s="111" t="s">
        <v>307</v>
      </c>
      <c r="G22" s="15" t="s">
        <v>231</v>
      </c>
      <c r="H22" s="7"/>
    </row>
    <row r="23" spans="1:9" ht="20.100000000000001" customHeight="1" x14ac:dyDescent="0.25">
      <c r="A23" s="130"/>
      <c r="B23" s="49" t="s">
        <v>826</v>
      </c>
      <c r="C23" s="38"/>
      <c r="D23" s="38"/>
      <c r="E23" s="38"/>
      <c r="F23" s="13">
        <f>data!C111</f>
        <v>1519</v>
      </c>
      <c r="G23" s="21">
        <f>data!D111</f>
        <v>4127</v>
      </c>
      <c r="H23" s="7"/>
    </row>
    <row r="24" spans="1:9" ht="20.100000000000001" customHeight="1" x14ac:dyDescent="0.25">
      <c r="A24" s="130"/>
      <c r="B24" s="49" t="s">
        <v>827</v>
      </c>
      <c r="C24" s="38"/>
      <c r="D24" s="38"/>
      <c r="E24" s="38"/>
      <c r="F24" s="13">
        <f>data!C112</f>
        <v>24</v>
      </c>
      <c r="G24" s="21">
        <f>data!D112</f>
        <v>188</v>
      </c>
      <c r="H24" s="7"/>
    </row>
    <row r="25" spans="1:9" ht="20.100000000000001" customHeight="1" x14ac:dyDescent="0.25">
      <c r="A25" s="130"/>
      <c r="B25" s="49" t="s">
        <v>828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311</v>
      </c>
      <c r="C26" s="38"/>
      <c r="D26" s="38"/>
      <c r="E26" s="38"/>
      <c r="F26" s="13">
        <f>data!C114</f>
        <v>112</v>
      </c>
      <c r="G26" s="13">
        <f>data!D114</f>
        <v>238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829</v>
      </c>
      <c r="C29" s="24"/>
      <c r="D29" s="15" t="s">
        <v>183</v>
      </c>
      <c r="E29" s="97" t="s">
        <v>829</v>
      </c>
      <c r="F29" s="24"/>
      <c r="G29" s="15" t="s">
        <v>183</v>
      </c>
      <c r="H29" s="7"/>
    </row>
    <row r="30" spans="1:9" ht="20.100000000000001" customHeight="1" x14ac:dyDescent="0.25">
      <c r="A30" s="130"/>
      <c r="B30" s="49" t="s">
        <v>313</v>
      </c>
      <c r="C30" s="24"/>
      <c r="D30" s="21">
        <f>data!C116</f>
        <v>6</v>
      </c>
      <c r="E30" s="49" t="s">
        <v>319</v>
      </c>
      <c r="F30" s="24"/>
      <c r="G30" s="21">
        <f>data!C123</f>
        <v>5</v>
      </c>
      <c r="H30" s="7"/>
    </row>
    <row r="31" spans="1:9" ht="20.100000000000001" customHeight="1" x14ac:dyDescent="0.25">
      <c r="A31" s="130"/>
      <c r="B31" s="97" t="s">
        <v>830</v>
      </c>
      <c r="C31" s="24"/>
      <c r="D31" s="21">
        <f>data!C117</f>
        <v>0</v>
      </c>
      <c r="E31" s="49" t="s">
        <v>320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831</v>
      </c>
      <c r="C32" s="24"/>
      <c r="D32" s="21">
        <f>data!C118</f>
        <v>10</v>
      </c>
      <c r="E32" s="49" t="s">
        <v>832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833</v>
      </c>
      <c r="C33" s="24"/>
      <c r="D33" s="21">
        <f>data!C119</f>
        <v>0</v>
      </c>
      <c r="E33" s="49" t="s">
        <v>834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835</v>
      </c>
      <c r="C34" s="24"/>
      <c r="D34" s="21">
        <f>data!C120</f>
        <v>4</v>
      </c>
      <c r="E34" s="49" t="s">
        <v>322</v>
      </c>
      <c r="F34" s="24"/>
      <c r="G34" s="21">
        <f>data!E127</f>
        <v>25</v>
      </c>
      <c r="H34" s="7"/>
    </row>
    <row r="35" spans="1:8" ht="20.100000000000001" customHeight="1" x14ac:dyDescent="0.25">
      <c r="A35" s="130"/>
      <c r="B35" s="97" t="s">
        <v>836</v>
      </c>
      <c r="C35" s="24"/>
      <c r="D35" s="21">
        <f>data!C121</f>
        <v>0</v>
      </c>
      <c r="E35" s="49" t="s">
        <v>837</v>
      </c>
      <c r="F35" s="27"/>
      <c r="G35" s="21"/>
      <c r="H35" s="7"/>
    </row>
    <row r="36" spans="1:8" ht="20.100000000000001" customHeight="1" x14ac:dyDescent="0.25">
      <c r="A36" s="130"/>
      <c r="B36" s="49" t="s">
        <v>112</v>
      </c>
      <c r="C36" s="24"/>
      <c r="D36" s="21">
        <f>data!C122</f>
        <v>0</v>
      </c>
      <c r="E36" s="49" t="s">
        <v>323</v>
      </c>
      <c r="F36" s="24"/>
      <c r="G36" s="21">
        <f>data!C128</f>
        <v>4</v>
      </c>
      <c r="H36" s="7"/>
    </row>
    <row r="37" spans="1:8" ht="20.100000000000001" customHeight="1" x14ac:dyDescent="0.25">
      <c r="A37" s="130"/>
      <c r="E37" s="49" t="s">
        <v>324</v>
      </c>
      <c r="F37" s="24"/>
      <c r="G37" s="21">
        <f>data!C129</f>
        <v>4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319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838</v>
      </c>
      <c r="C40" s="136" t="s">
        <v>274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839</v>
      </c>
      <c r="B1" s="8"/>
      <c r="C1" s="8"/>
      <c r="D1" s="8"/>
      <c r="E1" s="8"/>
      <c r="F1" s="8"/>
      <c r="G1" s="165" t="s">
        <v>840</v>
      </c>
    </row>
    <row r="2" spans="1:13" ht="20.100000000000001" customHeight="1" x14ac:dyDescent="0.25">
      <c r="A2" s="105" t="str">
        <f>"Hospital Name: "&amp;data!C84</f>
        <v>Hospital Name: Jefferson County Public Hospital District No 2</v>
      </c>
      <c r="B2" s="8"/>
      <c r="C2" s="8"/>
      <c r="D2" s="8"/>
      <c r="E2" s="8"/>
      <c r="F2" s="11"/>
      <c r="G2" s="76" t="s">
        <v>841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842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843</v>
      </c>
      <c r="C5" s="36"/>
      <c r="D5" s="36"/>
      <c r="E5" s="109" t="s">
        <v>334</v>
      </c>
      <c r="F5" s="36"/>
      <c r="G5" s="36"/>
    </row>
    <row r="6" spans="1:13" ht="20.100000000000001" customHeight="1" x14ac:dyDescent="0.25">
      <c r="A6" s="110" t="s">
        <v>844</v>
      </c>
      <c r="B6" s="15" t="s">
        <v>307</v>
      </c>
      <c r="C6" s="15" t="s">
        <v>845</v>
      </c>
      <c r="D6" s="15" t="s">
        <v>330</v>
      </c>
      <c r="E6" s="15" t="s">
        <v>184</v>
      </c>
      <c r="F6" s="15" t="s">
        <v>147</v>
      </c>
      <c r="G6" s="15" t="s">
        <v>219</v>
      </c>
    </row>
    <row r="7" spans="1:13" ht="20.100000000000001" customHeight="1" x14ac:dyDescent="0.25">
      <c r="A7" s="23" t="s">
        <v>328</v>
      </c>
      <c r="B7" s="48">
        <f>data!B138</f>
        <v>1046</v>
      </c>
      <c r="C7" s="48">
        <f>data!B139</f>
        <v>2916</v>
      </c>
      <c r="D7" s="48">
        <f>data!B140</f>
        <v>0</v>
      </c>
      <c r="E7" s="48">
        <f>data!B141</f>
        <v>30541329</v>
      </c>
      <c r="F7" s="48">
        <f>data!B142</f>
        <v>125670466</v>
      </c>
      <c r="G7" s="48">
        <f>data!B141+data!B142</f>
        <v>156211795</v>
      </c>
    </row>
    <row r="8" spans="1:13" ht="20.100000000000001" customHeight="1" x14ac:dyDescent="0.25">
      <c r="A8" s="23" t="s">
        <v>329</v>
      </c>
      <c r="B8" s="48">
        <f>data!C138</f>
        <v>200</v>
      </c>
      <c r="C8" s="48">
        <f>data!C139</f>
        <v>507</v>
      </c>
      <c r="D8" s="48">
        <f>data!C140</f>
        <v>0</v>
      </c>
      <c r="E8" s="48">
        <f>data!C141</f>
        <v>5524187</v>
      </c>
      <c r="F8" s="48">
        <f>data!C142</f>
        <v>32177280</v>
      </c>
      <c r="G8" s="48">
        <f>data!C141+data!C142</f>
        <v>37701467</v>
      </c>
    </row>
    <row r="9" spans="1:13" ht="20.100000000000001" customHeight="1" x14ac:dyDescent="0.25">
      <c r="A9" s="23" t="s">
        <v>846</v>
      </c>
      <c r="B9" s="48">
        <f>data!D138</f>
        <v>273</v>
      </c>
      <c r="C9" s="48">
        <f>data!D139</f>
        <v>704</v>
      </c>
      <c r="D9" s="48">
        <f>data!D140</f>
        <v>0</v>
      </c>
      <c r="E9" s="48">
        <f>data!D141</f>
        <v>8987228</v>
      </c>
      <c r="F9" s="48">
        <f>data!D142</f>
        <v>58113123</v>
      </c>
      <c r="G9" s="48">
        <f>data!D141+data!D142</f>
        <v>67100351</v>
      </c>
    </row>
    <row r="10" spans="1:13" ht="20.100000000000001" customHeight="1" x14ac:dyDescent="0.25">
      <c r="A10" s="111" t="s">
        <v>219</v>
      </c>
      <c r="B10" s="48">
        <f>data!E138</f>
        <v>1519</v>
      </c>
      <c r="C10" s="48">
        <f>data!E139</f>
        <v>4127</v>
      </c>
      <c r="D10" s="48">
        <f>data!E140</f>
        <v>0</v>
      </c>
      <c r="E10" s="48">
        <f>data!E141</f>
        <v>45052744</v>
      </c>
      <c r="F10" s="48">
        <f>data!E142</f>
        <v>215960869</v>
      </c>
      <c r="G10" s="48">
        <f>data!E141+data!E142</f>
        <v>261013613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847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843</v>
      </c>
      <c r="C14" s="34"/>
      <c r="D14" s="34"/>
      <c r="E14" s="117" t="s">
        <v>334</v>
      </c>
      <c r="F14" s="34"/>
      <c r="G14" s="34"/>
    </row>
    <row r="15" spans="1:13" ht="20.100000000000001" customHeight="1" x14ac:dyDescent="0.25">
      <c r="A15" s="110" t="s">
        <v>844</v>
      </c>
      <c r="B15" s="15" t="s">
        <v>307</v>
      </c>
      <c r="C15" s="15" t="s">
        <v>845</v>
      </c>
      <c r="D15" s="15" t="s">
        <v>330</v>
      </c>
      <c r="E15" s="15" t="s">
        <v>184</v>
      </c>
      <c r="F15" s="15" t="s">
        <v>147</v>
      </c>
      <c r="G15" s="15" t="s">
        <v>219</v>
      </c>
      <c r="M15" s="180"/>
    </row>
    <row r="16" spans="1:13" ht="20.100000000000001" customHeight="1" x14ac:dyDescent="0.25">
      <c r="A16" s="23" t="s">
        <v>328</v>
      </c>
      <c r="B16" s="48">
        <f>data!B144</f>
        <v>20</v>
      </c>
      <c r="C16" s="48">
        <f>data!B145</f>
        <v>160</v>
      </c>
      <c r="D16" s="48">
        <f>data!B146</f>
        <v>0</v>
      </c>
      <c r="E16" s="48">
        <f>data!B147</f>
        <v>342823</v>
      </c>
      <c r="F16" s="48">
        <f>data!B148</f>
        <v>0</v>
      </c>
      <c r="G16" s="48">
        <f>data!B147+data!B148</f>
        <v>342823</v>
      </c>
    </row>
    <row r="17" spans="1:7" ht="20.100000000000001" customHeight="1" x14ac:dyDescent="0.25">
      <c r="A17" s="23" t="s">
        <v>329</v>
      </c>
      <c r="B17" s="48">
        <f>data!C144</f>
        <v>2</v>
      </c>
      <c r="C17" s="48">
        <f>data!C145</f>
        <v>14</v>
      </c>
      <c r="D17" s="48">
        <f>data!C146</f>
        <v>0</v>
      </c>
      <c r="E17" s="48">
        <f>data!C147</f>
        <v>23898</v>
      </c>
      <c r="F17" s="48">
        <f>data!C148</f>
        <v>0</v>
      </c>
      <c r="G17" s="48">
        <f>data!C147+data!C148</f>
        <v>23898</v>
      </c>
    </row>
    <row r="18" spans="1:7" ht="20.100000000000001" customHeight="1" x14ac:dyDescent="0.25">
      <c r="A18" s="23" t="s">
        <v>846</v>
      </c>
      <c r="B18" s="48">
        <f>data!D144</f>
        <v>2</v>
      </c>
      <c r="C18" s="48">
        <f>data!D145</f>
        <v>14</v>
      </c>
      <c r="D18" s="48">
        <f>data!D146</f>
        <v>0</v>
      </c>
      <c r="E18" s="48">
        <f>data!D147</f>
        <v>23898</v>
      </c>
      <c r="F18" s="48">
        <f>data!D148</f>
        <v>0</v>
      </c>
      <c r="G18" s="48">
        <f>data!D147+data!D148</f>
        <v>23898</v>
      </c>
    </row>
    <row r="19" spans="1:7" ht="20.100000000000001" customHeight="1" x14ac:dyDescent="0.25">
      <c r="A19" s="111" t="s">
        <v>219</v>
      </c>
      <c r="B19" s="48">
        <f>data!E144</f>
        <v>24</v>
      </c>
      <c r="C19" s="48">
        <f>data!E145</f>
        <v>188</v>
      </c>
      <c r="D19" s="48">
        <f>data!E146</f>
        <v>0</v>
      </c>
      <c r="E19" s="48">
        <f>data!E147</f>
        <v>390619</v>
      </c>
      <c r="F19" s="48">
        <f>data!E148</f>
        <v>0</v>
      </c>
      <c r="G19" s="48">
        <f>data!E147+data!E148</f>
        <v>390619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848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843</v>
      </c>
      <c r="C23" s="36"/>
      <c r="D23" s="36"/>
      <c r="E23" s="35" t="s">
        <v>334</v>
      </c>
      <c r="F23" s="36"/>
      <c r="G23" s="36"/>
    </row>
    <row r="24" spans="1:7" ht="20.100000000000001" customHeight="1" x14ac:dyDescent="0.25">
      <c r="A24" s="110" t="s">
        <v>844</v>
      </c>
      <c r="B24" s="15" t="s">
        <v>307</v>
      </c>
      <c r="C24" s="15" t="s">
        <v>845</v>
      </c>
      <c r="D24" s="15" t="s">
        <v>330</v>
      </c>
      <c r="E24" s="15" t="s">
        <v>184</v>
      </c>
      <c r="F24" s="15" t="s">
        <v>147</v>
      </c>
      <c r="G24" s="15" t="s">
        <v>219</v>
      </c>
    </row>
    <row r="25" spans="1:7" ht="20.100000000000001" customHeight="1" x14ac:dyDescent="0.25">
      <c r="A25" s="23" t="s">
        <v>328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329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846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219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849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850</v>
      </c>
      <c r="C32" s="123">
        <f>data!B157</f>
        <v>31858918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851</v>
      </c>
      <c r="C33" s="125">
        <f>data!C157</f>
        <v>9483131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337</v>
      </c>
      <c r="B1" s="5"/>
      <c r="C1" s="167" t="s">
        <v>852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Jefferson County Public Hospital District No 2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338</v>
      </c>
      <c r="C5" s="95"/>
    </row>
    <row r="6" spans="1:13" ht="20.100000000000001" customHeight="1" x14ac:dyDescent="0.25">
      <c r="A6" s="96">
        <v>2</v>
      </c>
      <c r="B6" s="49" t="s">
        <v>853</v>
      </c>
      <c r="C6" s="13">
        <f>data!C165</f>
        <v>3817174</v>
      </c>
    </row>
    <row r="7" spans="1:13" ht="20.100000000000001" customHeight="1" x14ac:dyDescent="0.25">
      <c r="A7" s="40">
        <v>3</v>
      </c>
      <c r="B7" s="97" t="s">
        <v>340</v>
      </c>
      <c r="C7" s="13">
        <f>data!C166</f>
        <v>83254</v>
      </c>
    </row>
    <row r="8" spans="1:13" ht="20.100000000000001" customHeight="1" x14ac:dyDescent="0.25">
      <c r="A8" s="40">
        <v>4</v>
      </c>
      <c r="B8" s="49" t="s">
        <v>341</v>
      </c>
      <c r="C8" s="13">
        <f>data!C167</f>
        <v>284287</v>
      </c>
    </row>
    <row r="9" spans="1:13" ht="20.100000000000001" customHeight="1" x14ac:dyDescent="0.25">
      <c r="A9" s="40">
        <v>5</v>
      </c>
      <c r="B9" s="49" t="s">
        <v>342</v>
      </c>
      <c r="C9" s="13">
        <f>data!C168</f>
        <v>7167386</v>
      </c>
    </row>
    <row r="10" spans="1:13" ht="20.100000000000001" customHeight="1" x14ac:dyDescent="0.25">
      <c r="A10" s="40">
        <v>6</v>
      </c>
      <c r="B10" s="49" t="s">
        <v>343</v>
      </c>
      <c r="C10" s="13">
        <f>data!C169</f>
        <v>111090</v>
      </c>
    </row>
    <row r="11" spans="1:13" ht="20.100000000000001" customHeight="1" x14ac:dyDescent="0.25">
      <c r="A11" s="40">
        <v>7</v>
      </c>
      <c r="B11" s="49" t="s">
        <v>344</v>
      </c>
      <c r="C11" s="13">
        <f>data!C170</f>
        <v>2271298</v>
      </c>
    </row>
    <row r="12" spans="1:13" ht="20.100000000000001" customHeight="1" x14ac:dyDescent="0.25">
      <c r="A12" s="40">
        <v>8</v>
      </c>
      <c r="B12" s="49" t="s">
        <v>345</v>
      </c>
      <c r="C12" s="13">
        <f>data!C171</f>
        <v>12676</v>
      </c>
    </row>
    <row r="13" spans="1:13" ht="20.100000000000001" customHeight="1" x14ac:dyDescent="0.25">
      <c r="A13" s="40">
        <v>9</v>
      </c>
      <c r="B13" s="49" t="s">
        <v>345</v>
      </c>
      <c r="C13" s="13">
        <f>data!C172</f>
        <v>7760</v>
      </c>
    </row>
    <row r="14" spans="1:13" ht="20.100000000000001" customHeight="1" x14ac:dyDescent="0.25">
      <c r="A14" s="40">
        <v>10</v>
      </c>
      <c r="B14" s="49" t="s">
        <v>854</v>
      </c>
      <c r="C14" s="13">
        <f>data!D173</f>
        <v>13754925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346</v>
      </c>
      <c r="C17" s="101"/>
    </row>
    <row r="18" spans="1:3" ht="20.100000000000001" customHeight="1" x14ac:dyDescent="0.25">
      <c r="A18" s="13">
        <v>12</v>
      </c>
      <c r="B18" s="49" t="s">
        <v>855</v>
      </c>
      <c r="C18" s="13">
        <f>data!C175</f>
        <v>668543</v>
      </c>
    </row>
    <row r="19" spans="1:3" ht="20.100000000000001" customHeight="1" x14ac:dyDescent="0.25">
      <c r="A19" s="13">
        <v>13</v>
      </c>
      <c r="B19" s="49" t="s">
        <v>856</v>
      </c>
      <c r="C19" s="13">
        <f>data!C176</f>
        <v>963029</v>
      </c>
    </row>
    <row r="20" spans="1:3" ht="20.100000000000001" customHeight="1" x14ac:dyDescent="0.25">
      <c r="A20" s="13">
        <v>14</v>
      </c>
      <c r="B20" s="49" t="s">
        <v>857</v>
      </c>
      <c r="C20" s="13">
        <f>data!D177</f>
        <v>1631572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349</v>
      </c>
      <c r="C23" s="95"/>
    </row>
    <row r="24" spans="1:3" ht="20.100000000000001" customHeight="1" x14ac:dyDescent="0.25">
      <c r="A24" s="13">
        <v>16</v>
      </c>
      <c r="B24" s="37" t="s">
        <v>858</v>
      </c>
      <c r="C24" s="104"/>
    </row>
    <row r="25" spans="1:3" ht="20.100000000000001" customHeight="1" x14ac:dyDescent="0.25">
      <c r="A25" s="13">
        <v>17</v>
      </c>
      <c r="B25" s="49" t="s">
        <v>859</v>
      </c>
      <c r="C25" s="13">
        <f>data!C179</f>
        <v>468648</v>
      </c>
    </row>
    <row r="26" spans="1:3" ht="20.100000000000001" customHeight="1" x14ac:dyDescent="0.25">
      <c r="A26" s="13">
        <v>18</v>
      </c>
      <c r="B26" s="49" t="s">
        <v>351</v>
      </c>
      <c r="C26" s="13">
        <f>data!C180</f>
        <v>228579</v>
      </c>
    </row>
    <row r="27" spans="1:3" ht="20.100000000000001" customHeight="1" x14ac:dyDescent="0.25">
      <c r="A27" s="13">
        <v>19</v>
      </c>
      <c r="B27" s="49" t="s">
        <v>860</v>
      </c>
      <c r="C27" s="13">
        <f>data!D181</f>
        <v>697227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861</v>
      </c>
      <c r="C30" s="34"/>
    </row>
    <row r="31" spans="1:3" ht="20.100000000000001" customHeight="1" x14ac:dyDescent="0.25">
      <c r="A31" s="13">
        <v>21</v>
      </c>
      <c r="B31" s="49" t="s">
        <v>353</v>
      </c>
      <c r="C31" s="13">
        <f>data!C183</f>
        <v>0</v>
      </c>
    </row>
    <row r="32" spans="1:3" ht="20.100000000000001" customHeight="1" x14ac:dyDescent="0.25">
      <c r="A32" s="13">
        <v>22</v>
      </c>
      <c r="B32" s="49" t="s">
        <v>862</v>
      </c>
      <c r="C32" s="13">
        <f>data!C184</f>
        <v>106251</v>
      </c>
    </row>
    <row r="33" spans="1:3" ht="20.100000000000001" customHeight="1" x14ac:dyDescent="0.25">
      <c r="A33" s="13">
        <v>23</v>
      </c>
      <c r="B33" s="49" t="s">
        <v>148</v>
      </c>
      <c r="C33" s="13">
        <f>data!C185</f>
        <v>636790</v>
      </c>
    </row>
    <row r="34" spans="1:3" ht="20.100000000000001" customHeight="1" x14ac:dyDescent="0.25">
      <c r="A34" s="13">
        <v>24</v>
      </c>
      <c r="B34" s="49" t="s">
        <v>863</v>
      </c>
      <c r="C34" s="13">
        <f>data!D186</f>
        <v>743041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355</v>
      </c>
      <c r="C37" s="95"/>
    </row>
    <row r="38" spans="1:3" ht="20.100000000000001" customHeight="1" x14ac:dyDescent="0.25">
      <c r="A38" s="13">
        <v>26</v>
      </c>
      <c r="B38" s="49" t="s">
        <v>864</v>
      </c>
      <c r="C38" s="13">
        <f>data!C188</f>
        <v>789379</v>
      </c>
    </row>
    <row r="39" spans="1:3" ht="20.100000000000001" customHeight="1" x14ac:dyDescent="0.25">
      <c r="A39" s="13">
        <v>27</v>
      </c>
      <c r="B39" s="49" t="s">
        <v>357</v>
      </c>
      <c r="C39" s="13">
        <f>data!C189</f>
        <v>219073</v>
      </c>
    </row>
    <row r="40" spans="1:3" ht="20.100000000000001" customHeight="1" x14ac:dyDescent="0.25">
      <c r="A40" s="13">
        <v>28</v>
      </c>
      <c r="B40" s="49" t="s">
        <v>865</v>
      </c>
      <c r="C40" s="13">
        <f>data!D190</f>
        <v>1008452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358</v>
      </c>
      <c r="B1" s="5"/>
      <c r="C1" s="5"/>
      <c r="D1" s="5"/>
      <c r="E1" s="5"/>
      <c r="F1" s="167" t="s">
        <v>866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Jefferson County Public Hospital District No 2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359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867</v>
      </c>
      <c r="D5" s="47"/>
      <c r="E5" s="47"/>
      <c r="F5" s="72" t="s">
        <v>868</v>
      </c>
    </row>
    <row r="6" spans="1:13" ht="20.100000000000001" customHeight="1" x14ac:dyDescent="0.25">
      <c r="A6" s="19"/>
      <c r="B6" s="20"/>
      <c r="C6" s="18" t="s">
        <v>869</v>
      </c>
      <c r="D6" s="18" t="s">
        <v>361</v>
      </c>
      <c r="E6" s="18" t="s">
        <v>870</v>
      </c>
      <c r="F6" s="18" t="s">
        <v>869</v>
      </c>
    </row>
    <row r="7" spans="1:13" ht="20.100000000000001" customHeight="1" x14ac:dyDescent="0.25">
      <c r="A7" s="13">
        <v>1</v>
      </c>
      <c r="B7" s="14" t="s">
        <v>364</v>
      </c>
      <c r="C7" s="21">
        <f>data!B195</f>
        <v>718068</v>
      </c>
      <c r="D7" s="21">
        <f>data!C195</f>
        <v>839247</v>
      </c>
      <c r="E7" s="21">
        <f>data!D195</f>
        <v>7604</v>
      </c>
      <c r="F7" s="21">
        <f>data!E195</f>
        <v>1549711</v>
      </c>
    </row>
    <row r="8" spans="1:13" ht="20.100000000000001" customHeight="1" x14ac:dyDescent="0.25">
      <c r="A8" s="13">
        <v>2</v>
      </c>
      <c r="B8" s="14" t="s">
        <v>365</v>
      </c>
      <c r="C8" s="21">
        <f>data!B196</f>
        <v>4028158</v>
      </c>
      <c r="D8" s="21">
        <f>data!C196</f>
        <v>0</v>
      </c>
      <c r="E8" s="21">
        <f>data!D196</f>
        <v>0</v>
      </c>
      <c r="F8" s="21">
        <f>data!E196</f>
        <v>4028158</v>
      </c>
    </row>
    <row r="9" spans="1:13" ht="20.100000000000001" customHeight="1" x14ac:dyDescent="0.25">
      <c r="A9" s="13">
        <v>3</v>
      </c>
      <c r="B9" s="14" t="s">
        <v>366</v>
      </c>
      <c r="C9" s="21">
        <f>data!B197</f>
        <v>39695927</v>
      </c>
      <c r="D9" s="21">
        <f>data!C197</f>
        <v>1121974</v>
      </c>
      <c r="E9" s="21">
        <f>data!D197</f>
        <v>60660</v>
      </c>
      <c r="F9" s="21">
        <f>data!E197</f>
        <v>40757241</v>
      </c>
    </row>
    <row r="10" spans="1:13" ht="20.100000000000001" customHeight="1" x14ac:dyDescent="0.25">
      <c r="A10" s="13">
        <v>4</v>
      </c>
      <c r="B10" s="14" t="s">
        <v>871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872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873</v>
      </c>
      <c r="C12" s="21">
        <f>data!B200</f>
        <v>38625118</v>
      </c>
      <c r="D12" s="21">
        <f>data!C200</f>
        <v>3176687</v>
      </c>
      <c r="E12" s="21">
        <f>data!D200</f>
        <v>2308525</v>
      </c>
      <c r="F12" s="21">
        <f>data!E200</f>
        <v>39493280</v>
      </c>
    </row>
    <row r="13" spans="1:13" ht="20.100000000000001" customHeight="1" x14ac:dyDescent="0.25">
      <c r="A13" s="13">
        <v>7</v>
      </c>
      <c r="B13" s="14" t="s">
        <v>874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371</v>
      </c>
      <c r="C14" s="21">
        <f>data!B202</f>
        <v>1292256</v>
      </c>
      <c r="D14" s="21">
        <f>data!C202</f>
        <v>68924</v>
      </c>
      <c r="E14" s="21">
        <f>data!D202</f>
        <v>0</v>
      </c>
      <c r="F14" s="21">
        <f>data!E202</f>
        <v>1361180</v>
      </c>
    </row>
    <row r="15" spans="1:13" ht="20.100000000000001" customHeight="1" x14ac:dyDescent="0.25">
      <c r="A15" s="13">
        <v>9</v>
      </c>
      <c r="B15" s="14" t="s">
        <v>875</v>
      </c>
      <c r="C15" s="21">
        <f>data!B203</f>
        <v>1536972</v>
      </c>
      <c r="D15" s="21">
        <f>data!C203</f>
        <v>3030884</v>
      </c>
      <c r="E15" s="21">
        <f>data!D203</f>
        <v>4074605</v>
      </c>
      <c r="F15" s="21">
        <f>data!E203</f>
        <v>493251</v>
      </c>
      <c r="M15" s="263"/>
    </row>
    <row r="16" spans="1:13" ht="20.100000000000001" customHeight="1" x14ac:dyDescent="0.25">
      <c r="A16" s="13">
        <v>10</v>
      </c>
      <c r="B16" s="14" t="s">
        <v>707</v>
      </c>
      <c r="C16" s="21">
        <f>data!B204</f>
        <v>85896499</v>
      </c>
      <c r="D16" s="21">
        <f>data!C204</f>
        <v>8237716</v>
      </c>
      <c r="E16" s="21">
        <f>data!D204</f>
        <v>6451394</v>
      </c>
      <c r="F16" s="21">
        <f>data!E204</f>
        <v>87682821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373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867</v>
      </c>
      <c r="D21" s="76" t="s">
        <v>219</v>
      </c>
      <c r="E21" s="25"/>
      <c r="F21" s="18" t="s">
        <v>868</v>
      </c>
    </row>
    <row r="22" spans="1:6" ht="20.100000000000001" customHeight="1" x14ac:dyDescent="0.25">
      <c r="A22" s="75"/>
      <c r="B22" s="44"/>
      <c r="C22" s="18" t="s">
        <v>869</v>
      </c>
      <c r="D22" s="18" t="s">
        <v>876</v>
      </c>
      <c r="E22" s="18" t="s">
        <v>870</v>
      </c>
      <c r="F22" s="18" t="s">
        <v>869</v>
      </c>
    </row>
    <row r="23" spans="1:6" ht="20.100000000000001" customHeight="1" x14ac:dyDescent="0.25">
      <c r="A23" s="13">
        <v>11</v>
      </c>
      <c r="B23" s="93" t="s">
        <v>364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365</v>
      </c>
      <c r="C24" s="21">
        <f>data!B209</f>
        <v>1260239</v>
      </c>
      <c r="D24" s="21">
        <f>data!C209</f>
        <v>254804</v>
      </c>
      <c r="E24" s="21">
        <f>data!D209</f>
        <v>0</v>
      </c>
      <c r="F24" s="21">
        <f>data!E209</f>
        <v>1515043</v>
      </c>
    </row>
    <row r="25" spans="1:6" ht="20.100000000000001" customHeight="1" x14ac:dyDescent="0.25">
      <c r="A25" s="13">
        <v>13</v>
      </c>
      <c r="B25" s="14" t="s">
        <v>366</v>
      </c>
      <c r="C25" s="21">
        <f>data!B210</f>
        <v>18295333</v>
      </c>
      <c r="D25" s="21">
        <f>data!C210</f>
        <v>1847103</v>
      </c>
      <c r="E25" s="21">
        <f>data!D210</f>
        <v>0</v>
      </c>
      <c r="F25" s="21">
        <f>data!E210</f>
        <v>20142436</v>
      </c>
    </row>
    <row r="26" spans="1:6" ht="20.100000000000001" customHeight="1" x14ac:dyDescent="0.25">
      <c r="A26" s="13">
        <v>14</v>
      </c>
      <c r="B26" s="14" t="s">
        <v>871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872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873</v>
      </c>
      <c r="C28" s="21">
        <f>data!B213</f>
        <v>22327543</v>
      </c>
      <c r="D28" s="21">
        <f>data!C213</f>
        <v>2504115</v>
      </c>
      <c r="E28" s="21">
        <f>data!D213</f>
        <v>2237747</v>
      </c>
      <c r="F28" s="21">
        <f>data!E213</f>
        <v>22593911</v>
      </c>
    </row>
    <row r="29" spans="1:6" ht="20.100000000000001" customHeight="1" x14ac:dyDescent="0.25">
      <c r="A29" s="13">
        <v>17</v>
      </c>
      <c r="B29" s="14" t="s">
        <v>874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371</v>
      </c>
      <c r="C30" s="21">
        <f>data!B215</f>
        <v>641419</v>
      </c>
      <c r="D30" s="21">
        <f>data!C215</f>
        <v>137320</v>
      </c>
      <c r="E30" s="21">
        <f>data!D215</f>
        <v>0</v>
      </c>
      <c r="F30" s="21">
        <f>data!E215</f>
        <v>778739</v>
      </c>
    </row>
    <row r="31" spans="1:6" ht="20.100000000000001" customHeight="1" x14ac:dyDescent="0.25">
      <c r="A31" s="13">
        <v>19</v>
      </c>
      <c r="B31" s="14" t="s">
        <v>875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707</v>
      </c>
      <c r="C32" s="21">
        <f>data!B217</f>
        <v>42524534</v>
      </c>
      <c r="D32" s="21">
        <f>data!C217</f>
        <v>4743342</v>
      </c>
      <c r="E32" s="21">
        <f>data!D217</f>
        <v>2237747</v>
      </c>
      <c r="F32" s="21">
        <f>data!E217</f>
        <v>45030129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877</v>
      </c>
      <c r="B1" s="6"/>
      <c r="C1" s="6"/>
      <c r="D1" s="169" t="s">
        <v>878</v>
      </c>
    </row>
    <row r="2" spans="1:13" ht="20.100000000000001" customHeight="1" x14ac:dyDescent="0.25">
      <c r="A2" s="29" t="str">
        <f>"Hospital: "&amp;data!C84</f>
        <v>Hospital: Jefferson County Public Hospital District No 2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879</v>
      </c>
      <c r="C4" s="41" t="s">
        <v>880</v>
      </c>
      <c r="D4" s="54"/>
    </row>
    <row r="5" spans="1:13" ht="20.100000000000001" customHeight="1" x14ac:dyDescent="0.25">
      <c r="A5" s="102">
        <v>1</v>
      </c>
      <c r="B5" s="55"/>
      <c r="C5" s="22" t="s">
        <v>375</v>
      </c>
      <c r="D5" s="14">
        <f>data!D221</f>
        <v>4156476</v>
      </c>
    </row>
    <row r="6" spans="1:13" ht="20.100000000000001" customHeight="1" x14ac:dyDescent="0.25">
      <c r="A6" s="13">
        <v>2</v>
      </c>
      <c r="B6" s="30"/>
      <c r="C6" s="31" t="s">
        <v>470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328</v>
      </c>
      <c r="D7" s="14">
        <f>data!C223</f>
        <v>91481892</v>
      </c>
    </row>
    <row r="8" spans="1:13" ht="20.100000000000001" customHeight="1" x14ac:dyDescent="0.25">
      <c r="A8" s="13">
        <v>4</v>
      </c>
      <c r="B8" s="55">
        <v>5820</v>
      </c>
      <c r="C8" s="14" t="s">
        <v>329</v>
      </c>
      <c r="D8" s="14">
        <f>data!C224</f>
        <v>22874598</v>
      </c>
    </row>
    <row r="9" spans="1:13" ht="20.100000000000001" customHeight="1" x14ac:dyDescent="0.25">
      <c r="A9" s="13">
        <v>5</v>
      </c>
      <c r="B9" s="55">
        <v>5830</v>
      </c>
      <c r="C9" s="14" t="s">
        <v>341</v>
      </c>
      <c r="D9" s="14">
        <f>data!C225</f>
        <v>1091919</v>
      </c>
    </row>
    <row r="10" spans="1:13" ht="20.100000000000001" customHeight="1" x14ac:dyDescent="0.25">
      <c r="A10" s="13">
        <v>6</v>
      </c>
      <c r="B10" s="55">
        <v>5840</v>
      </c>
      <c r="C10" s="14" t="s">
        <v>380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881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148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882</v>
      </c>
      <c r="D13" s="14">
        <f>data!D229</f>
        <v>115448409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384</v>
      </c>
      <c r="D15" s="25"/>
    </row>
    <row r="16" spans="1:13" ht="20.100000000000001" customHeight="1" x14ac:dyDescent="0.25">
      <c r="A16" s="81">
        <v>12</v>
      </c>
      <c r="B16" s="56"/>
      <c r="C16" s="49" t="s">
        <v>883</v>
      </c>
      <c r="D16" s="140">
        <f>+data!C231</f>
        <v>1391</v>
      </c>
      <c r="M16" s="263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386</v>
      </c>
      <c r="D18" s="60">
        <f>data!C233</f>
        <v>382468.23</v>
      </c>
    </row>
    <row r="19" spans="1:4" ht="20.100000000000001" customHeight="1" x14ac:dyDescent="0.25">
      <c r="A19" s="61">
        <v>15</v>
      </c>
      <c r="B19" s="55">
        <v>5910</v>
      </c>
      <c r="C19" s="22" t="s">
        <v>884</v>
      </c>
      <c r="D19" s="14">
        <f>data!C234</f>
        <v>2751177.57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885</v>
      </c>
      <c r="D22" s="14">
        <f>data!D236</f>
        <v>3133645.8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68">
        <v>20</v>
      </c>
      <c r="B24" s="55">
        <v>5970</v>
      </c>
      <c r="C24" s="14" t="s">
        <v>390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886</v>
      </c>
      <c r="D26" s="14">
        <f>data!C239</f>
        <v>21507076</v>
      </c>
    </row>
    <row r="27" spans="1:4" ht="20.100000000000001" customHeight="1" x14ac:dyDescent="0.25">
      <c r="A27" s="64">
        <v>23</v>
      </c>
      <c r="B27" s="63" t="s">
        <v>887</v>
      </c>
      <c r="C27" s="56"/>
      <c r="D27" s="14">
        <f>data!D242</f>
        <v>144245606.80000001</v>
      </c>
    </row>
    <row r="28" spans="1:4" ht="20.100000000000001" customHeight="1" x14ac:dyDescent="0.25">
      <c r="A28" s="126">
        <v>24</v>
      </c>
      <c r="B28" s="65" t="s">
        <v>888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889</v>
      </c>
      <c r="B1" s="5"/>
      <c r="C1" s="6"/>
    </row>
    <row r="2" spans="1:13" ht="20.100000000000001" customHeight="1" x14ac:dyDescent="0.25">
      <c r="A2" s="4"/>
      <c r="B2" s="5"/>
      <c r="C2" s="167" t="s">
        <v>890</v>
      </c>
    </row>
    <row r="3" spans="1:13" ht="20.100000000000001" customHeight="1" x14ac:dyDescent="0.25">
      <c r="A3" s="29" t="str">
        <f>"HOSPITAL: "&amp;data!C84</f>
        <v>HOSPITAL: Jefferson County Public Hospital District No 2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891</v>
      </c>
      <c r="C4" s="34"/>
    </row>
    <row r="5" spans="1:13" ht="20.100000000000001" customHeight="1" x14ac:dyDescent="0.25">
      <c r="A5" s="23">
        <v>1</v>
      </c>
      <c r="B5" s="35" t="s">
        <v>394</v>
      </c>
      <c r="C5" s="36"/>
    </row>
    <row r="6" spans="1:13" ht="20.100000000000001" customHeight="1" x14ac:dyDescent="0.25">
      <c r="A6" s="13">
        <v>2</v>
      </c>
      <c r="B6" s="14" t="s">
        <v>395</v>
      </c>
      <c r="C6" s="21">
        <f>data!C250</f>
        <v>8201804</v>
      </c>
    </row>
    <row r="7" spans="1:13" ht="20.100000000000001" customHeight="1" x14ac:dyDescent="0.25">
      <c r="A7" s="13">
        <v>3</v>
      </c>
      <c r="B7" s="14" t="s">
        <v>396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397</v>
      </c>
      <c r="C8" s="21">
        <f>data!C252</f>
        <v>19682721</v>
      </c>
    </row>
    <row r="9" spans="1:13" ht="20.100000000000001" customHeight="1" x14ac:dyDescent="0.25">
      <c r="A9" s="13">
        <v>5</v>
      </c>
      <c r="B9" s="14" t="s">
        <v>892</v>
      </c>
      <c r="C9" s="21">
        <f>data!C253</f>
        <v>4017000</v>
      </c>
    </row>
    <row r="10" spans="1:13" ht="20.100000000000001" customHeight="1" x14ac:dyDescent="0.25">
      <c r="A10" s="13">
        <v>6</v>
      </c>
      <c r="B10" s="14" t="s">
        <v>893</v>
      </c>
      <c r="C10" s="21">
        <f>data!C254</f>
        <v>4388214</v>
      </c>
    </row>
    <row r="11" spans="1:13" ht="20.100000000000001" customHeight="1" x14ac:dyDescent="0.25">
      <c r="A11" s="13">
        <v>7</v>
      </c>
      <c r="B11" s="14" t="s">
        <v>894</v>
      </c>
      <c r="C11" s="21">
        <f>data!C255</f>
        <v>730917</v>
      </c>
    </row>
    <row r="12" spans="1:13" ht="20.100000000000001" customHeight="1" x14ac:dyDescent="0.25">
      <c r="A12" s="13">
        <v>8</v>
      </c>
      <c r="B12" s="14" t="s">
        <v>401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402</v>
      </c>
      <c r="C13" s="21">
        <f>data!C257</f>
        <v>2423450</v>
      </c>
    </row>
    <row r="14" spans="1:13" ht="20.100000000000001" customHeight="1" x14ac:dyDescent="0.25">
      <c r="A14" s="13">
        <v>10</v>
      </c>
      <c r="B14" s="14" t="s">
        <v>403</v>
      </c>
      <c r="C14" s="21">
        <f>data!C258</f>
        <v>1047875</v>
      </c>
    </row>
    <row r="15" spans="1:13" ht="20.100000000000001" customHeight="1" x14ac:dyDescent="0.25">
      <c r="A15" s="13">
        <v>11</v>
      </c>
      <c r="B15" s="14" t="s">
        <v>895</v>
      </c>
      <c r="C15" s="21">
        <f>data!C259</f>
        <v>0</v>
      </c>
      <c r="M15" s="263"/>
    </row>
    <row r="16" spans="1:13" ht="20.100000000000001" customHeight="1" x14ac:dyDescent="0.25">
      <c r="A16" s="13">
        <v>12</v>
      </c>
      <c r="B16" s="14" t="s">
        <v>896</v>
      </c>
      <c r="C16" s="21">
        <f>data!D260</f>
        <v>32457981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897</v>
      </c>
      <c r="C18" s="36"/>
    </row>
    <row r="19" spans="1:3" ht="20.100000000000001" customHeight="1" x14ac:dyDescent="0.25">
      <c r="A19" s="13">
        <v>15</v>
      </c>
      <c r="B19" s="14" t="s">
        <v>395</v>
      </c>
      <c r="C19" s="21">
        <f>data!C262</f>
        <v>22009774</v>
      </c>
    </row>
    <row r="20" spans="1:3" ht="20.100000000000001" customHeight="1" x14ac:dyDescent="0.25">
      <c r="A20" s="13">
        <v>16</v>
      </c>
      <c r="B20" s="14" t="s">
        <v>396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407</v>
      </c>
      <c r="C21" s="21">
        <f>data!C264</f>
        <v>11249</v>
      </c>
    </row>
    <row r="22" spans="1:3" ht="20.100000000000001" customHeight="1" x14ac:dyDescent="0.25">
      <c r="A22" s="13">
        <v>18</v>
      </c>
      <c r="B22" s="14" t="s">
        <v>898</v>
      </c>
      <c r="C22" s="21">
        <f>data!D265</f>
        <v>22021023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899</v>
      </c>
      <c r="C24" s="36"/>
    </row>
    <row r="25" spans="1:3" ht="20.100000000000001" customHeight="1" x14ac:dyDescent="0.25">
      <c r="A25" s="13">
        <v>21</v>
      </c>
      <c r="B25" s="14" t="s">
        <v>364</v>
      </c>
      <c r="C25" s="21">
        <f>data!C267</f>
        <v>1549711</v>
      </c>
    </row>
    <row r="26" spans="1:3" ht="20.100000000000001" customHeight="1" x14ac:dyDescent="0.25">
      <c r="A26" s="13">
        <v>22</v>
      </c>
      <c r="B26" s="14" t="s">
        <v>365</v>
      </c>
      <c r="C26" s="21">
        <f>data!C268</f>
        <v>4028158</v>
      </c>
    </row>
    <row r="27" spans="1:3" ht="20.100000000000001" customHeight="1" x14ac:dyDescent="0.25">
      <c r="A27" s="13">
        <v>23</v>
      </c>
      <c r="B27" s="14" t="s">
        <v>366</v>
      </c>
      <c r="C27" s="21">
        <f>data!C269</f>
        <v>40757243</v>
      </c>
    </row>
    <row r="28" spans="1:3" ht="20.100000000000001" customHeight="1" x14ac:dyDescent="0.25">
      <c r="A28" s="13">
        <v>24</v>
      </c>
      <c r="B28" s="14" t="s">
        <v>900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368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412</v>
      </c>
      <c r="C30" s="21">
        <f>data!C272</f>
        <v>39493280</v>
      </c>
    </row>
    <row r="31" spans="1:3" ht="20.100000000000001" customHeight="1" x14ac:dyDescent="0.25">
      <c r="A31" s="13">
        <v>27</v>
      </c>
      <c r="B31" s="14" t="s">
        <v>371</v>
      </c>
      <c r="C31" s="21">
        <f>data!C273</f>
        <v>1361180</v>
      </c>
    </row>
    <row r="32" spans="1:3" ht="20.100000000000001" customHeight="1" x14ac:dyDescent="0.25">
      <c r="A32" s="13">
        <v>28</v>
      </c>
      <c r="B32" s="14" t="s">
        <v>372</v>
      </c>
      <c r="C32" s="21">
        <f>data!C274</f>
        <v>493251</v>
      </c>
    </row>
    <row r="33" spans="1:3" ht="20.100000000000001" customHeight="1" x14ac:dyDescent="0.25">
      <c r="A33" s="13">
        <v>29</v>
      </c>
      <c r="B33" s="14" t="s">
        <v>707</v>
      </c>
      <c r="C33" s="21">
        <f>data!D275</f>
        <v>87682823</v>
      </c>
    </row>
    <row r="34" spans="1:3" ht="20.100000000000001" customHeight="1" x14ac:dyDescent="0.25">
      <c r="A34" s="13">
        <v>30</v>
      </c>
      <c r="B34" s="14" t="s">
        <v>901</v>
      </c>
      <c r="C34" s="21">
        <f>data!C276</f>
        <v>45030131</v>
      </c>
    </row>
    <row r="35" spans="1:3" ht="20.100000000000001" customHeight="1" x14ac:dyDescent="0.25">
      <c r="A35" s="13">
        <v>31</v>
      </c>
      <c r="B35" s="14" t="s">
        <v>902</v>
      </c>
      <c r="C35" s="21">
        <f>data!D277</f>
        <v>42652692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903</v>
      </c>
      <c r="C37" s="36"/>
    </row>
    <row r="38" spans="1:3" ht="20.100000000000001" customHeight="1" x14ac:dyDescent="0.25">
      <c r="A38" s="13">
        <v>34</v>
      </c>
      <c r="B38" s="14" t="s">
        <v>904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905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419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407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906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907</v>
      </c>
      <c r="C44" s="36"/>
    </row>
    <row r="45" spans="1:3" ht="20.100000000000001" customHeight="1" x14ac:dyDescent="0.25">
      <c r="A45" s="13">
        <v>41</v>
      </c>
      <c r="B45" s="14" t="s">
        <v>422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423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908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425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909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910</v>
      </c>
      <c r="C50" s="21">
        <f>data!D292</f>
        <v>97131696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911</v>
      </c>
      <c r="B53" s="5"/>
      <c r="C53" s="6"/>
    </row>
    <row r="54" spans="1:3" ht="20.100000000000001" customHeight="1" x14ac:dyDescent="0.25">
      <c r="A54" s="4"/>
      <c r="B54" s="5"/>
      <c r="C54" s="167" t="s">
        <v>912</v>
      </c>
    </row>
    <row r="55" spans="1:3" ht="20.100000000000001" customHeight="1" x14ac:dyDescent="0.25">
      <c r="A55" s="29" t="str">
        <f>"HOSPITAL: "&amp;data!C84</f>
        <v>HOSPITAL: Jefferson County Public Hospital District No 2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913</v>
      </c>
      <c r="C56" s="34"/>
    </row>
    <row r="57" spans="1:3" ht="20.100000000000001" customHeight="1" x14ac:dyDescent="0.25">
      <c r="A57" s="16">
        <v>1</v>
      </c>
      <c r="B57" s="4" t="s">
        <v>429</v>
      </c>
      <c r="C57" s="44"/>
    </row>
    <row r="58" spans="1:3" ht="20.100000000000001" customHeight="1" x14ac:dyDescent="0.25">
      <c r="A58" s="13">
        <v>2</v>
      </c>
      <c r="B58" s="14" t="s">
        <v>430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914</v>
      </c>
      <c r="C59" s="21">
        <f>data!C305</f>
        <v>1947897</v>
      </c>
    </row>
    <row r="60" spans="1:3" ht="20.100000000000001" customHeight="1" x14ac:dyDescent="0.25">
      <c r="A60" s="13">
        <v>4</v>
      </c>
      <c r="B60" s="14" t="s">
        <v>915</v>
      </c>
      <c r="C60" s="21">
        <f>data!C306</f>
        <v>6257515</v>
      </c>
    </row>
    <row r="61" spans="1:3" ht="20.100000000000001" customHeight="1" x14ac:dyDescent="0.25">
      <c r="A61" s="13">
        <v>5</v>
      </c>
      <c r="B61" s="14" t="s">
        <v>433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916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917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436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437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438</v>
      </c>
      <c r="C66" s="21">
        <f>data!C312</f>
        <v>589168</v>
      </c>
    </row>
    <row r="67" spans="1:3" ht="20.100000000000001" customHeight="1" x14ac:dyDescent="0.25">
      <c r="A67" s="13">
        <v>11</v>
      </c>
      <c r="B67" s="14" t="s">
        <v>918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919</v>
      </c>
      <c r="C68" s="21">
        <f>data!D314</f>
        <v>8794580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920</v>
      </c>
      <c r="C70" s="36"/>
    </row>
    <row r="71" spans="1:3" ht="20.100000000000001" customHeight="1" x14ac:dyDescent="0.25">
      <c r="A71" s="13">
        <v>15</v>
      </c>
      <c r="B71" s="14" t="s">
        <v>442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921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444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922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446</v>
      </c>
      <c r="C76" s="36"/>
    </row>
    <row r="77" spans="1:3" ht="20.100000000000001" customHeight="1" x14ac:dyDescent="0.25">
      <c r="A77" s="13">
        <v>21</v>
      </c>
      <c r="B77" s="14" t="s">
        <v>447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923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449</v>
      </c>
      <c r="C79" s="21">
        <f>data!C323</f>
        <v>3544313</v>
      </c>
    </row>
    <row r="80" spans="1:3" ht="20.100000000000001" customHeight="1" x14ac:dyDescent="0.25">
      <c r="A80" s="13">
        <v>24</v>
      </c>
      <c r="B80" s="14" t="s">
        <v>924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451</v>
      </c>
      <c r="C81" s="21">
        <f>data!C325</f>
        <v>24934458</v>
      </c>
    </row>
    <row r="82" spans="1:3" ht="20.100000000000001" customHeight="1" x14ac:dyDescent="0.25">
      <c r="A82" s="13">
        <v>26</v>
      </c>
      <c r="B82" s="14" t="s">
        <v>925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453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707</v>
      </c>
      <c r="C84" s="21">
        <f>data!D328</f>
        <v>28478771</v>
      </c>
    </row>
    <row r="85" spans="1:3" ht="20.100000000000001" customHeight="1" x14ac:dyDescent="0.25">
      <c r="A85" s="13">
        <v>29</v>
      </c>
      <c r="B85" s="14" t="s">
        <v>926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927</v>
      </c>
      <c r="C86" s="21">
        <f>data!D330</f>
        <v>28478771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928</v>
      </c>
      <c r="C88" s="21">
        <f>data!C332</f>
        <v>59858345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929</v>
      </c>
      <c r="C90" s="36"/>
    </row>
    <row r="91" spans="1:3" ht="20.100000000000001" customHeight="1" x14ac:dyDescent="0.25">
      <c r="A91" s="13">
        <v>35</v>
      </c>
      <c r="B91" s="14" t="s">
        <v>457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458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930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931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932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933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934</v>
      </c>
      <c r="C101" s="21">
        <f>data!C332+data!C334+data!C335+data!C336+data!C337-data!C338</f>
        <v>59858345</v>
      </c>
    </row>
    <row r="102" spans="1:3" ht="20.100000000000001" customHeight="1" x14ac:dyDescent="0.25">
      <c r="A102" s="13">
        <v>46</v>
      </c>
      <c r="B102" s="14" t="s">
        <v>935</v>
      </c>
      <c r="C102" s="21">
        <f>data!D339</f>
        <v>97131696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936</v>
      </c>
      <c r="B105" s="5"/>
      <c r="C105" s="6"/>
    </row>
    <row r="106" spans="1:3" ht="20.100000000000001" customHeight="1" x14ac:dyDescent="0.25">
      <c r="A106" s="45"/>
      <c r="B106" s="8"/>
      <c r="C106" s="167" t="s">
        <v>937</v>
      </c>
    </row>
    <row r="107" spans="1:3" ht="20.100000000000001" customHeight="1" x14ac:dyDescent="0.25">
      <c r="A107" s="29" t="str">
        <f>"HOSPITAL: "&amp;data!C84</f>
        <v>HOSPITAL: Jefferson County Public Hospital District No 2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938</v>
      </c>
      <c r="C109" s="36"/>
    </row>
    <row r="110" spans="1:3" ht="20.100000000000001" customHeight="1" x14ac:dyDescent="0.25">
      <c r="A110" s="13">
        <v>2</v>
      </c>
      <c r="B110" s="14" t="s">
        <v>466</v>
      </c>
      <c r="C110" s="21">
        <f>data!C359</f>
        <v>45443363</v>
      </c>
    </row>
    <row r="111" spans="1:3" ht="20.100000000000001" customHeight="1" x14ac:dyDescent="0.25">
      <c r="A111" s="13">
        <v>3</v>
      </c>
      <c r="B111" s="14" t="s">
        <v>467</v>
      </c>
      <c r="C111" s="21">
        <f>data!C360</f>
        <v>215960869</v>
      </c>
    </row>
    <row r="112" spans="1:3" ht="20.100000000000001" customHeight="1" x14ac:dyDescent="0.25">
      <c r="A112" s="13">
        <v>4</v>
      </c>
      <c r="B112" s="14" t="s">
        <v>939</v>
      </c>
      <c r="C112" s="21">
        <f>data!D361</f>
        <v>261404232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940</v>
      </c>
      <c r="C114" s="36"/>
    </row>
    <row r="115" spans="1:3" ht="20.100000000000001" customHeight="1" x14ac:dyDescent="0.25">
      <c r="A115" s="13">
        <v>7</v>
      </c>
      <c r="B115" s="267" t="s">
        <v>941</v>
      </c>
      <c r="C115" s="48">
        <f>data!C363</f>
        <v>4156476</v>
      </c>
    </row>
    <row r="116" spans="1:3" ht="20.100000000000001" customHeight="1" x14ac:dyDescent="0.25">
      <c r="A116" s="13">
        <v>8</v>
      </c>
      <c r="B116" s="14" t="s">
        <v>470</v>
      </c>
      <c r="C116" s="48">
        <f>data!C364</f>
        <v>115448409</v>
      </c>
    </row>
    <row r="117" spans="1:3" ht="20.100000000000001" customHeight="1" x14ac:dyDescent="0.25">
      <c r="A117" s="13">
        <v>9</v>
      </c>
      <c r="B117" s="14" t="s">
        <v>942</v>
      </c>
      <c r="C117" s="48">
        <f>data!C365</f>
        <v>3133646</v>
      </c>
    </row>
    <row r="118" spans="1:3" ht="20.100000000000001" customHeight="1" x14ac:dyDescent="0.25">
      <c r="A118" s="13">
        <v>10</v>
      </c>
      <c r="B118" s="14" t="s">
        <v>943</v>
      </c>
      <c r="C118" s="48">
        <f>data!C366</f>
        <v>21507076</v>
      </c>
    </row>
    <row r="119" spans="1:3" ht="20.100000000000001" customHeight="1" x14ac:dyDescent="0.25">
      <c r="A119" s="13">
        <v>11</v>
      </c>
      <c r="B119" s="14" t="s">
        <v>887</v>
      </c>
      <c r="C119" s="48">
        <f>data!D367</f>
        <v>144245607</v>
      </c>
    </row>
    <row r="120" spans="1:3" ht="20.100000000000001" customHeight="1" x14ac:dyDescent="0.25">
      <c r="A120" s="13">
        <v>12</v>
      </c>
      <c r="B120" s="14" t="s">
        <v>944</v>
      </c>
      <c r="C120" s="48">
        <f>data!D368</f>
        <v>117158625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474</v>
      </c>
      <c r="C122" s="36"/>
    </row>
    <row r="123" spans="1:3" ht="20.100000000000001" customHeight="1" x14ac:dyDescent="0.25">
      <c r="A123" s="13">
        <v>15</v>
      </c>
      <c r="B123" s="14" t="s">
        <v>475</v>
      </c>
      <c r="C123" s="48">
        <f>data!C370</f>
        <v>5538863</v>
      </c>
    </row>
    <row r="124" spans="1:3" ht="20.100000000000001" customHeight="1" x14ac:dyDescent="0.25">
      <c r="A124" s="13">
        <v>16</v>
      </c>
      <c r="B124" s="14" t="s">
        <v>476</v>
      </c>
      <c r="C124" s="48">
        <f>data!C371</f>
        <v>472196</v>
      </c>
    </row>
    <row r="125" spans="1:3" ht="20.100000000000001" customHeight="1" x14ac:dyDescent="0.25">
      <c r="A125" s="13">
        <v>17</v>
      </c>
      <c r="B125" s="14" t="s">
        <v>945</v>
      </c>
      <c r="C125" s="48">
        <f>data!D372</f>
        <v>6011059</v>
      </c>
    </row>
    <row r="126" spans="1:3" ht="20.100000000000001" customHeight="1" x14ac:dyDescent="0.25">
      <c r="A126" s="13">
        <v>18</v>
      </c>
      <c r="B126" s="14" t="s">
        <v>946</v>
      </c>
      <c r="C126" s="48">
        <f>data!D373</f>
        <v>123169684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947</v>
      </c>
      <c r="C128" s="36"/>
    </row>
    <row r="129" spans="1:3" ht="20.100000000000001" customHeight="1" x14ac:dyDescent="0.25">
      <c r="A129" s="13">
        <v>21</v>
      </c>
      <c r="B129" s="14" t="s">
        <v>480</v>
      </c>
      <c r="C129" s="48">
        <f>data!C378</f>
        <v>57874283</v>
      </c>
    </row>
    <row r="130" spans="1:3" ht="20.100000000000001" customHeight="1" x14ac:dyDescent="0.25">
      <c r="A130" s="13">
        <v>22</v>
      </c>
      <c r="B130" s="14" t="s">
        <v>13</v>
      </c>
      <c r="C130" s="48">
        <f>data!C379</f>
        <v>13754925</v>
      </c>
    </row>
    <row r="131" spans="1:3" ht="20.100000000000001" customHeight="1" x14ac:dyDescent="0.25">
      <c r="A131" s="13">
        <v>23</v>
      </c>
      <c r="B131" s="14" t="s">
        <v>253</v>
      </c>
      <c r="C131" s="48">
        <f>data!C380</f>
        <v>6575946</v>
      </c>
    </row>
    <row r="132" spans="1:3" ht="20.100000000000001" customHeight="1" x14ac:dyDescent="0.25">
      <c r="A132" s="13">
        <v>24</v>
      </c>
      <c r="B132" s="14" t="s">
        <v>254</v>
      </c>
      <c r="C132" s="48">
        <f>data!C381</f>
        <v>23375062</v>
      </c>
    </row>
    <row r="133" spans="1:3" ht="20.100000000000001" customHeight="1" x14ac:dyDescent="0.25">
      <c r="A133" s="13">
        <v>25</v>
      </c>
      <c r="B133" s="14" t="s">
        <v>948</v>
      </c>
      <c r="C133" s="48">
        <f>data!C382</f>
        <v>1175553</v>
      </c>
    </row>
    <row r="134" spans="1:3" ht="20.100000000000001" customHeight="1" x14ac:dyDescent="0.25">
      <c r="A134" s="13">
        <v>26</v>
      </c>
      <c r="B134" s="14" t="s">
        <v>949</v>
      </c>
      <c r="C134" s="48">
        <f>data!C383</f>
        <v>6534407</v>
      </c>
    </row>
    <row r="135" spans="1:3" ht="20.100000000000001" customHeight="1" x14ac:dyDescent="0.25">
      <c r="A135" s="13">
        <v>27</v>
      </c>
      <c r="B135" s="14" t="s">
        <v>18</v>
      </c>
      <c r="C135" s="48">
        <f>data!C384</f>
        <v>4743342</v>
      </c>
    </row>
    <row r="136" spans="1:3" ht="20.100000000000001" customHeight="1" x14ac:dyDescent="0.25">
      <c r="A136" s="13">
        <v>28</v>
      </c>
      <c r="B136" s="14" t="s">
        <v>950</v>
      </c>
      <c r="C136" s="48">
        <f>data!C385</f>
        <v>1631572</v>
      </c>
    </row>
    <row r="137" spans="1:3" ht="20.100000000000001" customHeight="1" x14ac:dyDescent="0.25">
      <c r="A137" s="13">
        <v>29</v>
      </c>
      <c r="B137" s="14" t="s">
        <v>485</v>
      </c>
      <c r="C137" s="48">
        <f>data!C386</f>
        <v>697227</v>
      </c>
    </row>
    <row r="138" spans="1:3" ht="20.100000000000001" customHeight="1" x14ac:dyDescent="0.25">
      <c r="A138" s="13">
        <v>30</v>
      </c>
      <c r="B138" s="14" t="s">
        <v>951</v>
      </c>
      <c r="C138" s="48">
        <f>data!C387</f>
        <v>743041</v>
      </c>
    </row>
    <row r="139" spans="1:3" ht="20.100000000000001" customHeight="1" x14ac:dyDescent="0.25">
      <c r="A139" s="13">
        <v>31</v>
      </c>
      <c r="B139" s="14" t="s">
        <v>487</v>
      </c>
      <c r="C139" s="48">
        <f>data!C388</f>
        <v>1008452</v>
      </c>
    </row>
    <row r="140" spans="1:3" ht="20.100000000000001" customHeight="1" x14ac:dyDescent="0.25">
      <c r="A140" s="13">
        <v>32</v>
      </c>
      <c r="B140" s="14" t="s">
        <v>258</v>
      </c>
      <c r="C140" s="48">
        <f>data!C389</f>
        <v>3120319</v>
      </c>
    </row>
    <row r="141" spans="1:3" ht="20.100000000000001" customHeight="1" x14ac:dyDescent="0.25">
      <c r="A141" s="13">
        <v>34</v>
      </c>
      <c r="B141" s="14" t="s">
        <v>952</v>
      </c>
      <c r="C141" s="48">
        <f>data!D390</f>
        <v>121234129</v>
      </c>
    </row>
    <row r="142" spans="1:3" ht="20.100000000000001" customHeight="1" x14ac:dyDescent="0.25">
      <c r="A142" s="13">
        <v>35</v>
      </c>
      <c r="B142" s="14" t="s">
        <v>953</v>
      </c>
      <c r="C142" s="48">
        <f>data!D391</f>
        <v>1935555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954</v>
      </c>
      <c r="C144" s="48">
        <f>data!C392</f>
        <v>2595232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955</v>
      </c>
      <c r="C146" s="21">
        <f>data!D393</f>
        <v>4530787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956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957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958</v>
      </c>
      <c r="C151" s="48">
        <f>data!D396</f>
        <v>4530787</v>
      </c>
    </row>
    <row r="152" spans="1:3" ht="20.100000000000001" customHeight="1" x14ac:dyDescent="0.25">
      <c r="A152" s="40">
        <v>45</v>
      </c>
      <c r="B152" s="49" t="s">
        <v>959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960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961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Jefferson County Public Hospital District No 2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225</v>
      </c>
      <c r="C5" s="89" t="s">
        <v>25</v>
      </c>
      <c r="D5" s="15" t="s">
        <v>26</v>
      </c>
      <c r="E5" s="15" t="s">
        <v>27</v>
      </c>
      <c r="F5" s="15" t="s">
        <v>28</v>
      </c>
      <c r="G5" s="15" t="s">
        <v>29</v>
      </c>
      <c r="H5" s="15" t="s">
        <v>30</v>
      </c>
      <c r="I5" s="15" t="s">
        <v>31</v>
      </c>
    </row>
    <row r="6" spans="1:13" ht="20.100000000000001" customHeight="1" x14ac:dyDescent="0.25">
      <c r="A6" s="81">
        <v>2</v>
      </c>
      <c r="B6" s="17" t="s">
        <v>962</v>
      </c>
      <c r="C6" s="88" t="s">
        <v>107</v>
      </c>
      <c r="D6" s="18" t="s">
        <v>963</v>
      </c>
      <c r="E6" s="18" t="s">
        <v>109</v>
      </c>
      <c r="F6" s="18" t="s">
        <v>110</v>
      </c>
      <c r="G6" s="18" t="s">
        <v>111</v>
      </c>
      <c r="H6" s="18" t="s">
        <v>112</v>
      </c>
      <c r="I6" s="18" t="s">
        <v>113</v>
      </c>
    </row>
    <row r="7" spans="1:13" ht="20.100000000000001" customHeight="1" x14ac:dyDescent="0.25">
      <c r="A7" s="82"/>
      <c r="B7" s="83"/>
      <c r="C7" s="18" t="s">
        <v>179</v>
      </c>
      <c r="D7" s="18" t="s">
        <v>964</v>
      </c>
      <c r="E7" s="18" t="s">
        <v>179</v>
      </c>
      <c r="F7" s="18" t="s">
        <v>965</v>
      </c>
      <c r="G7" s="18" t="s">
        <v>181</v>
      </c>
      <c r="H7" s="18" t="s">
        <v>179</v>
      </c>
      <c r="I7" s="18" t="s">
        <v>182</v>
      </c>
    </row>
    <row r="8" spans="1:13" ht="20.100000000000001" customHeight="1" x14ac:dyDescent="0.25">
      <c r="A8" s="23">
        <v>3</v>
      </c>
      <c r="B8" s="14" t="s">
        <v>966</v>
      </c>
      <c r="C8" s="15" t="s">
        <v>231</v>
      </c>
      <c r="D8" s="15" t="s">
        <v>231</v>
      </c>
      <c r="E8" s="15" t="s">
        <v>231</v>
      </c>
      <c r="F8" s="15" t="s">
        <v>231</v>
      </c>
      <c r="G8" s="15" t="s">
        <v>231</v>
      </c>
      <c r="H8" s="15" t="s">
        <v>231</v>
      </c>
      <c r="I8" s="15" t="s">
        <v>231</v>
      </c>
    </row>
    <row r="9" spans="1:13" ht="20.100000000000001" customHeight="1" x14ac:dyDescent="0.25">
      <c r="A9" s="23">
        <v>4</v>
      </c>
      <c r="B9" s="14" t="s">
        <v>250</v>
      </c>
      <c r="C9" s="14">
        <f>data!C59</f>
        <v>263</v>
      </c>
      <c r="D9" s="14">
        <f>data!D59</f>
        <v>0</v>
      </c>
      <c r="E9" s="14">
        <f>data!E59</f>
        <v>3864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251</v>
      </c>
      <c r="C10" s="26">
        <f>data!C60</f>
        <v>12.555413461538464</v>
      </c>
      <c r="D10" s="26">
        <f>data!D60</f>
        <v>0</v>
      </c>
      <c r="E10" s="26">
        <f>data!E60</f>
        <v>39.69358173076931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252</v>
      </c>
      <c r="C11" s="14">
        <f>data!C61</f>
        <v>1111070</v>
      </c>
      <c r="D11" s="14">
        <f>data!D61</f>
        <v>0</v>
      </c>
      <c r="E11" s="14">
        <f>data!E61</f>
        <v>2935627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13</v>
      </c>
      <c r="C12" s="14">
        <f>data!C62</f>
        <v>264067</v>
      </c>
      <c r="D12" s="14">
        <f>data!D62</f>
        <v>0</v>
      </c>
      <c r="E12" s="14">
        <f>data!E62</f>
        <v>697708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253</v>
      </c>
      <c r="C13" s="14">
        <f>data!C63</f>
        <v>74047</v>
      </c>
      <c r="D13" s="14">
        <f>data!D63</f>
        <v>0</v>
      </c>
      <c r="E13" s="14">
        <f>data!E63</f>
        <v>6464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254</v>
      </c>
      <c r="C14" s="14">
        <f>data!C64</f>
        <v>84775</v>
      </c>
      <c r="D14" s="14">
        <f>data!D64</f>
        <v>0</v>
      </c>
      <c r="E14" s="14">
        <f>data!E64</f>
        <v>308008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482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2"/>
    </row>
    <row r="16" spans="1:13" ht="20.100000000000001" customHeight="1" x14ac:dyDescent="0.25">
      <c r="A16" s="23">
        <v>11</v>
      </c>
      <c r="B16" s="14" t="s">
        <v>483</v>
      </c>
      <c r="C16" s="14">
        <f>data!C66</f>
        <v>5912</v>
      </c>
      <c r="D16" s="14">
        <f>data!D66</f>
        <v>0</v>
      </c>
      <c r="E16" s="14">
        <f>data!E66</f>
        <v>34585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18</v>
      </c>
      <c r="C17" s="14">
        <f>data!C67</f>
        <v>53156</v>
      </c>
      <c r="D17" s="14">
        <f>data!D67</f>
        <v>0</v>
      </c>
      <c r="E17" s="14">
        <f>data!E67</f>
        <v>120050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513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258</v>
      </c>
      <c r="C19" s="14">
        <f>data!C69</f>
        <v>9570</v>
      </c>
      <c r="D19" s="14">
        <f>data!D69</f>
        <v>0</v>
      </c>
      <c r="E19" s="14">
        <f>data!E69</f>
        <v>17703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259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967</v>
      </c>
      <c r="C21" s="14">
        <f>data!C71</f>
        <v>1602597</v>
      </c>
      <c r="D21" s="14">
        <f>data!D71</f>
        <v>0</v>
      </c>
      <c r="E21" s="14">
        <f>data!E71</f>
        <v>4120145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261</v>
      </c>
      <c r="C22" s="206"/>
      <c r="D22" s="207"/>
      <c r="E22" s="207"/>
      <c r="F22" s="207"/>
      <c r="G22" s="207"/>
      <c r="H22" s="207"/>
      <c r="I22" s="207"/>
    </row>
    <row r="23" spans="1:9" ht="20.100000000000001" customHeight="1" x14ac:dyDescent="0.25">
      <c r="A23" s="23">
        <v>18</v>
      </c>
      <c r="B23" s="14" t="s">
        <v>968</v>
      </c>
      <c r="C23" s="48">
        <f>+data!M668</f>
        <v>532443</v>
      </c>
      <c r="D23" s="48">
        <f>+data!M669</f>
        <v>0</v>
      </c>
      <c r="E23" s="48">
        <f>+data!M670</f>
        <v>2302733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969</v>
      </c>
      <c r="C24" s="14">
        <f>data!C73</f>
        <v>2742466</v>
      </c>
      <c r="D24" s="14">
        <f>data!D73</f>
        <v>0</v>
      </c>
      <c r="E24" s="14">
        <f>data!E73</f>
        <v>8947359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970</v>
      </c>
      <c r="C25" s="14">
        <f>data!C74</f>
        <v>40509</v>
      </c>
      <c r="D25" s="14">
        <f>data!D74</f>
        <v>0</v>
      </c>
      <c r="E25" s="14">
        <f>data!E74</f>
        <v>2181206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971</v>
      </c>
      <c r="C26" s="14">
        <f>data!C75</f>
        <v>2782975</v>
      </c>
      <c r="D26" s="14">
        <f>data!D75</f>
        <v>0</v>
      </c>
      <c r="E26" s="14">
        <f>data!E75</f>
        <v>11128565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972</v>
      </c>
      <c r="B27" s="60"/>
      <c r="C27" s="207"/>
      <c r="D27" s="207"/>
      <c r="E27" s="207"/>
      <c r="F27" s="207"/>
      <c r="G27" s="207"/>
      <c r="H27" s="207"/>
      <c r="I27" s="207"/>
    </row>
    <row r="28" spans="1:9" ht="20.100000000000001" customHeight="1" x14ac:dyDescent="0.25">
      <c r="A28" s="23">
        <v>22</v>
      </c>
      <c r="B28" s="14" t="s">
        <v>973</v>
      </c>
      <c r="C28" s="14">
        <f>data!C76</f>
        <v>2556.1999999999998</v>
      </c>
      <c r="D28" s="14">
        <f>data!D76</f>
        <v>0</v>
      </c>
      <c r="E28" s="14">
        <f>data!E76</f>
        <v>5773.05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974</v>
      </c>
      <c r="C29" s="14">
        <f>data!C77</f>
        <v>898</v>
      </c>
      <c r="D29" s="14">
        <f>data!D77</f>
        <v>0</v>
      </c>
      <c r="E29" s="14">
        <f>data!E77</f>
        <v>14092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975</v>
      </c>
      <c r="C30" s="14">
        <f>data!C78</f>
        <v>3448.2746675055055</v>
      </c>
      <c r="D30" s="14">
        <f>data!D78</f>
        <v>0</v>
      </c>
      <c r="E30" s="14">
        <f>data!E78</f>
        <v>17047.541147111253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976</v>
      </c>
      <c r="C31" s="14">
        <f>data!C79</f>
        <v>10674</v>
      </c>
      <c r="D31" s="14">
        <f>data!D79</f>
        <v>0</v>
      </c>
      <c r="E31" s="14">
        <f>data!E79</f>
        <v>52770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269</v>
      </c>
      <c r="C32" s="84">
        <f>data!C80</f>
        <v>8.996759615384617</v>
      </c>
      <c r="D32" s="84">
        <f>data!D80</f>
        <v>0</v>
      </c>
      <c r="E32" s="84">
        <f>data!E80</f>
        <v>20.915105769230781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960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977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Jefferson County Public Hospital District No 2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225</v>
      </c>
      <c r="C37" s="15" t="s">
        <v>32</v>
      </c>
      <c r="D37" s="15" t="s">
        <v>33</v>
      </c>
      <c r="E37" s="15" t="s">
        <v>34</v>
      </c>
      <c r="F37" s="15" t="s">
        <v>35</v>
      </c>
      <c r="G37" s="15" t="s">
        <v>36</v>
      </c>
      <c r="H37" s="15" t="s">
        <v>37</v>
      </c>
      <c r="I37" s="15" t="s">
        <v>38</v>
      </c>
    </row>
    <row r="38" spans="1:9" ht="20.100000000000001" customHeight="1" x14ac:dyDescent="0.25">
      <c r="A38" s="81">
        <v>2</v>
      </c>
      <c r="B38" s="17" t="s">
        <v>962</v>
      </c>
      <c r="C38" s="25"/>
      <c r="D38" s="18" t="s">
        <v>115</v>
      </c>
      <c r="E38" s="18" t="s">
        <v>116</v>
      </c>
      <c r="F38" s="18" t="s">
        <v>978</v>
      </c>
      <c r="G38" s="18" t="s">
        <v>118</v>
      </c>
      <c r="H38" s="18" t="s">
        <v>979</v>
      </c>
      <c r="I38" s="18" t="s">
        <v>120</v>
      </c>
    </row>
    <row r="39" spans="1:9" ht="20.100000000000001" customHeight="1" x14ac:dyDescent="0.25">
      <c r="A39" s="82"/>
      <c r="B39" s="83"/>
      <c r="C39" s="18" t="s">
        <v>114</v>
      </c>
      <c r="D39" s="18" t="s">
        <v>173</v>
      </c>
      <c r="E39" s="88" t="s">
        <v>183</v>
      </c>
      <c r="F39" s="18" t="s">
        <v>184</v>
      </c>
      <c r="G39" s="18" t="s">
        <v>185</v>
      </c>
      <c r="H39" s="18" t="s">
        <v>186</v>
      </c>
      <c r="I39" s="18" t="s">
        <v>185</v>
      </c>
    </row>
    <row r="40" spans="1:9" ht="20.100000000000001" customHeight="1" x14ac:dyDescent="0.25">
      <c r="A40" s="23">
        <v>3</v>
      </c>
      <c r="B40" s="14" t="s">
        <v>966</v>
      </c>
      <c r="C40" s="15" t="s">
        <v>232</v>
      </c>
      <c r="D40" s="15" t="s">
        <v>231</v>
      </c>
      <c r="E40" s="15" t="s">
        <v>231</v>
      </c>
      <c r="F40" s="15" t="s">
        <v>231</v>
      </c>
      <c r="G40" s="15" t="s">
        <v>231</v>
      </c>
      <c r="H40" s="15" t="s">
        <v>233</v>
      </c>
      <c r="I40" s="89" t="s">
        <v>234</v>
      </c>
    </row>
    <row r="41" spans="1:9" ht="20.100000000000001" customHeight="1" x14ac:dyDescent="0.25">
      <c r="A41" s="23">
        <v>4</v>
      </c>
      <c r="B41" s="14" t="s">
        <v>250</v>
      </c>
      <c r="C41" s="14">
        <f>data!J59</f>
        <v>238</v>
      </c>
      <c r="D41" s="14">
        <f>data!K59</f>
        <v>0</v>
      </c>
      <c r="E41" s="14">
        <f>data!L59</f>
        <v>188</v>
      </c>
      <c r="F41" s="14">
        <f>data!M59</f>
        <v>0</v>
      </c>
      <c r="G41" s="14">
        <f>data!N59</f>
        <v>0</v>
      </c>
      <c r="H41" s="14">
        <f>data!O59</f>
        <v>112</v>
      </c>
      <c r="I41" s="14">
        <f>data!P59</f>
        <v>174972</v>
      </c>
    </row>
    <row r="42" spans="1:9" ht="20.100000000000001" customHeight="1" x14ac:dyDescent="0.25">
      <c r="A42" s="23">
        <v>5</v>
      </c>
      <c r="B42" s="14" t="s">
        <v>251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5.8964157852564094</v>
      </c>
      <c r="H42" s="26">
        <f>data!O60</f>
        <v>10.279706730769238</v>
      </c>
      <c r="I42" s="26">
        <f>data!P60</f>
        <v>14.749932692307704</v>
      </c>
    </row>
    <row r="43" spans="1:9" ht="20.100000000000001" customHeight="1" x14ac:dyDescent="0.25">
      <c r="A43" s="23">
        <v>6</v>
      </c>
      <c r="B43" s="14" t="s">
        <v>252</v>
      </c>
      <c r="C43" s="14">
        <f>data!J61</f>
        <v>0</v>
      </c>
      <c r="D43" s="14">
        <f>data!K61</f>
        <v>0</v>
      </c>
      <c r="E43" s="14">
        <f>data!L61</f>
        <v>264</v>
      </c>
      <c r="F43" s="14">
        <f>data!M61</f>
        <v>0</v>
      </c>
      <c r="G43" s="14">
        <f>data!N61</f>
        <v>1626312</v>
      </c>
      <c r="H43" s="14">
        <f>data!O61</f>
        <v>1091586</v>
      </c>
      <c r="I43" s="14">
        <f>data!P61</f>
        <v>1435707</v>
      </c>
    </row>
    <row r="44" spans="1:9" ht="20.100000000000001" customHeight="1" x14ac:dyDescent="0.25">
      <c r="A44" s="23">
        <v>7</v>
      </c>
      <c r="B44" s="14" t="s">
        <v>13</v>
      </c>
      <c r="C44" s="14">
        <f>data!J62</f>
        <v>0</v>
      </c>
      <c r="D44" s="14">
        <f>data!K62</f>
        <v>0</v>
      </c>
      <c r="E44" s="14">
        <f>data!L62</f>
        <v>63</v>
      </c>
      <c r="F44" s="14">
        <f>data!M62</f>
        <v>0</v>
      </c>
      <c r="G44" s="14">
        <f>data!N62</f>
        <v>386524</v>
      </c>
      <c r="H44" s="14">
        <f>data!O62</f>
        <v>259436</v>
      </c>
      <c r="I44" s="14">
        <f>data!P62</f>
        <v>341223</v>
      </c>
    </row>
    <row r="45" spans="1:9" ht="20.100000000000001" customHeight="1" x14ac:dyDescent="0.25">
      <c r="A45" s="23">
        <v>8</v>
      </c>
      <c r="B45" s="14" t="s">
        <v>253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237457</v>
      </c>
      <c r="H45" s="14">
        <f>data!O63</f>
        <v>40203</v>
      </c>
      <c r="I45" s="14">
        <f>data!P63</f>
        <v>319760</v>
      </c>
    </row>
    <row r="46" spans="1:9" ht="20.100000000000001" customHeight="1" x14ac:dyDescent="0.25">
      <c r="A46" s="23">
        <v>9</v>
      </c>
      <c r="B46" s="14" t="s">
        <v>254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25895</v>
      </c>
      <c r="H46" s="14">
        <f>data!O64</f>
        <v>57087</v>
      </c>
      <c r="I46" s="14">
        <f>data!P64</f>
        <v>1555871</v>
      </c>
    </row>
    <row r="47" spans="1:9" ht="20.100000000000001" customHeight="1" x14ac:dyDescent="0.25">
      <c r="A47" s="23">
        <v>10</v>
      </c>
      <c r="B47" s="14" t="s">
        <v>482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483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5069</v>
      </c>
      <c r="H48" s="14">
        <f>data!O66</f>
        <v>2325</v>
      </c>
      <c r="I48" s="14">
        <f>data!P66</f>
        <v>67771</v>
      </c>
    </row>
    <row r="49" spans="1:9" ht="20.100000000000001" customHeight="1" x14ac:dyDescent="0.25">
      <c r="A49" s="23">
        <v>12</v>
      </c>
      <c r="B49" s="14" t="s">
        <v>18</v>
      </c>
      <c r="C49" s="14">
        <f>data!J67</f>
        <v>1797</v>
      </c>
      <c r="D49" s="14">
        <f>data!K67</f>
        <v>0</v>
      </c>
      <c r="E49" s="14">
        <f>data!L67</f>
        <v>45543</v>
      </c>
      <c r="F49" s="14">
        <f>data!M67</f>
        <v>0</v>
      </c>
      <c r="G49" s="14">
        <f>data!N67</f>
        <v>6031</v>
      </c>
      <c r="H49" s="14">
        <f>data!O67</f>
        <v>57055</v>
      </c>
      <c r="I49" s="14">
        <f>data!P67</f>
        <v>203102</v>
      </c>
    </row>
    <row r="50" spans="1:9" ht="20.100000000000001" customHeight="1" x14ac:dyDescent="0.25">
      <c r="A50" s="23">
        <v>13</v>
      </c>
      <c r="B50" s="14" t="s">
        <v>513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683</v>
      </c>
      <c r="H50" s="14">
        <f>data!O68</f>
        <v>669</v>
      </c>
      <c r="I50" s="14">
        <f>data!P68</f>
        <v>137921</v>
      </c>
    </row>
    <row r="51" spans="1:9" ht="20.100000000000001" customHeight="1" x14ac:dyDescent="0.25">
      <c r="A51" s="23">
        <v>14</v>
      </c>
      <c r="B51" s="14" t="s">
        <v>258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48606</v>
      </c>
      <c r="H51" s="14">
        <f>data!O69</f>
        <v>14856</v>
      </c>
      <c r="I51" s="14">
        <f>data!P69</f>
        <v>55945</v>
      </c>
    </row>
    <row r="52" spans="1:9" ht="20.100000000000001" customHeight="1" x14ac:dyDescent="0.25">
      <c r="A52" s="23">
        <v>15</v>
      </c>
      <c r="B52" s="14" t="s">
        <v>259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967</v>
      </c>
      <c r="C53" s="14">
        <f>data!J71</f>
        <v>1797</v>
      </c>
      <c r="D53" s="14">
        <f>data!K71</f>
        <v>0</v>
      </c>
      <c r="E53" s="14">
        <f>data!L71</f>
        <v>45870</v>
      </c>
      <c r="F53" s="14">
        <f>data!M71</f>
        <v>0</v>
      </c>
      <c r="G53" s="14">
        <f>data!N71</f>
        <v>2336577</v>
      </c>
      <c r="H53" s="14">
        <f>data!O71</f>
        <v>1523217</v>
      </c>
      <c r="I53" s="14">
        <f>data!P71</f>
        <v>4117300</v>
      </c>
    </row>
    <row r="54" spans="1:9" ht="20.100000000000001" customHeight="1" x14ac:dyDescent="0.25">
      <c r="A54" s="23">
        <v>17</v>
      </c>
      <c r="B54" s="14" t="s">
        <v>261</v>
      </c>
      <c r="C54" s="207"/>
      <c r="D54" s="207"/>
      <c r="E54" s="207"/>
      <c r="F54" s="207"/>
      <c r="G54" s="207"/>
      <c r="H54" s="207"/>
      <c r="I54" s="207"/>
    </row>
    <row r="55" spans="1:9" ht="20.100000000000001" customHeight="1" x14ac:dyDescent="0.25">
      <c r="A55" s="23">
        <v>18</v>
      </c>
      <c r="B55" s="14" t="s">
        <v>968</v>
      </c>
      <c r="C55" s="48">
        <f>+data!M675</f>
        <v>15777</v>
      </c>
      <c r="D55" s="48">
        <f>+data!M676</f>
        <v>0</v>
      </c>
      <c r="E55" s="48">
        <f>+data!M677</f>
        <v>87435</v>
      </c>
      <c r="F55" s="48">
        <f>+data!M678</f>
        <v>0</v>
      </c>
      <c r="G55" s="48">
        <f>+data!M679</f>
        <v>262252</v>
      </c>
      <c r="H55" s="48">
        <f>+data!M680</f>
        <v>436978</v>
      </c>
      <c r="I55" s="48">
        <f>+data!M681</f>
        <v>1882575</v>
      </c>
    </row>
    <row r="56" spans="1:9" ht="20.100000000000001" customHeight="1" x14ac:dyDescent="0.25">
      <c r="A56" s="23">
        <v>19</v>
      </c>
      <c r="B56" s="48" t="s">
        <v>969</v>
      </c>
      <c r="C56" s="14">
        <f>data!J73</f>
        <v>369081</v>
      </c>
      <c r="D56" s="14">
        <f>data!K73</f>
        <v>0</v>
      </c>
      <c r="E56" s="14">
        <f>data!L73</f>
        <v>390619</v>
      </c>
      <c r="F56" s="14">
        <f>data!M73</f>
        <v>0</v>
      </c>
      <c r="G56" s="14">
        <f>data!N73</f>
        <v>2136591</v>
      </c>
      <c r="H56" s="14">
        <f>data!O73</f>
        <v>1014567</v>
      </c>
      <c r="I56" s="14">
        <f>data!P73</f>
        <v>10953306</v>
      </c>
    </row>
    <row r="57" spans="1:9" ht="20.100000000000001" customHeight="1" x14ac:dyDescent="0.25">
      <c r="A57" s="23">
        <v>20</v>
      </c>
      <c r="B57" s="48" t="s">
        <v>970</v>
      </c>
      <c r="C57" s="14">
        <f>data!J74</f>
        <v>1026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382109</v>
      </c>
      <c r="H57" s="14">
        <f>data!O74</f>
        <v>387074</v>
      </c>
      <c r="I57" s="14">
        <f>data!P74</f>
        <v>12394705</v>
      </c>
    </row>
    <row r="58" spans="1:9" ht="20.100000000000001" customHeight="1" x14ac:dyDescent="0.25">
      <c r="A58" s="23">
        <v>21</v>
      </c>
      <c r="B58" s="48" t="s">
        <v>971</v>
      </c>
      <c r="C58" s="14">
        <f>data!J75</f>
        <v>370107</v>
      </c>
      <c r="D58" s="14">
        <f>data!K75</f>
        <v>0</v>
      </c>
      <c r="E58" s="14">
        <f>data!L75</f>
        <v>390619</v>
      </c>
      <c r="F58" s="14">
        <f>data!M75</f>
        <v>0</v>
      </c>
      <c r="G58" s="14">
        <f>data!N75</f>
        <v>2518700</v>
      </c>
      <c r="H58" s="14">
        <f>data!O75</f>
        <v>1401641</v>
      </c>
      <c r="I58" s="14">
        <f>data!P75</f>
        <v>23348011</v>
      </c>
    </row>
    <row r="59" spans="1:9" ht="20.100000000000001" customHeight="1" x14ac:dyDescent="0.25">
      <c r="A59" s="23" t="s">
        <v>972</v>
      </c>
      <c r="B59" s="60"/>
      <c r="C59" s="207"/>
      <c r="D59" s="207"/>
      <c r="E59" s="207"/>
      <c r="F59" s="207"/>
      <c r="G59" s="207"/>
      <c r="H59" s="207"/>
      <c r="I59" s="207"/>
    </row>
    <row r="60" spans="1:9" ht="20.100000000000001" customHeight="1" x14ac:dyDescent="0.25">
      <c r="A60" s="23">
        <v>22</v>
      </c>
      <c r="B60" s="14" t="s">
        <v>973</v>
      </c>
      <c r="C60" s="14">
        <f>data!J76</f>
        <v>86.40000000000002</v>
      </c>
      <c r="D60" s="14">
        <f>data!K76</f>
        <v>0</v>
      </c>
      <c r="E60" s="14">
        <f>data!L76</f>
        <v>2190.0999999999995</v>
      </c>
      <c r="F60" s="14">
        <f>data!M76</f>
        <v>0</v>
      </c>
      <c r="G60" s="14">
        <f>data!N76</f>
        <v>290</v>
      </c>
      <c r="H60" s="14">
        <f>data!O76</f>
        <v>2743.6999999999989</v>
      </c>
      <c r="I60" s="14">
        <f>data!P76</f>
        <v>9766.899999999996</v>
      </c>
    </row>
    <row r="61" spans="1:9" ht="20.100000000000001" customHeight="1" x14ac:dyDescent="0.25">
      <c r="A61" s="23">
        <v>23</v>
      </c>
      <c r="B61" s="14" t="s">
        <v>974</v>
      </c>
      <c r="C61" s="14">
        <f>data!J77</f>
        <v>0</v>
      </c>
      <c r="D61" s="14">
        <f>data!K77</f>
        <v>0</v>
      </c>
      <c r="E61" s="14">
        <f>data!L77</f>
        <v>642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975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3423.0764827513894</v>
      </c>
      <c r="I62" s="14">
        <f>data!P78</f>
        <v>14911.187355073223</v>
      </c>
    </row>
    <row r="63" spans="1:9" ht="20.100000000000001" customHeight="1" x14ac:dyDescent="0.25">
      <c r="A63" s="23">
        <v>25</v>
      </c>
      <c r="B63" s="14" t="s">
        <v>976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10596</v>
      </c>
      <c r="I63" s="14">
        <f>data!P79</f>
        <v>46157</v>
      </c>
    </row>
    <row r="64" spans="1:9" ht="20.100000000000001" customHeight="1" x14ac:dyDescent="0.25">
      <c r="A64" s="23">
        <v>26</v>
      </c>
      <c r="B64" s="14" t="s">
        <v>269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9.9805721153846214</v>
      </c>
      <c r="I64" s="26">
        <f>data!P80</f>
        <v>9.5897692307692335</v>
      </c>
    </row>
    <row r="65" spans="1:9" ht="20.100000000000001" customHeight="1" x14ac:dyDescent="0.25">
      <c r="A65" s="4" t="s">
        <v>960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980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Jefferson County Public Hospital District No 2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225</v>
      </c>
      <c r="C69" s="15" t="s">
        <v>39</v>
      </c>
      <c r="D69" s="15" t="s">
        <v>40</v>
      </c>
      <c r="E69" s="15" t="s">
        <v>41</v>
      </c>
      <c r="F69" s="15" t="s">
        <v>42</v>
      </c>
      <c r="G69" s="15" t="s">
        <v>43</v>
      </c>
      <c r="H69" s="15" t="s">
        <v>44</v>
      </c>
      <c r="I69" s="15" t="s">
        <v>45</v>
      </c>
    </row>
    <row r="70" spans="1:9" ht="20.100000000000001" customHeight="1" x14ac:dyDescent="0.25">
      <c r="A70" s="81">
        <v>2</v>
      </c>
      <c r="B70" s="17" t="s">
        <v>962</v>
      </c>
      <c r="C70" s="18" t="s">
        <v>121</v>
      </c>
      <c r="D70" s="25"/>
      <c r="E70" s="18" t="s">
        <v>123</v>
      </c>
      <c r="F70" s="18" t="s">
        <v>124</v>
      </c>
      <c r="G70" s="25"/>
      <c r="H70" s="18" t="s">
        <v>126</v>
      </c>
      <c r="I70" s="18" t="s">
        <v>127</v>
      </c>
    </row>
    <row r="71" spans="1:9" ht="20.100000000000001" customHeight="1" x14ac:dyDescent="0.25">
      <c r="A71" s="82"/>
      <c r="B71" s="83"/>
      <c r="C71" s="18" t="s">
        <v>187</v>
      </c>
      <c r="D71" s="18" t="s">
        <v>981</v>
      </c>
      <c r="E71" s="18" t="s">
        <v>185</v>
      </c>
      <c r="F71" s="18" t="s">
        <v>188</v>
      </c>
      <c r="G71" s="18" t="s">
        <v>125</v>
      </c>
      <c r="H71" s="18" t="s">
        <v>189</v>
      </c>
      <c r="I71" s="18" t="s">
        <v>190</v>
      </c>
    </row>
    <row r="72" spans="1:9" ht="20.100000000000001" customHeight="1" x14ac:dyDescent="0.25">
      <c r="A72" s="23">
        <v>3</v>
      </c>
      <c r="B72" s="14" t="s">
        <v>966</v>
      </c>
      <c r="C72" s="15" t="s">
        <v>982</v>
      </c>
      <c r="D72" s="89" t="s">
        <v>983</v>
      </c>
      <c r="E72" s="208"/>
      <c r="F72" s="208"/>
      <c r="G72" s="89" t="s">
        <v>984</v>
      </c>
      <c r="H72" s="89" t="s">
        <v>984</v>
      </c>
      <c r="I72" s="15" t="s">
        <v>239</v>
      </c>
    </row>
    <row r="73" spans="1:9" ht="20.100000000000001" customHeight="1" x14ac:dyDescent="0.25">
      <c r="A73" s="23">
        <v>4</v>
      </c>
      <c r="B73" s="14" t="s">
        <v>250</v>
      </c>
      <c r="C73" s="14">
        <f>data!Q59</f>
        <v>37402</v>
      </c>
      <c r="D73" s="48">
        <f>data!R59</f>
        <v>173729</v>
      </c>
      <c r="E73" s="208"/>
      <c r="F73" s="208"/>
      <c r="G73" s="14">
        <f>data!U59</f>
        <v>221752</v>
      </c>
      <c r="H73" s="14">
        <f>data!V59</f>
        <v>1223</v>
      </c>
      <c r="I73" s="14">
        <f>data!W59</f>
        <v>2246</v>
      </c>
    </row>
    <row r="74" spans="1:9" ht="20.100000000000001" customHeight="1" x14ac:dyDescent="0.25">
      <c r="A74" s="23">
        <v>5</v>
      </c>
      <c r="B74" s="14" t="s">
        <v>251</v>
      </c>
      <c r="C74" s="26">
        <f>data!Q60</f>
        <v>0.48168269230769228</v>
      </c>
      <c r="D74" s="26">
        <f>data!R60</f>
        <v>5</v>
      </c>
      <c r="E74" s="26">
        <f>data!S60</f>
        <v>2.7145673076923069</v>
      </c>
      <c r="F74" s="26">
        <f>data!T60</f>
        <v>0</v>
      </c>
      <c r="G74" s="26">
        <f>data!U60</f>
        <v>25.407504807692323</v>
      </c>
      <c r="H74" s="26">
        <f>data!V60</f>
        <v>6.0961538461538456E-2</v>
      </c>
      <c r="I74" s="26">
        <f>data!W60</f>
        <v>1.5808173076923078</v>
      </c>
    </row>
    <row r="75" spans="1:9" ht="20.100000000000001" customHeight="1" x14ac:dyDescent="0.25">
      <c r="A75" s="23">
        <v>6</v>
      </c>
      <c r="B75" s="14" t="s">
        <v>252</v>
      </c>
      <c r="C75" s="14">
        <f>data!Q61</f>
        <v>37819</v>
      </c>
      <c r="D75" s="14">
        <f>data!R61</f>
        <v>1101861</v>
      </c>
      <c r="E75" s="14">
        <f>data!S61</f>
        <v>129888</v>
      </c>
      <c r="F75" s="14">
        <f>data!T61</f>
        <v>0</v>
      </c>
      <c r="G75" s="14">
        <f>data!U61</f>
        <v>1700148</v>
      </c>
      <c r="H75" s="14">
        <f>data!V61</f>
        <v>0</v>
      </c>
      <c r="I75" s="14">
        <f>data!W61</f>
        <v>151627</v>
      </c>
    </row>
    <row r="76" spans="1:9" ht="20.100000000000001" customHeight="1" x14ac:dyDescent="0.25">
      <c r="A76" s="23">
        <v>7</v>
      </c>
      <c r="B76" s="14" t="s">
        <v>13</v>
      </c>
      <c r="C76" s="14">
        <f>data!Q62</f>
        <v>8988</v>
      </c>
      <c r="D76" s="14">
        <f>data!R62</f>
        <v>261878</v>
      </c>
      <c r="E76" s="14">
        <f>data!S62</f>
        <v>30870</v>
      </c>
      <c r="F76" s="14">
        <f>data!T62</f>
        <v>0</v>
      </c>
      <c r="G76" s="14">
        <f>data!U62</f>
        <v>404073</v>
      </c>
      <c r="H76" s="14">
        <f>data!V62</f>
        <v>0</v>
      </c>
      <c r="I76" s="14">
        <f>data!W62</f>
        <v>36037</v>
      </c>
    </row>
    <row r="77" spans="1:9" ht="20.100000000000001" customHeight="1" x14ac:dyDescent="0.25">
      <c r="A77" s="23">
        <v>8</v>
      </c>
      <c r="B77" s="14" t="s">
        <v>253</v>
      </c>
      <c r="C77" s="14">
        <f>data!Q63</f>
        <v>0</v>
      </c>
      <c r="D77" s="14">
        <f>data!R63</f>
        <v>0</v>
      </c>
      <c r="E77" s="14">
        <f>data!S63</f>
        <v>24832</v>
      </c>
      <c r="F77" s="14">
        <f>data!T63</f>
        <v>0</v>
      </c>
      <c r="G77" s="14">
        <f>data!U63</f>
        <v>144923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254</v>
      </c>
      <c r="C78" s="14">
        <f>data!Q64</f>
        <v>7120</v>
      </c>
      <c r="D78" s="14">
        <f>data!R64</f>
        <v>109728</v>
      </c>
      <c r="E78" s="14">
        <f>data!S64</f>
        <v>1723873</v>
      </c>
      <c r="F78" s="14">
        <f>data!T64</f>
        <v>0</v>
      </c>
      <c r="G78" s="14">
        <f>data!U64</f>
        <v>1263236</v>
      </c>
      <c r="H78" s="14">
        <f>data!V64</f>
        <v>0</v>
      </c>
      <c r="I78" s="14">
        <f>data!W64</f>
        <v>33376</v>
      </c>
    </row>
    <row r="79" spans="1:9" ht="20.100000000000001" customHeight="1" x14ac:dyDescent="0.25">
      <c r="A79" s="23">
        <v>10</v>
      </c>
      <c r="B79" s="14" t="s">
        <v>482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4213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483</v>
      </c>
      <c r="C80" s="14">
        <f>data!Q66</f>
        <v>0</v>
      </c>
      <c r="D80" s="14">
        <f>data!R66</f>
        <v>10576</v>
      </c>
      <c r="E80" s="14">
        <f>data!S66</f>
        <v>0</v>
      </c>
      <c r="F80" s="14">
        <f>data!T66</f>
        <v>0</v>
      </c>
      <c r="G80" s="14">
        <f>data!U66</f>
        <v>985054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18</v>
      </c>
      <c r="C81" s="14">
        <f>data!Q67</f>
        <v>12238</v>
      </c>
      <c r="D81" s="14">
        <f>data!R67</f>
        <v>2828</v>
      </c>
      <c r="E81" s="14">
        <f>data!S67</f>
        <v>15515</v>
      </c>
      <c r="F81" s="14">
        <f>data!T67</f>
        <v>0</v>
      </c>
      <c r="G81" s="14">
        <f>data!U67</f>
        <v>81401</v>
      </c>
      <c r="H81" s="14">
        <f>data!V67</f>
        <v>0</v>
      </c>
      <c r="I81" s="14">
        <f>data!W67</f>
        <v>23024</v>
      </c>
    </row>
    <row r="82" spans="1:9" ht="20.100000000000001" customHeight="1" x14ac:dyDescent="0.25">
      <c r="A82" s="23">
        <v>13</v>
      </c>
      <c r="B82" s="14" t="s">
        <v>513</v>
      </c>
      <c r="C82" s="14">
        <f>data!Q68</f>
        <v>0</v>
      </c>
      <c r="D82" s="14">
        <f>data!R68</f>
        <v>3773</v>
      </c>
      <c r="E82" s="14">
        <f>data!S68</f>
        <v>0</v>
      </c>
      <c r="F82" s="14">
        <f>data!T68</f>
        <v>0</v>
      </c>
      <c r="G82" s="14">
        <f>data!U68</f>
        <v>208846</v>
      </c>
      <c r="H82" s="14">
        <f>data!V68</f>
        <v>0</v>
      </c>
      <c r="I82" s="14">
        <f>data!W68</f>
        <v>227537</v>
      </c>
    </row>
    <row r="83" spans="1:9" ht="20.100000000000001" customHeight="1" x14ac:dyDescent="0.25">
      <c r="A83" s="23">
        <v>14</v>
      </c>
      <c r="B83" s="14" t="s">
        <v>258</v>
      </c>
      <c r="C83" s="14">
        <f>data!Q69</f>
        <v>0</v>
      </c>
      <c r="D83" s="14">
        <f>data!R69</f>
        <v>18845</v>
      </c>
      <c r="E83" s="14">
        <f>data!S69</f>
        <v>2451</v>
      </c>
      <c r="F83" s="14">
        <f>data!T69</f>
        <v>0</v>
      </c>
      <c r="G83" s="14">
        <f>data!U69</f>
        <v>88197</v>
      </c>
      <c r="H83" s="14">
        <f>data!V69</f>
        <v>0</v>
      </c>
      <c r="I83" s="14">
        <f>data!W69</f>
        <v>150774</v>
      </c>
    </row>
    <row r="84" spans="1:9" ht="20.100000000000001" customHeight="1" x14ac:dyDescent="0.25">
      <c r="A84" s="23">
        <v>15</v>
      </c>
      <c r="B84" s="14" t="s">
        <v>259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967</v>
      </c>
      <c r="C85" s="14">
        <f>data!Q71</f>
        <v>66165</v>
      </c>
      <c r="D85" s="14">
        <f>data!R71</f>
        <v>1509489</v>
      </c>
      <c r="E85" s="14">
        <f>data!S71</f>
        <v>1927429</v>
      </c>
      <c r="F85" s="14">
        <f>data!T71</f>
        <v>0</v>
      </c>
      <c r="G85" s="14">
        <f>data!U71</f>
        <v>4880091</v>
      </c>
      <c r="H85" s="14">
        <f>data!V71</f>
        <v>0</v>
      </c>
      <c r="I85" s="14">
        <f>data!W71</f>
        <v>622375</v>
      </c>
    </row>
    <row r="86" spans="1:9" ht="20.100000000000001" customHeight="1" x14ac:dyDescent="0.25">
      <c r="A86" s="23">
        <v>17</v>
      </c>
      <c r="B86" s="14" t="s">
        <v>261</v>
      </c>
      <c r="C86" s="207"/>
      <c r="D86" s="207"/>
      <c r="E86" s="207"/>
      <c r="F86" s="207"/>
      <c r="G86" s="207"/>
      <c r="H86" s="207"/>
      <c r="I86" s="207"/>
    </row>
    <row r="87" spans="1:9" ht="20.100000000000001" customHeight="1" x14ac:dyDescent="0.25">
      <c r="A87" s="23">
        <v>18</v>
      </c>
      <c r="B87" s="14" t="s">
        <v>968</v>
      </c>
      <c r="C87" s="48">
        <f>+data!M682</f>
        <v>201904</v>
      </c>
      <c r="D87" s="48">
        <f>+data!M683</f>
        <v>494535</v>
      </c>
      <c r="E87" s="48">
        <f>+data!M684</f>
        <v>248030</v>
      </c>
      <c r="F87" s="48">
        <f>+data!M685</f>
        <v>0</v>
      </c>
      <c r="G87" s="48">
        <f>+data!M686</f>
        <v>1110697</v>
      </c>
      <c r="H87" s="48">
        <f>+data!M687</f>
        <v>1817</v>
      </c>
      <c r="I87" s="48">
        <f>+data!M688</f>
        <v>262417</v>
      </c>
    </row>
    <row r="88" spans="1:9" ht="20.100000000000001" customHeight="1" x14ac:dyDescent="0.25">
      <c r="A88" s="23">
        <v>19</v>
      </c>
      <c r="B88" s="48" t="s">
        <v>969</v>
      </c>
      <c r="C88" s="14">
        <f>data!Q73</f>
        <v>648113</v>
      </c>
      <c r="D88" s="14">
        <f>data!R73</f>
        <v>2975326</v>
      </c>
      <c r="E88" s="14">
        <f>data!S73</f>
        <v>18784</v>
      </c>
      <c r="F88" s="14">
        <f>data!T73</f>
        <v>0</v>
      </c>
      <c r="G88" s="14">
        <f>data!U73</f>
        <v>1744219</v>
      </c>
      <c r="H88" s="14">
        <f>data!V73</f>
        <v>0</v>
      </c>
      <c r="I88" s="14">
        <f>data!W73</f>
        <v>354289</v>
      </c>
    </row>
    <row r="89" spans="1:9" ht="20.100000000000001" customHeight="1" x14ac:dyDescent="0.25">
      <c r="A89" s="23">
        <v>20</v>
      </c>
      <c r="B89" s="48" t="s">
        <v>970</v>
      </c>
      <c r="C89" s="14">
        <f>data!Q74</f>
        <v>4031850</v>
      </c>
      <c r="D89" s="14">
        <f>data!R74</f>
        <v>6962965</v>
      </c>
      <c r="E89" s="14">
        <f>data!S74</f>
        <v>608951</v>
      </c>
      <c r="F89" s="14">
        <f>data!T74</f>
        <v>0</v>
      </c>
      <c r="G89" s="14">
        <f>data!U74</f>
        <v>14679434</v>
      </c>
      <c r="H89" s="14">
        <f>data!V74</f>
        <v>25768</v>
      </c>
      <c r="I89" s="14">
        <f>data!W74</f>
        <v>4855061</v>
      </c>
    </row>
    <row r="90" spans="1:9" ht="20.100000000000001" customHeight="1" x14ac:dyDescent="0.25">
      <c r="A90" s="23">
        <v>21</v>
      </c>
      <c r="B90" s="48" t="s">
        <v>971</v>
      </c>
      <c r="C90" s="14">
        <f>data!Q75</f>
        <v>4679963</v>
      </c>
      <c r="D90" s="14">
        <f>data!R75</f>
        <v>9938291</v>
      </c>
      <c r="E90" s="14">
        <f>data!S75</f>
        <v>627735</v>
      </c>
      <c r="F90" s="14">
        <f>data!T75</f>
        <v>0</v>
      </c>
      <c r="G90" s="14">
        <f>data!U75</f>
        <v>16423653</v>
      </c>
      <c r="H90" s="14">
        <f>data!V75</f>
        <v>25768</v>
      </c>
      <c r="I90" s="14">
        <f>data!W75</f>
        <v>5209350</v>
      </c>
    </row>
    <row r="91" spans="1:9" ht="20.100000000000001" customHeight="1" x14ac:dyDescent="0.25">
      <c r="A91" s="23" t="s">
        <v>972</v>
      </c>
      <c r="B91" s="60"/>
      <c r="C91" s="207"/>
      <c r="D91" s="207"/>
      <c r="E91" s="207"/>
      <c r="F91" s="207"/>
      <c r="G91" s="207"/>
      <c r="H91" s="207"/>
      <c r="I91" s="207"/>
    </row>
    <row r="92" spans="1:9" ht="20.100000000000001" customHeight="1" x14ac:dyDescent="0.25">
      <c r="A92" s="23">
        <v>22</v>
      </c>
      <c r="B92" s="14" t="s">
        <v>973</v>
      </c>
      <c r="C92" s="14">
        <f>data!Q76</f>
        <v>588.5</v>
      </c>
      <c r="D92" s="14">
        <f>data!R76</f>
        <v>135.99999999999997</v>
      </c>
      <c r="E92" s="14">
        <f>data!S76</f>
        <v>746.09999999999991</v>
      </c>
      <c r="F92" s="14">
        <f>data!T76</f>
        <v>0</v>
      </c>
      <c r="G92" s="14">
        <f>data!U76</f>
        <v>3914.4666666666676</v>
      </c>
      <c r="H92" s="14">
        <f>data!V76</f>
        <v>0</v>
      </c>
      <c r="I92" s="14">
        <f>data!W76</f>
        <v>1107.2</v>
      </c>
    </row>
    <row r="93" spans="1:9" ht="20.100000000000001" customHeight="1" x14ac:dyDescent="0.25">
      <c r="A93" s="23">
        <v>23</v>
      </c>
      <c r="B93" s="14" t="s">
        <v>974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975</v>
      </c>
      <c r="C94" s="14">
        <f>data!Q78</f>
        <v>0</v>
      </c>
      <c r="D94" s="14">
        <f>data!R78</f>
        <v>0</v>
      </c>
      <c r="E94" s="14">
        <f>data!S78</f>
        <v>1085.1372126804376</v>
      </c>
      <c r="F94" s="14">
        <f>data!T78</f>
        <v>0</v>
      </c>
      <c r="G94" s="14">
        <f>data!U78</f>
        <v>182.84836629268466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976</v>
      </c>
      <c r="C95" s="14">
        <f>data!Q79</f>
        <v>0</v>
      </c>
      <c r="D95" s="14">
        <f>data!R79</f>
        <v>0</v>
      </c>
      <c r="E95" s="14">
        <f>data!S79</f>
        <v>3359</v>
      </c>
      <c r="F95" s="14">
        <f>data!T79</f>
        <v>0</v>
      </c>
      <c r="G95" s="14">
        <f>data!U79</f>
        <v>566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269</v>
      </c>
      <c r="C96" s="84">
        <f>data!Q80</f>
        <v>0.48168269230769228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4.9374999999999995E-2</v>
      </c>
      <c r="I96" s="84">
        <f>data!W80</f>
        <v>0</v>
      </c>
    </row>
    <row r="97" spans="1:9" ht="20.100000000000001" customHeight="1" x14ac:dyDescent="0.25">
      <c r="A97" s="4" t="s">
        <v>960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985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Jefferson County Public Hospital District No 2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225</v>
      </c>
      <c r="C101" s="15" t="s">
        <v>46</v>
      </c>
      <c r="D101" s="15" t="s">
        <v>47</v>
      </c>
      <c r="E101" s="15" t="s">
        <v>48</v>
      </c>
      <c r="F101" s="15" t="s">
        <v>49</v>
      </c>
      <c r="G101" s="15" t="s">
        <v>50</v>
      </c>
      <c r="H101" s="15" t="s">
        <v>51</v>
      </c>
      <c r="I101" s="15" t="s">
        <v>52</v>
      </c>
    </row>
    <row r="102" spans="1:9" ht="20.100000000000001" customHeight="1" x14ac:dyDescent="0.25">
      <c r="A102" s="81">
        <v>2</v>
      </c>
      <c r="B102" s="17" t="s">
        <v>962</v>
      </c>
      <c r="C102" s="18" t="s">
        <v>986</v>
      </c>
      <c r="D102" s="18" t="s">
        <v>987</v>
      </c>
      <c r="E102" s="18" t="s">
        <v>987</v>
      </c>
      <c r="F102" s="18" t="s">
        <v>130</v>
      </c>
      <c r="G102" s="25"/>
      <c r="H102" s="18" t="s">
        <v>132</v>
      </c>
      <c r="I102" s="25"/>
    </row>
    <row r="103" spans="1:9" ht="20.100000000000001" customHeight="1" x14ac:dyDescent="0.25">
      <c r="A103" s="82"/>
      <c r="B103" s="83"/>
      <c r="C103" s="18" t="s">
        <v>191</v>
      </c>
      <c r="D103" s="18" t="s">
        <v>192</v>
      </c>
      <c r="E103" s="18" t="s">
        <v>193</v>
      </c>
      <c r="F103" s="18" t="s">
        <v>194</v>
      </c>
      <c r="G103" s="18" t="s">
        <v>131</v>
      </c>
      <c r="H103" s="18" t="s">
        <v>188</v>
      </c>
      <c r="I103" s="18" t="s">
        <v>133</v>
      </c>
    </row>
    <row r="104" spans="1:9" ht="20.100000000000001" customHeight="1" x14ac:dyDescent="0.25">
      <c r="A104" s="23">
        <v>3</v>
      </c>
      <c r="B104" s="14" t="s">
        <v>966</v>
      </c>
      <c r="C104" s="89" t="s">
        <v>240</v>
      </c>
      <c r="D104" s="15" t="s">
        <v>988</v>
      </c>
      <c r="E104" s="15" t="s">
        <v>988</v>
      </c>
      <c r="F104" s="15" t="s">
        <v>988</v>
      </c>
      <c r="G104" s="208"/>
      <c r="H104" s="15" t="s">
        <v>242</v>
      </c>
      <c r="I104" s="15" t="s">
        <v>243</v>
      </c>
    </row>
    <row r="105" spans="1:9" ht="20.100000000000001" customHeight="1" x14ac:dyDescent="0.25">
      <c r="A105" s="23">
        <v>4</v>
      </c>
      <c r="B105" s="14" t="s">
        <v>250</v>
      </c>
      <c r="C105" s="14">
        <f>data!X59</f>
        <v>5720</v>
      </c>
      <c r="D105" s="14">
        <f>data!Y59</f>
        <v>17752</v>
      </c>
      <c r="E105" s="14">
        <f>data!Z59</f>
        <v>0</v>
      </c>
      <c r="F105" s="14">
        <f>data!AA59</f>
        <v>436</v>
      </c>
      <c r="G105" s="208"/>
      <c r="H105" s="14">
        <f>data!AC59</f>
        <v>42603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251</v>
      </c>
      <c r="C106" s="26">
        <f>data!X60</f>
        <v>1.4874038461538461</v>
      </c>
      <c r="D106" s="26">
        <f>data!Y60</f>
        <v>19.153730769230776</v>
      </c>
      <c r="E106" s="26">
        <f>data!Z60</f>
        <v>0</v>
      </c>
      <c r="F106" s="26">
        <f>data!AA60</f>
        <v>0.85281249999999997</v>
      </c>
      <c r="G106" s="26">
        <f>data!AB60</f>
        <v>11.880235576923084</v>
      </c>
      <c r="H106" s="26">
        <f>data!AC60</f>
        <v>8.0154705769230787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252</v>
      </c>
      <c r="C107" s="14">
        <f>data!X61</f>
        <v>121235</v>
      </c>
      <c r="D107" s="14">
        <f>data!Y61</f>
        <v>1526903</v>
      </c>
      <c r="E107" s="14">
        <f>data!Z61</f>
        <v>0</v>
      </c>
      <c r="F107" s="14">
        <f>data!AA61</f>
        <v>107941</v>
      </c>
      <c r="G107" s="14">
        <f>data!AB61</f>
        <v>1169351</v>
      </c>
      <c r="H107" s="14">
        <f>data!AC61</f>
        <v>704189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13</v>
      </c>
      <c r="C108" s="14">
        <f>data!X62</f>
        <v>28814</v>
      </c>
      <c r="D108" s="14">
        <f>data!Y62</f>
        <v>362898</v>
      </c>
      <c r="E108" s="14">
        <f>data!Z62</f>
        <v>0</v>
      </c>
      <c r="F108" s="14">
        <f>data!AA62</f>
        <v>25654</v>
      </c>
      <c r="G108" s="14">
        <f>data!AB62</f>
        <v>277919</v>
      </c>
      <c r="H108" s="14">
        <f>data!AC62</f>
        <v>167364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253</v>
      </c>
      <c r="C109" s="14">
        <f>data!X63</f>
        <v>0</v>
      </c>
      <c r="D109" s="14">
        <f>data!Y63</f>
        <v>53114</v>
      </c>
      <c r="E109" s="14">
        <f>data!Z63</f>
        <v>0</v>
      </c>
      <c r="F109" s="14">
        <f>data!AA63</f>
        <v>1832</v>
      </c>
      <c r="G109" s="14">
        <f>data!AB63</f>
        <v>1106332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254</v>
      </c>
      <c r="C110" s="14">
        <f>data!X64</f>
        <v>172983</v>
      </c>
      <c r="D110" s="14">
        <f>data!Y64</f>
        <v>63490</v>
      </c>
      <c r="E110" s="14">
        <f>data!Z64</f>
        <v>0</v>
      </c>
      <c r="F110" s="14">
        <f>data!AA64</f>
        <v>103404</v>
      </c>
      <c r="G110" s="14">
        <f>data!AB64</f>
        <v>13351923</v>
      </c>
      <c r="H110" s="14">
        <f>data!AC64</f>
        <v>112556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482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7907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483</v>
      </c>
      <c r="C112" s="14">
        <f>data!X66</f>
        <v>0</v>
      </c>
      <c r="D112" s="14">
        <f>data!Y66</f>
        <v>388306</v>
      </c>
      <c r="E112" s="14">
        <f>data!Z66</f>
        <v>0</v>
      </c>
      <c r="F112" s="14">
        <f>data!AA66</f>
        <v>37045</v>
      </c>
      <c r="G112" s="14">
        <f>data!AB66</f>
        <v>330743</v>
      </c>
      <c r="H112" s="14">
        <f>data!AC66</f>
        <v>13871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18</v>
      </c>
      <c r="C113" s="14">
        <f>data!X67</f>
        <v>11100</v>
      </c>
      <c r="D113" s="14">
        <f>data!Y67</f>
        <v>114763</v>
      </c>
      <c r="E113" s="14">
        <f>data!Z67</f>
        <v>0</v>
      </c>
      <c r="F113" s="14">
        <f>data!AA67</f>
        <v>7434</v>
      </c>
      <c r="G113" s="14">
        <f>data!AB67</f>
        <v>51590</v>
      </c>
      <c r="H113" s="14">
        <f>data!AC67</f>
        <v>35430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513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215473</v>
      </c>
      <c r="H114" s="14">
        <f>data!AC68</f>
        <v>24791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258</v>
      </c>
      <c r="C115" s="14">
        <f>data!X69</f>
        <v>101431</v>
      </c>
      <c r="D115" s="14">
        <f>data!Y69</f>
        <v>194478</v>
      </c>
      <c r="E115" s="14">
        <f>data!Z69</f>
        <v>0</v>
      </c>
      <c r="F115" s="14">
        <f>data!AA69</f>
        <v>3717</v>
      </c>
      <c r="G115" s="14">
        <f>data!AB69</f>
        <v>121352</v>
      </c>
      <c r="H115" s="14">
        <f>data!AC69</f>
        <v>24956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259</v>
      </c>
      <c r="C116" s="14">
        <f>-data!X70</f>
        <v>0</v>
      </c>
      <c r="D116" s="14">
        <f>-data!Y70</f>
        <v>-980</v>
      </c>
      <c r="E116" s="14">
        <f>-data!Z70</f>
        <v>0</v>
      </c>
      <c r="F116" s="14">
        <f>-data!AA70</f>
        <v>0</v>
      </c>
      <c r="G116" s="14">
        <f>-data!AB70</f>
        <v>-496757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967</v>
      </c>
      <c r="C117" s="14">
        <f>data!X71</f>
        <v>435563</v>
      </c>
      <c r="D117" s="14">
        <f>data!Y71</f>
        <v>2702972</v>
      </c>
      <c r="E117" s="14">
        <f>data!Z71</f>
        <v>0</v>
      </c>
      <c r="F117" s="14">
        <f>data!AA71</f>
        <v>287027</v>
      </c>
      <c r="G117" s="14">
        <f>data!AB71</f>
        <v>16135833</v>
      </c>
      <c r="H117" s="14">
        <f>data!AC71</f>
        <v>1083157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261</v>
      </c>
      <c r="C118" s="207"/>
      <c r="D118" s="207"/>
      <c r="E118" s="207"/>
      <c r="F118" s="207"/>
      <c r="G118" s="207"/>
      <c r="H118" s="207"/>
      <c r="I118" s="207"/>
    </row>
    <row r="119" spans="1:9" ht="20.100000000000001" customHeight="1" x14ac:dyDescent="0.25">
      <c r="A119" s="23">
        <v>18</v>
      </c>
      <c r="B119" s="14" t="s">
        <v>968</v>
      </c>
      <c r="C119" s="48">
        <f>+data!M689</f>
        <v>605635</v>
      </c>
      <c r="D119" s="48">
        <f>+data!M690</f>
        <v>1043397</v>
      </c>
      <c r="E119" s="48">
        <f>+data!M691</f>
        <v>0</v>
      </c>
      <c r="F119" s="48">
        <f>+data!M692</f>
        <v>108591</v>
      </c>
      <c r="G119" s="48">
        <f>+data!M693</f>
        <v>3153697</v>
      </c>
      <c r="H119" s="48">
        <f>+data!M694</f>
        <v>308995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969</v>
      </c>
      <c r="C120" s="14">
        <f>data!X73</f>
        <v>1011017</v>
      </c>
      <c r="D120" s="14">
        <f>data!Y73</f>
        <v>1227847</v>
      </c>
      <c r="E120" s="14">
        <f>data!Z73</f>
        <v>0</v>
      </c>
      <c r="F120" s="14">
        <f>data!AA73</f>
        <v>37697</v>
      </c>
      <c r="G120" s="14">
        <f>data!AB73</f>
        <v>4110610</v>
      </c>
      <c r="H120" s="14">
        <f>data!AC73</f>
        <v>2882810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970</v>
      </c>
      <c r="C121" s="14">
        <f>data!X74</f>
        <v>13546033</v>
      </c>
      <c r="D121" s="14">
        <f>data!Y74</f>
        <v>11744233</v>
      </c>
      <c r="E121" s="14">
        <f>data!Z74</f>
        <v>0</v>
      </c>
      <c r="F121" s="14">
        <f>data!AA74</f>
        <v>1939368</v>
      </c>
      <c r="G121" s="14">
        <f>data!AB74</f>
        <v>37910746</v>
      </c>
      <c r="H121" s="14">
        <f>data!AC74</f>
        <v>2051031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971</v>
      </c>
      <c r="C122" s="14">
        <f>data!X75</f>
        <v>14557050</v>
      </c>
      <c r="D122" s="14">
        <f>data!Y75</f>
        <v>12972080</v>
      </c>
      <c r="E122" s="14">
        <f>data!Z75</f>
        <v>0</v>
      </c>
      <c r="F122" s="14">
        <f>data!AA75</f>
        <v>1977065</v>
      </c>
      <c r="G122" s="14">
        <f>data!AB75</f>
        <v>42021356</v>
      </c>
      <c r="H122" s="14">
        <f>data!AC75</f>
        <v>4933841</v>
      </c>
      <c r="I122" s="14">
        <f>data!AD75</f>
        <v>0</v>
      </c>
    </row>
    <row r="123" spans="1:9" ht="20.100000000000001" customHeight="1" x14ac:dyDescent="0.25">
      <c r="A123" s="23" t="s">
        <v>972</v>
      </c>
      <c r="B123" s="60"/>
      <c r="C123" s="207"/>
      <c r="D123" s="207"/>
      <c r="E123" s="207"/>
      <c r="F123" s="207"/>
      <c r="G123" s="207"/>
      <c r="H123" s="207"/>
      <c r="I123" s="207"/>
    </row>
    <row r="124" spans="1:9" ht="20.100000000000001" customHeight="1" x14ac:dyDescent="0.25">
      <c r="A124" s="23">
        <v>22</v>
      </c>
      <c r="B124" s="14" t="s">
        <v>973</v>
      </c>
      <c r="C124" s="14">
        <f>data!X76</f>
        <v>533.80000000000007</v>
      </c>
      <c r="D124" s="14">
        <f>data!Y76</f>
        <v>5518.800000000002</v>
      </c>
      <c r="E124" s="14">
        <f>data!Z76</f>
        <v>0</v>
      </c>
      <c r="F124" s="14">
        <f>data!AA76</f>
        <v>357.50000000000017</v>
      </c>
      <c r="G124" s="14">
        <f>data!AB76</f>
        <v>2480.9</v>
      </c>
      <c r="H124" s="14">
        <f>data!AC76</f>
        <v>1703.8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974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975</v>
      </c>
      <c r="C126" s="14">
        <f>data!X78</f>
        <v>0</v>
      </c>
      <c r="D126" s="14">
        <f>data!Y78</f>
        <v>10166.17533368285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976</v>
      </c>
      <c r="C127" s="14">
        <f>data!X79</f>
        <v>0</v>
      </c>
      <c r="D127" s="14">
        <f>data!Y79</f>
        <v>31469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269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0.22622596153846156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960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989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Jefferson County Public Hospital District No 2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225</v>
      </c>
      <c r="C133" s="15" t="s">
        <v>53</v>
      </c>
      <c r="D133" s="15" t="s">
        <v>54</v>
      </c>
      <c r="E133" s="15" t="s">
        <v>55</v>
      </c>
      <c r="F133" s="15" t="s">
        <v>56</v>
      </c>
      <c r="G133" s="15" t="s">
        <v>57</v>
      </c>
      <c r="H133" s="15" t="s">
        <v>58</v>
      </c>
      <c r="I133" s="15" t="s">
        <v>59</v>
      </c>
    </row>
    <row r="134" spans="1:9" ht="20.100000000000001" customHeight="1" x14ac:dyDescent="0.25">
      <c r="A134" s="81">
        <v>2</v>
      </c>
      <c r="B134" s="17" t="s">
        <v>962</v>
      </c>
      <c r="C134" s="18" t="s">
        <v>111</v>
      </c>
      <c r="D134" s="18" t="s">
        <v>112</v>
      </c>
      <c r="E134" s="18" t="s">
        <v>134</v>
      </c>
      <c r="F134" s="25"/>
      <c r="G134" s="18" t="s">
        <v>990</v>
      </c>
      <c r="H134" s="25"/>
      <c r="I134" s="18" t="s">
        <v>138</v>
      </c>
    </row>
    <row r="135" spans="1:9" ht="20.100000000000001" customHeight="1" x14ac:dyDescent="0.25">
      <c r="A135" s="82"/>
      <c r="B135" s="83"/>
      <c r="C135" s="18" t="s">
        <v>188</v>
      </c>
      <c r="D135" s="18" t="s">
        <v>195</v>
      </c>
      <c r="E135" s="18" t="s">
        <v>187</v>
      </c>
      <c r="F135" s="18" t="s">
        <v>135</v>
      </c>
      <c r="G135" s="18" t="s">
        <v>196</v>
      </c>
      <c r="H135" s="18" t="s">
        <v>137</v>
      </c>
      <c r="I135" s="18" t="s">
        <v>188</v>
      </c>
    </row>
    <row r="136" spans="1:9" ht="20.100000000000001" customHeight="1" x14ac:dyDescent="0.25">
      <c r="A136" s="23">
        <v>3</v>
      </c>
      <c r="B136" s="14" t="s">
        <v>966</v>
      </c>
      <c r="C136" s="15" t="s">
        <v>242</v>
      </c>
      <c r="D136" s="15" t="s">
        <v>244</v>
      </c>
      <c r="E136" s="15" t="s">
        <v>244</v>
      </c>
      <c r="F136" s="15" t="s">
        <v>245</v>
      </c>
      <c r="G136" s="89" t="s">
        <v>991</v>
      </c>
      <c r="H136" s="15" t="s">
        <v>244</v>
      </c>
      <c r="I136" s="15" t="s">
        <v>242</v>
      </c>
    </row>
    <row r="137" spans="1:9" ht="20.100000000000001" customHeight="1" x14ac:dyDescent="0.25">
      <c r="A137" s="23">
        <v>4</v>
      </c>
      <c r="B137" s="14" t="s">
        <v>250</v>
      </c>
      <c r="C137" s="14">
        <f>data!AE59</f>
        <v>98895</v>
      </c>
      <c r="D137" s="14">
        <f>data!AF59</f>
        <v>0</v>
      </c>
      <c r="E137" s="14">
        <f>data!AG59</f>
        <v>12684</v>
      </c>
      <c r="F137" s="14">
        <f>data!AH59</f>
        <v>0</v>
      </c>
      <c r="G137" s="14">
        <f>data!AI59</f>
        <v>17642</v>
      </c>
      <c r="H137" s="14">
        <f>data!AJ59</f>
        <v>102544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251</v>
      </c>
      <c r="C138" s="26">
        <f>data!AE60</f>
        <v>31.136274038461572</v>
      </c>
      <c r="D138" s="26">
        <f>data!AF60</f>
        <v>0</v>
      </c>
      <c r="E138" s="26">
        <f>data!AG60</f>
        <v>25.740552884615397</v>
      </c>
      <c r="F138" s="26">
        <f>data!AH60</f>
        <v>0</v>
      </c>
      <c r="G138" s="26">
        <f>data!AI60</f>
        <v>24.65959674125876</v>
      </c>
      <c r="H138" s="26">
        <f>data!AJ60</f>
        <v>171.22678424248068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252</v>
      </c>
      <c r="C139" s="14">
        <f>data!AE61</f>
        <v>2585347</v>
      </c>
      <c r="D139" s="14">
        <f>data!AF61</f>
        <v>0</v>
      </c>
      <c r="E139" s="14">
        <f>data!AG61</f>
        <v>2319942</v>
      </c>
      <c r="F139" s="14">
        <f>data!AH61</f>
        <v>0</v>
      </c>
      <c r="G139" s="14">
        <f>data!AI61</f>
        <v>2745112</v>
      </c>
      <c r="H139" s="14">
        <f>data!AJ61</f>
        <v>17396466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13</v>
      </c>
      <c r="C140" s="14">
        <f>data!AE62</f>
        <v>614457</v>
      </c>
      <c r="D140" s="14">
        <f>data!AF62</f>
        <v>0</v>
      </c>
      <c r="E140" s="14">
        <f>data!AG62</f>
        <v>551378</v>
      </c>
      <c r="F140" s="14">
        <f>data!AH62</f>
        <v>0</v>
      </c>
      <c r="G140" s="14">
        <f>data!AI62</f>
        <v>652428</v>
      </c>
      <c r="H140" s="14">
        <f>data!AJ62</f>
        <v>4134601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253</v>
      </c>
      <c r="C141" s="14">
        <f>data!AE63</f>
        <v>464591</v>
      </c>
      <c r="D141" s="14">
        <f>data!AF63</f>
        <v>0</v>
      </c>
      <c r="E141" s="14">
        <f>data!AG63</f>
        <v>2415254</v>
      </c>
      <c r="F141" s="14">
        <f>data!AH63</f>
        <v>0</v>
      </c>
      <c r="G141" s="14">
        <f>data!AI63</f>
        <v>0</v>
      </c>
      <c r="H141" s="14">
        <f>data!AJ63</f>
        <v>836144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254</v>
      </c>
      <c r="C142" s="14">
        <f>data!AE64</f>
        <v>73109</v>
      </c>
      <c r="D142" s="14">
        <f>data!AF64</f>
        <v>0</v>
      </c>
      <c r="E142" s="14">
        <f>data!AG64</f>
        <v>298765</v>
      </c>
      <c r="F142" s="14">
        <f>data!AH64</f>
        <v>0</v>
      </c>
      <c r="G142" s="14">
        <f>data!AI64</f>
        <v>396044</v>
      </c>
      <c r="H142" s="14">
        <f>data!AJ64</f>
        <v>1800499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482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141279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483</v>
      </c>
      <c r="C144" s="14">
        <f>data!AE66</f>
        <v>792</v>
      </c>
      <c r="D144" s="14">
        <f>data!AF66</f>
        <v>0</v>
      </c>
      <c r="E144" s="14">
        <f>data!AG66</f>
        <v>6480</v>
      </c>
      <c r="F144" s="14">
        <f>data!AH66</f>
        <v>0</v>
      </c>
      <c r="G144" s="14">
        <f>data!AI66</f>
        <v>17805</v>
      </c>
      <c r="H144" s="14">
        <f>data!AJ66</f>
        <v>897552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18</v>
      </c>
      <c r="C145" s="14">
        <f>data!AE67</f>
        <v>134909</v>
      </c>
      <c r="D145" s="14">
        <f>data!AF67</f>
        <v>0</v>
      </c>
      <c r="E145" s="14">
        <f>data!AG67</f>
        <v>139736</v>
      </c>
      <c r="F145" s="14">
        <f>data!AH67</f>
        <v>0</v>
      </c>
      <c r="G145" s="14">
        <f>data!AI67</f>
        <v>132484</v>
      </c>
      <c r="H145" s="14">
        <f>data!AJ67</f>
        <v>1293222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513</v>
      </c>
      <c r="C146" s="14">
        <f>data!AE68</f>
        <v>26</v>
      </c>
      <c r="D146" s="14">
        <f>data!AF68</f>
        <v>0</v>
      </c>
      <c r="E146" s="14">
        <f>data!AG68</f>
        <v>2475</v>
      </c>
      <c r="F146" s="14">
        <f>data!AH68</f>
        <v>0</v>
      </c>
      <c r="G146" s="14">
        <f>data!AI68</f>
        <v>0</v>
      </c>
      <c r="H146" s="14">
        <f>data!AJ68</f>
        <v>383345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258</v>
      </c>
      <c r="C147" s="14">
        <f>data!AE69</f>
        <v>26401</v>
      </c>
      <c r="D147" s="14">
        <f>data!AF69</f>
        <v>0</v>
      </c>
      <c r="E147" s="14">
        <f>data!AG69</f>
        <v>48399</v>
      </c>
      <c r="F147" s="14">
        <f>data!AH69</f>
        <v>0</v>
      </c>
      <c r="G147" s="14">
        <f>data!AI69</f>
        <v>47012</v>
      </c>
      <c r="H147" s="14">
        <f>data!AJ69</f>
        <v>314839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259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-1924</v>
      </c>
      <c r="H148" s="14">
        <f>-data!AJ70</f>
        <v>-319633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967</v>
      </c>
      <c r="C149" s="14">
        <f>data!AE71</f>
        <v>3899632</v>
      </c>
      <c r="D149" s="14">
        <f>data!AF71</f>
        <v>0</v>
      </c>
      <c r="E149" s="14">
        <f>data!AG71</f>
        <v>5782429</v>
      </c>
      <c r="F149" s="14">
        <f>data!AH71</f>
        <v>0</v>
      </c>
      <c r="G149" s="14">
        <f>data!AI71</f>
        <v>3988961</v>
      </c>
      <c r="H149" s="14">
        <f>data!AJ71</f>
        <v>26878314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261</v>
      </c>
      <c r="C150" s="207"/>
      <c r="D150" s="207"/>
      <c r="E150" s="207"/>
      <c r="F150" s="207"/>
      <c r="G150" s="207"/>
      <c r="H150" s="207"/>
      <c r="I150" s="207"/>
    </row>
    <row r="151" spans="1:9" ht="20.100000000000001" customHeight="1" x14ac:dyDescent="0.25">
      <c r="A151" s="23">
        <v>18</v>
      </c>
      <c r="B151" s="14" t="s">
        <v>968</v>
      </c>
      <c r="C151" s="48">
        <f>+data!M696</f>
        <v>958918</v>
      </c>
      <c r="D151" s="48">
        <f>+data!M697</f>
        <v>0</v>
      </c>
      <c r="E151" s="48">
        <f>+data!M698</f>
        <v>2590641</v>
      </c>
      <c r="F151" s="48">
        <f>+data!M699</f>
        <v>0</v>
      </c>
      <c r="G151" s="48">
        <f>+data!M700</f>
        <v>960370</v>
      </c>
      <c r="H151" s="48">
        <f>+data!M701</f>
        <v>5124780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969</v>
      </c>
      <c r="C152" s="14">
        <f>data!AE73</f>
        <v>579137</v>
      </c>
      <c r="D152" s="14">
        <f>data!AF73</f>
        <v>0</v>
      </c>
      <c r="E152" s="14">
        <f>data!AG73</f>
        <v>858095</v>
      </c>
      <c r="F152" s="14">
        <f>data!AH73</f>
        <v>0</v>
      </c>
      <c r="G152" s="14">
        <f>data!AI73</f>
        <v>21596</v>
      </c>
      <c r="H152" s="14">
        <f>data!AJ73</f>
        <v>1983809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970</v>
      </c>
      <c r="C153" s="14">
        <f>data!AE74</f>
        <v>8525409</v>
      </c>
      <c r="D153" s="14">
        <f>data!AF74</f>
        <v>0</v>
      </c>
      <c r="E153" s="14">
        <f>data!AG74</f>
        <v>33964666</v>
      </c>
      <c r="F153" s="14">
        <f>data!AH74</f>
        <v>0</v>
      </c>
      <c r="G153" s="14">
        <f>data!AI74</f>
        <v>8270782</v>
      </c>
      <c r="H153" s="14">
        <f>data!AJ74</f>
        <v>37893488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971</v>
      </c>
      <c r="C154" s="14">
        <f>data!AE75</f>
        <v>9104546</v>
      </c>
      <c r="D154" s="14">
        <f>data!AF75</f>
        <v>0</v>
      </c>
      <c r="E154" s="14">
        <f>data!AG75</f>
        <v>34822761</v>
      </c>
      <c r="F154" s="14">
        <f>data!AH75</f>
        <v>0</v>
      </c>
      <c r="G154" s="14">
        <f>data!AI75</f>
        <v>8292378</v>
      </c>
      <c r="H154" s="14">
        <f>data!AJ75</f>
        <v>39877297</v>
      </c>
      <c r="I154" s="14">
        <f>data!AK75</f>
        <v>0</v>
      </c>
    </row>
    <row r="155" spans="1:9" ht="20.100000000000001" customHeight="1" x14ac:dyDescent="0.25">
      <c r="A155" s="23" t="s">
        <v>972</v>
      </c>
      <c r="B155" s="60"/>
      <c r="C155" s="207"/>
      <c r="D155" s="207"/>
      <c r="E155" s="207"/>
      <c r="F155" s="207"/>
      <c r="G155" s="207"/>
      <c r="H155" s="207"/>
      <c r="I155" s="207"/>
    </row>
    <row r="156" spans="1:9" ht="20.100000000000001" customHeight="1" x14ac:dyDescent="0.25">
      <c r="A156" s="23">
        <v>22</v>
      </c>
      <c r="B156" s="14" t="s">
        <v>973</v>
      </c>
      <c r="C156" s="14">
        <f>data!AE76</f>
        <v>6487.5999999999985</v>
      </c>
      <c r="D156" s="14">
        <f>data!AF76</f>
        <v>0</v>
      </c>
      <c r="E156" s="14">
        <f>data!AG76</f>
        <v>6719.7000000000016</v>
      </c>
      <c r="F156" s="14">
        <f>data!AH76</f>
        <v>0</v>
      </c>
      <c r="G156" s="14">
        <f>data!AI76</f>
        <v>6371</v>
      </c>
      <c r="H156" s="14">
        <f>data!AJ76</f>
        <v>62189.299999999996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974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975</v>
      </c>
      <c r="C158" s="14">
        <f>data!AE78</f>
        <v>7749.7340264933073</v>
      </c>
      <c r="D158" s="14">
        <f>data!AF78</f>
        <v>0</v>
      </c>
      <c r="E158" s="14">
        <f>data!AG78</f>
        <v>21741.187638041312</v>
      </c>
      <c r="F158" s="14">
        <f>data!AH78</f>
        <v>0</v>
      </c>
      <c r="G158" s="14">
        <f>data!AI78</f>
        <v>3161.4030256894202</v>
      </c>
      <c r="H158" s="14">
        <f>data!AJ78</f>
        <v>6047.8873946384265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976</v>
      </c>
      <c r="C159" s="14">
        <f>data!AE79</f>
        <v>23989</v>
      </c>
      <c r="D159" s="14">
        <f>data!AF79</f>
        <v>0</v>
      </c>
      <c r="E159" s="14">
        <f>data!AG79</f>
        <v>67299</v>
      </c>
      <c r="F159" s="14">
        <f>data!AH79</f>
        <v>0</v>
      </c>
      <c r="G159" s="14">
        <f>data!AI79</f>
        <v>9786</v>
      </c>
      <c r="H159" s="14">
        <f>data!AJ79</f>
        <v>18721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269</v>
      </c>
      <c r="C160" s="26">
        <f>data!AE80</f>
        <v>0</v>
      </c>
      <c r="D160" s="26">
        <f>data!AF80</f>
        <v>0</v>
      </c>
      <c r="E160" s="26">
        <f>data!AG80</f>
        <v>14.83716346153847</v>
      </c>
      <c r="F160" s="26">
        <f>data!AH80</f>
        <v>0</v>
      </c>
      <c r="G160" s="26">
        <f>data!AI80</f>
        <v>10.268091346153847</v>
      </c>
      <c r="H160" s="26">
        <f>data!AJ80</f>
        <v>19.602120192307698</v>
      </c>
      <c r="I160" s="26">
        <f>data!AK80</f>
        <v>0</v>
      </c>
    </row>
    <row r="161" spans="1:9" ht="20.100000000000001" customHeight="1" x14ac:dyDescent="0.25">
      <c r="A161" s="4" t="s">
        <v>960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992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Jefferson County Public Hospital District No 2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225</v>
      </c>
      <c r="C165" s="15" t="s">
        <v>60</v>
      </c>
      <c r="D165" s="15" t="s">
        <v>61</v>
      </c>
      <c r="E165" s="15" t="s">
        <v>62</v>
      </c>
      <c r="F165" s="15" t="s">
        <v>63</v>
      </c>
      <c r="G165" s="15" t="s">
        <v>64</v>
      </c>
      <c r="H165" s="15" t="s">
        <v>65</v>
      </c>
      <c r="I165" s="15" t="s">
        <v>66</v>
      </c>
    </row>
    <row r="166" spans="1:9" ht="20.100000000000001" customHeight="1" x14ac:dyDescent="0.25">
      <c r="A166" s="81">
        <v>2</v>
      </c>
      <c r="B166" s="17" t="s">
        <v>962</v>
      </c>
      <c r="C166" s="18" t="s">
        <v>139</v>
      </c>
      <c r="D166" s="18" t="s">
        <v>140</v>
      </c>
      <c r="E166" s="18" t="s">
        <v>126</v>
      </c>
      <c r="F166" s="18" t="s">
        <v>141</v>
      </c>
      <c r="G166" s="18" t="s">
        <v>993</v>
      </c>
      <c r="H166" s="18" t="s">
        <v>143</v>
      </c>
      <c r="I166" s="18" t="s">
        <v>144</v>
      </c>
    </row>
    <row r="167" spans="1:9" ht="20.100000000000001" customHeight="1" x14ac:dyDescent="0.25">
      <c r="A167" s="82"/>
      <c r="B167" s="83"/>
      <c r="C167" s="18" t="s">
        <v>188</v>
      </c>
      <c r="D167" s="18" t="s">
        <v>188</v>
      </c>
      <c r="E167" s="18" t="s">
        <v>994</v>
      </c>
      <c r="F167" s="18" t="s">
        <v>198</v>
      </c>
      <c r="G167" s="18" t="s">
        <v>137</v>
      </c>
      <c r="H167" s="88" t="s">
        <v>995</v>
      </c>
      <c r="I167" s="18" t="s">
        <v>185</v>
      </c>
    </row>
    <row r="168" spans="1:9" ht="20.100000000000001" customHeight="1" x14ac:dyDescent="0.25">
      <c r="A168" s="23">
        <v>3</v>
      </c>
      <c r="B168" s="14" t="s">
        <v>966</v>
      </c>
      <c r="C168" s="15" t="s">
        <v>242</v>
      </c>
      <c r="D168" s="15" t="s">
        <v>242</v>
      </c>
      <c r="E168" s="15" t="s">
        <v>233</v>
      </c>
      <c r="F168" s="15" t="s">
        <v>243</v>
      </c>
      <c r="G168" s="15" t="s">
        <v>244</v>
      </c>
      <c r="H168" s="15" t="s">
        <v>245</v>
      </c>
      <c r="I168" s="15" t="s">
        <v>244</v>
      </c>
    </row>
    <row r="169" spans="1:9" ht="20.100000000000001" customHeight="1" x14ac:dyDescent="0.25">
      <c r="A169" s="23">
        <v>4</v>
      </c>
      <c r="B169" s="14" t="s">
        <v>250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17968</v>
      </c>
    </row>
    <row r="170" spans="1:9" ht="20.100000000000001" customHeight="1" x14ac:dyDescent="0.25">
      <c r="A170" s="23">
        <v>5</v>
      </c>
      <c r="B170" s="14" t="s">
        <v>251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35.577307692307734</v>
      </c>
    </row>
    <row r="171" spans="1:9" ht="20.100000000000001" customHeight="1" x14ac:dyDescent="0.25">
      <c r="A171" s="23">
        <v>6</v>
      </c>
      <c r="B171" s="14" t="s">
        <v>252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3202624</v>
      </c>
    </row>
    <row r="172" spans="1:9" ht="20.100000000000001" customHeight="1" x14ac:dyDescent="0.25">
      <c r="A172" s="23">
        <v>7</v>
      </c>
      <c r="B172" s="14" t="s">
        <v>13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761165</v>
      </c>
    </row>
    <row r="173" spans="1:9" ht="20.100000000000001" customHeight="1" x14ac:dyDescent="0.25">
      <c r="A173" s="23">
        <v>8</v>
      </c>
      <c r="B173" s="14" t="s">
        <v>253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87990</v>
      </c>
    </row>
    <row r="174" spans="1:9" ht="20.100000000000001" customHeight="1" x14ac:dyDescent="0.25">
      <c r="A174" s="23">
        <v>9</v>
      </c>
      <c r="B174" s="14" t="s">
        <v>254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336584</v>
      </c>
    </row>
    <row r="175" spans="1:9" ht="20.100000000000001" customHeight="1" x14ac:dyDescent="0.25">
      <c r="A175" s="23">
        <v>10</v>
      </c>
      <c r="B175" s="14" t="s">
        <v>482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7155</v>
      </c>
    </row>
    <row r="176" spans="1:9" ht="20.100000000000001" customHeight="1" x14ac:dyDescent="0.25">
      <c r="A176" s="23">
        <v>11</v>
      </c>
      <c r="B176" s="14" t="s">
        <v>483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283680</v>
      </c>
    </row>
    <row r="177" spans="1:9" ht="20.100000000000001" customHeight="1" x14ac:dyDescent="0.25">
      <c r="A177" s="23">
        <v>12</v>
      </c>
      <c r="B177" s="14" t="s">
        <v>18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92184</v>
      </c>
    </row>
    <row r="178" spans="1:9" ht="20.100000000000001" customHeight="1" x14ac:dyDescent="0.25">
      <c r="A178" s="23">
        <v>13</v>
      </c>
      <c r="B178" s="14" t="s">
        <v>513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137536</v>
      </c>
    </row>
    <row r="179" spans="1:9" ht="20.100000000000001" customHeight="1" x14ac:dyDescent="0.25">
      <c r="A179" s="23">
        <v>14</v>
      </c>
      <c r="B179" s="14" t="s">
        <v>258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203081</v>
      </c>
    </row>
    <row r="180" spans="1:9" ht="20.100000000000001" customHeight="1" x14ac:dyDescent="0.25">
      <c r="A180" s="23">
        <v>15</v>
      </c>
      <c r="B180" s="14" t="s">
        <v>259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967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5111999</v>
      </c>
    </row>
    <row r="182" spans="1:9" ht="20.100000000000001" customHeight="1" x14ac:dyDescent="0.25">
      <c r="A182" s="23">
        <v>17</v>
      </c>
      <c r="B182" s="14" t="s">
        <v>261</v>
      </c>
      <c r="C182" s="207"/>
      <c r="D182" s="207"/>
      <c r="E182" s="207"/>
      <c r="F182" s="207"/>
      <c r="G182" s="207"/>
      <c r="H182" s="207"/>
      <c r="I182" s="207"/>
    </row>
    <row r="183" spans="1:9" ht="20.100000000000001" customHeight="1" x14ac:dyDescent="0.25">
      <c r="A183" s="23">
        <v>18</v>
      </c>
      <c r="B183" s="14" t="s">
        <v>968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890043</v>
      </c>
    </row>
    <row r="184" spans="1:9" ht="20.100000000000001" customHeight="1" x14ac:dyDescent="0.25">
      <c r="A184" s="23">
        <v>19</v>
      </c>
      <c r="B184" s="48" t="s">
        <v>969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970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5166826</v>
      </c>
    </row>
    <row r="186" spans="1:9" ht="20.100000000000001" customHeight="1" x14ac:dyDescent="0.25">
      <c r="A186" s="23">
        <v>21</v>
      </c>
      <c r="B186" s="48" t="s">
        <v>971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5166826</v>
      </c>
    </row>
    <row r="187" spans="1:9" ht="20.100000000000001" customHeight="1" x14ac:dyDescent="0.25">
      <c r="A187" s="23" t="s">
        <v>972</v>
      </c>
      <c r="B187" s="60"/>
      <c r="C187" s="207"/>
      <c r="D187" s="207"/>
      <c r="E187" s="207"/>
      <c r="F187" s="207"/>
      <c r="G187" s="207"/>
      <c r="H187" s="207"/>
      <c r="I187" s="207"/>
    </row>
    <row r="188" spans="1:9" ht="20.100000000000001" customHeight="1" x14ac:dyDescent="0.25">
      <c r="A188" s="23">
        <v>22</v>
      </c>
      <c r="B188" s="14" t="s">
        <v>973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4433</v>
      </c>
    </row>
    <row r="189" spans="1:9" ht="20.100000000000001" customHeight="1" x14ac:dyDescent="0.25">
      <c r="A189" s="23">
        <v>23</v>
      </c>
      <c r="B189" s="14" t="s">
        <v>974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975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976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269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14.694567307692319</v>
      </c>
    </row>
    <row r="193" spans="1:9" ht="20.100000000000001" customHeight="1" x14ac:dyDescent="0.25">
      <c r="A193" s="4" t="s">
        <v>960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996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Jefferson County Public Hospital District No 2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225</v>
      </c>
      <c r="C197" s="15" t="s">
        <v>67</v>
      </c>
      <c r="D197" s="15" t="s">
        <v>68</v>
      </c>
      <c r="E197" s="15" t="s">
        <v>69</v>
      </c>
      <c r="F197" s="15" t="s">
        <v>70</v>
      </c>
      <c r="G197" s="15" t="s">
        <v>71</v>
      </c>
      <c r="H197" s="15" t="s">
        <v>72</v>
      </c>
      <c r="I197" s="15" t="s">
        <v>73</v>
      </c>
    </row>
    <row r="198" spans="1:9" ht="20.100000000000001" customHeight="1" x14ac:dyDescent="0.25">
      <c r="A198" s="81">
        <v>2</v>
      </c>
      <c r="B198" s="17" t="s">
        <v>962</v>
      </c>
      <c r="C198" s="25"/>
      <c r="D198" s="18" t="s">
        <v>146</v>
      </c>
      <c r="E198" s="18" t="s">
        <v>147</v>
      </c>
      <c r="F198" s="18" t="s">
        <v>148</v>
      </c>
      <c r="G198" s="18" t="s">
        <v>997</v>
      </c>
      <c r="H198" s="18" t="s">
        <v>150</v>
      </c>
      <c r="I198" s="25"/>
    </row>
    <row r="199" spans="1:9" ht="20.100000000000001" customHeight="1" x14ac:dyDescent="0.25">
      <c r="A199" s="82"/>
      <c r="B199" s="83"/>
      <c r="C199" s="18" t="s">
        <v>145</v>
      </c>
      <c r="D199" s="18" t="s">
        <v>247</v>
      </c>
      <c r="E199" s="18" t="s">
        <v>998</v>
      </c>
      <c r="F199" s="18" t="s">
        <v>202</v>
      </c>
      <c r="G199" s="18" t="s">
        <v>217</v>
      </c>
      <c r="H199" s="18" t="s">
        <v>204</v>
      </c>
      <c r="I199" s="18" t="s">
        <v>151</v>
      </c>
    </row>
    <row r="200" spans="1:9" ht="20.100000000000001" customHeight="1" x14ac:dyDescent="0.25">
      <c r="A200" s="23">
        <v>3</v>
      </c>
      <c r="B200" s="14" t="s">
        <v>966</v>
      </c>
      <c r="C200" s="15" t="s">
        <v>242</v>
      </c>
      <c r="D200" s="15" t="s">
        <v>247</v>
      </c>
      <c r="E200" s="15" t="s">
        <v>244</v>
      </c>
      <c r="F200" s="208"/>
      <c r="G200" s="208"/>
      <c r="H200" s="208"/>
      <c r="I200" s="15" t="s">
        <v>248</v>
      </c>
    </row>
    <row r="201" spans="1:9" ht="20.100000000000001" customHeight="1" x14ac:dyDescent="0.25">
      <c r="A201" s="23">
        <v>4</v>
      </c>
      <c r="B201" s="14" t="s">
        <v>250</v>
      </c>
      <c r="C201" s="14">
        <f>data!AS59</f>
        <v>0</v>
      </c>
      <c r="D201" s="14">
        <f>data!AT59</f>
        <v>0</v>
      </c>
      <c r="E201" s="14">
        <f>data!AU59</f>
        <v>0</v>
      </c>
      <c r="F201" s="208"/>
      <c r="G201" s="208"/>
      <c r="H201" s="208"/>
      <c r="I201" s="14">
        <f>data!AY59</f>
        <v>15632</v>
      </c>
    </row>
    <row r="202" spans="1:9" ht="20.100000000000001" customHeight="1" x14ac:dyDescent="0.25">
      <c r="A202" s="23">
        <v>5</v>
      </c>
      <c r="B202" s="14" t="s">
        <v>251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17.619620192307703</v>
      </c>
      <c r="G202" s="26">
        <f>data!AW60</f>
        <v>0</v>
      </c>
      <c r="H202" s="26">
        <f>data!AX60</f>
        <v>0</v>
      </c>
      <c r="I202" s="26">
        <f>data!AY60</f>
        <v>15.548197115384626</v>
      </c>
    </row>
    <row r="203" spans="1:9" ht="20.100000000000001" customHeight="1" x14ac:dyDescent="0.25">
      <c r="A203" s="23">
        <v>6</v>
      </c>
      <c r="B203" s="14" t="s">
        <v>252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1369053</v>
      </c>
      <c r="G203" s="14">
        <f>data!AW61</f>
        <v>0</v>
      </c>
      <c r="H203" s="14">
        <f>data!AX61</f>
        <v>0</v>
      </c>
      <c r="I203" s="14">
        <f>data!AY61</f>
        <v>742339</v>
      </c>
    </row>
    <row r="204" spans="1:9" ht="20.100000000000001" customHeight="1" x14ac:dyDescent="0.25">
      <c r="A204" s="23">
        <v>7</v>
      </c>
      <c r="B204" s="14" t="s">
        <v>13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325382</v>
      </c>
      <c r="G204" s="14">
        <f>data!AW62</f>
        <v>0</v>
      </c>
      <c r="H204" s="14">
        <f>data!AX62</f>
        <v>0</v>
      </c>
      <c r="I204" s="14">
        <f>data!AY62</f>
        <v>176431</v>
      </c>
    </row>
    <row r="205" spans="1:9" ht="20.100000000000001" customHeight="1" x14ac:dyDescent="0.25">
      <c r="A205" s="23">
        <v>8</v>
      </c>
      <c r="B205" s="14" t="s">
        <v>253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519570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254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103228</v>
      </c>
      <c r="G206" s="14">
        <f>data!AW64</f>
        <v>0</v>
      </c>
      <c r="H206" s="14">
        <f>data!AX64</f>
        <v>0</v>
      </c>
      <c r="I206" s="14">
        <f>data!AY64</f>
        <v>345083</v>
      </c>
    </row>
    <row r="207" spans="1:9" ht="20.100000000000001" customHeight="1" x14ac:dyDescent="0.25">
      <c r="A207" s="23">
        <v>10</v>
      </c>
      <c r="B207" s="14" t="s">
        <v>482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105</v>
      </c>
      <c r="G207" s="14">
        <f>data!AW65</f>
        <v>0</v>
      </c>
      <c r="H207" s="14">
        <f>data!AX65</f>
        <v>0</v>
      </c>
      <c r="I207" s="14">
        <f>data!AY65</f>
        <v>525</v>
      </c>
    </row>
    <row r="208" spans="1:9" ht="20.100000000000001" customHeight="1" x14ac:dyDescent="0.25">
      <c r="A208" s="23">
        <v>11</v>
      </c>
      <c r="B208" s="14" t="s">
        <v>483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2281</v>
      </c>
      <c r="G208" s="14">
        <f>data!AW66</f>
        <v>0</v>
      </c>
      <c r="H208" s="14">
        <f>data!AX66</f>
        <v>0</v>
      </c>
      <c r="I208" s="14">
        <f>data!AY66</f>
        <v>6590</v>
      </c>
    </row>
    <row r="209" spans="1:9" ht="20.100000000000001" customHeight="1" x14ac:dyDescent="0.25">
      <c r="A209" s="23">
        <v>12</v>
      </c>
      <c r="B209" s="14" t="s">
        <v>18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18338</v>
      </c>
      <c r="G209" s="14">
        <f>data!AW67</f>
        <v>0</v>
      </c>
      <c r="H209" s="14">
        <f>data!AX67</f>
        <v>0</v>
      </c>
      <c r="I209" s="14">
        <f>data!AY67</f>
        <v>120450</v>
      </c>
    </row>
    <row r="210" spans="1:9" ht="20.100000000000001" customHeight="1" x14ac:dyDescent="0.25">
      <c r="A210" s="23">
        <v>13</v>
      </c>
      <c r="B210" s="14" t="s">
        <v>513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1932</v>
      </c>
    </row>
    <row r="211" spans="1:9" ht="20.100000000000001" customHeight="1" x14ac:dyDescent="0.25">
      <c r="A211" s="23">
        <v>14</v>
      </c>
      <c r="B211" s="14" t="s">
        <v>258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39981</v>
      </c>
      <c r="G211" s="14">
        <f>data!AW69</f>
        <v>0</v>
      </c>
      <c r="H211" s="14">
        <f>data!AX69</f>
        <v>0</v>
      </c>
      <c r="I211" s="14">
        <f>data!AY69</f>
        <v>3098</v>
      </c>
    </row>
    <row r="212" spans="1:9" ht="20.100000000000001" customHeight="1" x14ac:dyDescent="0.25">
      <c r="A212" s="23">
        <v>15</v>
      </c>
      <c r="B212" s="14" t="s">
        <v>259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-5390</v>
      </c>
      <c r="G212" s="14">
        <f>-data!AW70</f>
        <v>0</v>
      </c>
      <c r="H212" s="14">
        <f>-data!AX70</f>
        <v>0</v>
      </c>
      <c r="I212" s="14">
        <f>-data!AY70</f>
        <v>-731862</v>
      </c>
    </row>
    <row r="213" spans="1:9" ht="20.100000000000001" customHeight="1" x14ac:dyDescent="0.25">
      <c r="A213" s="23">
        <v>16</v>
      </c>
      <c r="B213" s="48" t="s">
        <v>967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2372548</v>
      </c>
      <c r="G213" s="14">
        <f>data!AW71</f>
        <v>0</v>
      </c>
      <c r="H213" s="14">
        <f>data!AX71</f>
        <v>0</v>
      </c>
      <c r="I213" s="14">
        <f>data!AY71</f>
        <v>664586</v>
      </c>
    </row>
    <row r="214" spans="1:9" ht="20.100000000000001" customHeight="1" x14ac:dyDescent="0.25">
      <c r="A214" s="23">
        <v>17</v>
      </c>
      <c r="B214" s="14" t="s">
        <v>261</v>
      </c>
      <c r="C214" s="207"/>
      <c r="D214" s="207"/>
      <c r="E214" s="207"/>
      <c r="F214" s="207"/>
      <c r="G214" s="207"/>
      <c r="H214" s="207"/>
      <c r="I214" s="207"/>
    </row>
    <row r="215" spans="1:9" ht="20.100000000000001" customHeight="1" x14ac:dyDescent="0.25">
      <c r="A215" s="23">
        <v>18</v>
      </c>
      <c r="B215" s="14" t="s">
        <v>968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679124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969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436025</v>
      </c>
      <c r="G216" s="209" t="str">
        <f>IF(data!AW73&gt;0,data!AW73,"")</f>
        <v>x</v>
      </c>
      <c r="H216" s="209" t="str">
        <f>IF(data!AX73&gt;0,data!AX73,"")</f>
        <v>x</v>
      </c>
      <c r="I216" s="209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970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8397629</v>
      </c>
      <c r="G217" s="209" t="str">
        <f>IF(data!AW74&gt;0,data!AW74,"")</f>
        <v>x</v>
      </c>
      <c r="H217" s="209" t="str">
        <f>IF(data!AX74&gt;0,data!AX74,"")</f>
        <v>x</v>
      </c>
      <c r="I217" s="209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971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8833654</v>
      </c>
      <c r="G218" s="209" t="str">
        <f>IF(data!AW75&gt;0,data!AW75,"")</f>
        <v>x</v>
      </c>
      <c r="H218" s="209" t="str">
        <f>IF(data!AX75&gt;0,data!AX75,"")</f>
        <v>x</v>
      </c>
      <c r="I218" s="209" t="str">
        <f>IF(data!AY75&gt;0,data!AY75,"")</f>
        <v>x</v>
      </c>
    </row>
    <row r="219" spans="1:9" ht="20.100000000000001" customHeight="1" x14ac:dyDescent="0.25">
      <c r="A219" s="23" t="s">
        <v>972</v>
      </c>
      <c r="B219" s="60"/>
      <c r="C219" s="207"/>
      <c r="D219" s="207"/>
      <c r="E219" s="207"/>
      <c r="F219" s="207"/>
      <c r="G219" s="207"/>
      <c r="H219" s="207"/>
      <c r="I219" s="207"/>
    </row>
    <row r="220" spans="1:9" ht="20.100000000000001" customHeight="1" x14ac:dyDescent="0.25">
      <c r="A220" s="23">
        <v>22</v>
      </c>
      <c r="B220" s="14" t="s">
        <v>973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881.83333333333348</v>
      </c>
      <c r="G220" s="14">
        <f>data!AW76</f>
        <v>0</v>
      </c>
      <c r="H220" s="14">
        <f>data!AX76</f>
        <v>0</v>
      </c>
      <c r="I220" s="85">
        <f>data!AY76</f>
        <v>5792.3</v>
      </c>
    </row>
    <row r="221" spans="1:9" ht="20.100000000000001" customHeight="1" x14ac:dyDescent="0.25">
      <c r="A221" s="23">
        <v>23</v>
      </c>
      <c r="B221" s="14" t="s">
        <v>974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09" t="str">
        <f>IF(data!AX77&gt;0,data!AX77,"")</f>
        <v>x</v>
      </c>
      <c r="I221" s="209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975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3464.4273500401946</v>
      </c>
      <c r="G222" s="14">
        <f>data!AW78</f>
        <v>0</v>
      </c>
      <c r="H222" s="209" t="str">
        <f>IF(data!AX78&gt;0,data!AX78,"")</f>
        <v>x</v>
      </c>
      <c r="I222" s="209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976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10724</v>
      </c>
      <c r="G223" s="14">
        <f>data!AW79</f>
        <v>0</v>
      </c>
      <c r="H223" s="209" t="str">
        <f>IF(data!AX79&gt;0,data!AX79,"")</f>
        <v>x</v>
      </c>
      <c r="I223" s="209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269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3.6446009615384614</v>
      </c>
      <c r="G224" s="209" t="str">
        <f>IF(data!AW80&gt;0,data!AW80,"")</f>
        <v>x</v>
      </c>
      <c r="H224" s="209" t="str">
        <f>IF(data!AX80&gt;0,data!AX80,"")</f>
        <v>x</v>
      </c>
      <c r="I224" s="209" t="str">
        <f>IF(data!AY80&gt;0,data!AY80,"")</f>
        <v>x</v>
      </c>
    </row>
    <row r="225" spans="1:9" ht="20.100000000000001" customHeight="1" x14ac:dyDescent="0.25">
      <c r="A225" s="4" t="s">
        <v>960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999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Jefferson County Public Hospital District No 2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225</v>
      </c>
      <c r="C229" s="15" t="s">
        <v>74</v>
      </c>
      <c r="D229" s="15" t="s">
        <v>75</v>
      </c>
      <c r="E229" s="15" t="s">
        <v>76</v>
      </c>
      <c r="F229" s="15" t="s">
        <v>77</v>
      </c>
      <c r="G229" s="15" t="s">
        <v>78</v>
      </c>
      <c r="H229" s="15" t="s">
        <v>79</v>
      </c>
      <c r="I229" s="15" t="s">
        <v>80</v>
      </c>
    </row>
    <row r="230" spans="1:9" ht="20.100000000000001" customHeight="1" x14ac:dyDescent="0.25">
      <c r="A230" s="81">
        <v>2</v>
      </c>
      <c r="B230" s="17" t="s">
        <v>962</v>
      </c>
      <c r="C230" s="25"/>
      <c r="D230" s="18" t="s">
        <v>153</v>
      </c>
      <c r="E230" s="18" t="s">
        <v>154</v>
      </c>
      <c r="F230" s="18" t="s">
        <v>123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152</v>
      </c>
      <c r="D231" s="18" t="s">
        <v>205</v>
      </c>
      <c r="E231" s="18" t="s">
        <v>1000</v>
      </c>
      <c r="F231" s="18" t="s">
        <v>1001</v>
      </c>
      <c r="G231" s="18" t="s">
        <v>155</v>
      </c>
      <c r="H231" s="18" t="s">
        <v>156</v>
      </c>
      <c r="I231" s="18" t="s">
        <v>157</v>
      </c>
    </row>
    <row r="232" spans="1:9" ht="20.100000000000001" customHeight="1" x14ac:dyDescent="0.25">
      <c r="A232" s="23">
        <v>3</v>
      </c>
      <c r="B232" s="14" t="s">
        <v>966</v>
      </c>
      <c r="C232" s="15" t="s">
        <v>1002</v>
      </c>
      <c r="D232" s="15" t="s">
        <v>1003</v>
      </c>
      <c r="E232" s="208"/>
      <c r="F232" s="208"/>
      <c r="G232" s="208"/>
      <c r="H232" s="15" t="s">
        <v>249</v>
      </c>
      <c r="I232" s="208"/>
    </row>
    <row r="233" spans="1:9" ht="20.100000000000001" customHeight="1" x14ac:dyDescent="0.25">
      <c r="A233" s="23">
        <v>4</v>
      </c>
      <c r="B233" s="14" t="s">
        <v>250</v>
      </c>
      <c r="C233" s="14">
        <f>data!AZ59</f>
        <v>0</v>
      </c>
      <c r="D233" s="14">
        <f>data!BA59</f>
        <v>0</v>
      </c>
      <c r="E233" s="208"/>
      <c r="F233" s="208"/>
      <c r="G233" s="208"/>
      <c r="H233" s="14">
        <f>data!BE59</f>
        <v>228101</v>
      </c>
      <c r="I233" s="208"/>
    </row>
    <row r="234" spans="1:9" ht="20.100000000000001" customHeight="1" x14ac:dyDescent="0.25">
      <c r="A234" s="23">
        <v>5</v>
      </c>
      <c r="B234" s="14" t="s">
        <v>251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8.1161538461538427</v>
      </c>
      <c r="H234" s="26">
        <f>data!BE60</f>
        <v>16.605903846153861</v>
      </c>
      <c r="I234" s="26">
        <f>data!BF60</f>
        <v>25.060524038461573</v>
      </c>
    </row>
    <row r="235" spans="1:9" ht="20.100000000000001" customHeight="1" x14ac:dyDescent="0.25">
      <c r="A235" s="23">
        <v>6</v>
      </c>
      <c r="B235" s="14" t="s">
        <v>252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459314</v>
      </c>
      <c r="H235" s="14">
        <f>data!BE61</f>
        <v>1087666</v>
      </c>
      <c r="I235" s="14">
        <f>data!BF61</f>
        <v>1050726</v>
      </c>
    </row>
    <row r="236" spans="1:9" ht="20.100000000000001" customHeight="1" x14ac:dyDescent="0.25">
      <c r="A236" s="23">
        <v>7</v>
      </c>
      <c r="B236" s="14" t="s">
        <v>13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109165</v>
      </c>
      <c r="H236" s="14">
        <f>data!BE62</f>
        <v>258505</v>
      </c>
      <c r="I236" s="14">
        <f>data!BF62</f>
        <v>249725</v>
      </c>
    </row>
    <row r="237" spans="1:9" ht="20.100000000000001" customHeight="1" x14ac:dyDescent="0.25">
      <c r="A237" s="23">
        <v>8</v>
      </c>
      <c r="B237" s="14" t="s">
        <v>253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2295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254</v>
      </c>
      <c r="C238" s="14">
        <f>data!AZ64</f>
        <v>0</v>
      </c>
      <c r="D238" s="14">
        <f>data!BA64</f>
        <v>58275</v>
      </c>
      <c r="E238" s="14">
        <f>data!BB64</f>
        <v>0</v>
      </c>
      <c r="F238" s="14">
        <f>data!BC64</f>
        <v>0</v>
      </c>
      <c r="G238" s="14">
        <f>data!BD64</f>
        <v>7297</v>
      </c>
      <c r="H238" s="14">
        <f>data!BE64</f>
        <v>60748</v>
      </c>
      <c r="I238" s="14">
        <f>data!BF64</f>
        <v>174414</v>
      </c>
    </row>
    <row r="239" spans="1:9" ht="20.100000000000001" customHeight="1" x14ac:dyDescent="0.25">
      <c r="A239" s="23">
        <v>10</v>
      </c>
      <c r="B239" s="14" t="s">
        <v>482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2374</v>
      </c>
      <c r="H239" s="14">
        <f>data!BE65</f>
        <v>797559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483</v>
      </c>
      <c r="C240" s="14">
        <f>data!AZ66</f>
        <v>0</v>
      </c>
      <c r="D240" s="14">
        <f>data!BA66</f>
        <v>297684</v>
      </c>
      <c r="E240" s="14">
        <f>data!BB66</f>
        <v>0</v>
      </c>
      <c r="F240" s="14">
        <f>data!BC66</f>
        <v>0</v>
      </c>
      <c r="G240" s="14">
        <f>data!BD66</f>
        <v>319</v>
      </c>
      <c r="H240" s="14">
        <f>data!BE66</f>
        <v>393920</v>
      </c>
      <c r="I240" s="14">
        <f>data!BF66</f>
        <v>19967</v>
      </c>
    </row>
    <row r="241" spans="1:9" ht="20.100000000000001" customHeight="1" x14ac:dyDescent="0.25">
      <c r="A241" s="23">
        <v>12</v>
      </c>
      <c r="B241" s="14" t="s">
        <v>18</v>
      </c>
      <c r="C241" s="14">
        <f>data!AZ67</f>
        <v>0</v>
      </c>
      <c r="D241" s="14">
        <f>data!BA67</f>
        <v>0</v>
      </c>
      <c r="E241" s="14">
        <f>data!BB67</f>
        <v>1610</v>
      </c>
      <c r="F241" s="14">
        <f>data!BC67</f>
        <v>0</v>
      </c>
      <c r="G241" s="14">
        <f>data!BD67</f>
        <v>48947</v>
      </c>
      <c r="H241" s="14">
        <f>data!BE67</f>
        <v>1237753</v>
      </c>
      <c r="I241" s="14">
        <f>data!BF67</f>
        <v>57434</v>
      </c>
    </row>
    <row r="242" spans="1:9" ht="20.100000000000001" customHeight="1" x14ac:dyDescent="0.25">
      <c r="A242" s="23">
        <v>13</v>
      </c>
      <c r="B242" s="14" t="s">
        <v>513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39996</v>
      </c>
      <c r="H242" s="14">
        <f>data!BE68</f>
        <v>25162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258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53986</v>
      </c>
      <c r="H243" s="14">
        <f>data!BE69</f>
        <v>90255</v>
      </c>
      <c r="I243" s="14">
        <f>data!BF69</f>
        <v>246</v>
      </c>
    </row>
    <row r="244" spans="1:9" ht="20.100000000000001" customHeight="1" x14ac:dyDescent="0.25">
      <c r="A244" s="23">
        <v>15</v>
      </c>
      <c r="B244" s="14" t="s">
        <v>259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967</v>
      </c>
      <c r="C245" s="14">
        <f>data!AZ71</f>
        <v>0</v>
      </c>
      <c r="D245" s="14">
        <f>data!BA71</f>
        <v>355959</v>
      </c>
      <c r="E245" s="14">
        <f>data!BB71</f>
        <v>1610</v>
      </c>
      <c r="F245" s="14">
        <f>data!BC71</f>
        <v>0</v>
      </c>
      <c r="G245" s="14">
        <f>data!BD71</f>
        <v>721398</v>
      </c>
      <c r="H245" s="14">
        <f>data!BE71</f>
        <v>3953863</v>
      </c>
      <c r="I245" s="14">
        <f>data!BF71</f>
        <v>1552512</v>
      </c>
    </row>
    <row r="246" spans="1:9" ht="20.100000000000001" customHeight="1" x14ac:dyDescent="0.25">
      <c r="A246" s="23">
        <v>17</v>
      </c>
      <c r="B246" s="14" t="s">
        <v>261</v>
      </c>
      <c r="C246" s="207"/>
      <c r="D246" s="207"/>
      <c r="E246" s="207"/>
      <c r="F246" s="207"/>
      <c r="G246" s="207"/>
      <c r="H246" s="207"/>
      <c r="I246" s="207"/>
    </row>
    <row r="247" spans="1:9" ht="20.100000000000001" customHeight="1" x14ac:dyDescent="0.25">
      <c r="A247" s="23">
        <v>18</v>
      </c>
      <c r="B247" s="14" t="s">
        <v>968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969</v>
      </c>
      <c r="C248" s="209" t="str">
        <f>IF(data!AZ73&gt;0,data!AZ73,"")</f>
        <v>x</v>
      </c>
      <c r="D248" s="209" t="str">
        <f>IF(data!BA73&gt;0,data!BA73,"")</f>
        <v>x</v>
      </c>
      <c r="E248" s="209" t="str">
        <f>IF(data!BB73&gt;0,data!BB73,"")</f>
        <v>x</v>
      </c>
      <c r="F248" s="209" t="str">
        <f>IF(data!BC73&gt;0,data!BC73,"")</f>
        <v>x</v>
      </c>
      <c r="G248" s="209" t="str">
        <f>IF(data!BD73&gt;0,data!BD73,"")</f>
        <v>x</v>
      </c>
      <c r="H248" s="209" t="str">
        <f>IF(data!BE73&gt;0,data!BE73,"")</f>
        <v>x</v>
      </c>
      <c r="I248" s="209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970</v>
      </c>
      <c r="C249" s="209" t="str">
        <f>IF(data!AZ74&gt;0,data!AZ74,"")</f>
        <v>x</v>
      </c>
      <c r="D249" s="209" t="str">
        <f>IF(data!BA74&gt;0,data!BA74,"")</f>
        <v>x</v>
      </c>
      <c r="E249" s="209" t="str">
        <f>IF(data!BB74&gt;0,data!BB74,"")</f>
        <v>x</v>
      </c>
      <c r="F249" s="209" t="str">
        <f>IF(data!BC74&gt;0,data!BC74,"")</f>
        <v>x</v>
      </c>
      <c r="G249" s="209" t="str">
        <f>IF(data!BD74&gt;0,data!BD74,"")</f>
        <v>x</v>
      </c>
      <c r="H249" s="209" t="str">
        <f>IF(data!BE74&gt;0,data!BE74,"")</f>
        <v>x</v>
      </c>
      <c r="I249" s="209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971</v>
      </c>
      <c r="C250" s="209" t="str">
        <f>IF(data!AZ75&gt;0,data!AZ75,"")</f>
        <v>x</v>
      </c>
      <c r="D250" s="209" t="str">
        <f>IF(data!BA75&gt;0,data!BA75,"")</f>
        <v>x</v>
      </c>
      <c r="E250" s="209" t="str">
        <f>IF(data!BB75&gt;0,data!BB75,"")</f>
        <v>x</v>
      </c>
      <c r="F250" s="209" t="str">
        <f>IF(data!BC75&gt;0,data!BC75,"")</f>
        <v>x</v>
      </c>
      <c r="G250" s="209" t="str">
        <f>IF(data!BD75&gt;0,data!BD75,"")</f>
        <v>x</v>
      </c>
      <c r="H250" s="209" t="str">
        <f>IF(data!BE75&gt;0,data!BE75,"")</f>
        <v>x</v>
      </c>
      <c r="I250" s="209" t="str">
        <f>IF(data!BF75&gt;0,data!BF75,"")</f>
        <v>x</v>
      </c>
    </row>
    <row r="251" spans="1:9" ht="20.100000000000001" customHeight="1" x14ac:dyDescent="0.25">
      <c r="A251" s="23" t="s">
        <v>972</v>
      </c>
      <c r="B251" s="60"/>
      <c r="C251" s="207"/>
      <c r="D251" s="207"/>
      <c r="E251" s="207"/>
      <c r="F251" s="207"/>
      <c r="G251" s="207"/>
      <c r="H251" s="207"/>
      <c r="I251" s="207"/>
    </row>
    <row r="252" spans="1:9" ht="20.100000000000001" customHeight="1" x14ac:dyDescent="0.25">
      <c r="A252" s="23">
        <v>22</v>
      </c>
      <c r="B252" s="14" t="s">
        <v>973</v>
      </c>
      <c r="C252" s="85">
        <f>data!AZ76</f>
        <v>0</v>
      </c>
      <c r="D252" s="85">
        <f>data!BA76</f>
        <v>0</v>
      </c>
      <c r="E252" s="85">
        <f>data!BB76</f>
        <v>77.40000000000002</v>
      </c>
      <c r="F252" s="85">
        <f>data!BC76</f>
        <v>0</v>
      </c>
      <c r="G252" s="85">
        <f>data!BD76</f>
        <v>2353.8000000000002</v>
      </c>
      <c r="H252" s="85">
        <f>data!BE76</f>
        <v>59521.899999999987</v>
      </c>
      <c r="I252" s="85">
        <f>data!BF76</f>
        <v>2761.9333333333334</v>
      </c>
    </row>
    <row r="253" spans="1:9" ht="20.100000000000001" customHeight="1" x14ac:dyDescent="0.25">
      <c r="A253" s="23">
        <v>23</v>
      </c>
      <c r="B253" s="14" t="s">
        <v>974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09" t="str">
        <f>IF(data!BD77&gt;0,data!BD77,"")</f>
        <v>x</v>
      </c>
      <c r="H253" s="209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975</v>
      </c>
      <c r="C254" s="209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09" t="str">
        <f>IF(data!BD78&gt;0,data!BD78,"")</f>
        <v>x</v>
      </c>
      <c r="H254" s="209" t="str">
        <f>IF(data!BE78&gt;0,data!BE78,"")</f>
        <v>x</v>
      </c>
      <c r="I254" s="209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976</v>
      </c>
      <c r="C255" s="209" t="str">
        <f>IF(data!AZ79&gt;0,data!AZ79,"")</f>
        <v>x</v>
      </c>
      <c r="D255" s="209" t="str">
        <f>IF(data!BA79&gt;0,data!BA79,"")</f>
        <v>x</v>
      </c>
      <c r="E255" s="85">
        <f>data!BB79</f>
        <v>0</v>
      </c>
      <c r="F255" s="85">
        <f>data!BC79</f>
        <v>0</v>
      </c>
      <c r="G255" s="209" t="str">
        <f>IF(data!BD79&gt;0,data!BD79,"")</f>
        <v>x</v>
      </c>
      <c r="H255" s="209" t="str">
        <f>IF(data!BE79&gt;0,data!BE79,"")</f>
        <v>x</v>
      </c>
      <c r="I255" s="209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269</v>
      </c>
      <c r="C256" s="209" t="str">
        <f>IF(data!AZ80&gt;0,data!AZ80,"")</f>
        <v>x</v>
      </c>
      <c r="D256" s="209" t="str">
        <f>IF(data!BA80&gt;0,data!BA80,"")</f>
        <v>x</v>
      </c>
      <c r="E256" s="209" t="str">
        <f>IF(data!BB80&gt;0,data!BB80,"")</f>
        <v>x</v>
      </c>
      <c r="F256" s="209" t="str">
        <f>IF(data!BC80&gt;0,data!BC80,"")</f>
        <v>x</v>
      </c>
      <c r="G256" s="209" t="str">
        <f>IF(data!BD80&gt;0,data!BD80,"")</f>
        <v>x</v>
      </c>
      <c r="H256" s="209" t="str">
        <f>IF(data!BE80&gt;0,data!BE80,"")</f>
        <v>x</v>
      </c>
      <c r="I256" s="209" t="str">
        <f>IF(data!BF80&gt;0,data!BF80,"")</f>
        <v>x</v>
      </c>
    </row>
    <row r="257" spans="1:9" ht="20.100000000000001" customHeight="1" x14ac:dyDescent="0.25">
      <c r="A257" s="4" t="s">
        <v>960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1004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Jefferson County Public Hospital District No 2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225</v>
      </c>
      <c r="C261" s="15" t="s">
        <v>81</v>
      </c>
      <c r="D261" s="15" t="s">
        <v>82</v>
      </c>
      <c r="E261" s="15" t="s">
        <v>83</v>
      </c>
      <c r="F261" s="15" t="s">
        <v>84</v>
      </c>
      <c r="G261" s="15" t="s">
        <v>85</v>
      </c>
      <c r="H261" s="15" t="s">
        <v>86</v>
      </c>
      <c r="I261" s="15" t="s">
        <v>87</v>
      </c>
    </row>
    <row r="262" spans="1:9" ht="20.100000000000001" customHeight="1" x14ac:dyDescent="0.25">
      <c r="A262" s="81">
        <v>2</v>
      </c>
      <c r="B262" s="17" t="s">
        <v>962</v>
      </c>
      <c r="C262" s="18" t="s">
        <v>1005</v>
      </c>
      <c r="D262" s="18" t="s">
        <v>159</v>
      </c>
      <c r="E262" s="18" t="s">
        <v>160</v>
      </c>
      <c r="F262" s="25"/>
      <c r="G262" s="18" t="s">
        <v>162</v>
      </c>
      <c r="H262" s="25"/>
      <c r="I262" s="18" t="s">
        <v>148</v>
      </c>
    </row>
    <row r="263" spans="1:9" ht="20.100000000000001" customHeight="1" x14ac:dyDescent="0.25">
      <c r="A263" s="82"/>
      <c r="B263" s="83"/>
      <c r="C263" s="18" t="s">
        <v>1006</v>
      </c>
      <c r="D263" s="18" t="s">
        <v>206</v>
      </c>
      <c r="E263" s="18" t="s">
        <v>185</v>
      </c>
      <c r="F263" s="18" t="s">
        <v>161</v>
      </c>
      <c r="G263" s="18" t="s">
        <v>207</v>
      </c>
      <c r="H263" s="18" t="s">
        <v>163</v>
      </c>
      <c r="I263" s="18" t="s">
        <v>1007</v>
      </c>
    </row>
    <row r="264" spans="1:9" ht="20.100000000000001" customHeight="1" x14ac:dyDescent="0.25">
      <c r="A264" s="23">
        <v>3</v>
      </c>
      <c r="B264" s="14" t="s">
        <v>966</v>
      </c>
      <c r="C264" s="208"/>
      <c r="D264" s="208"/>
      <c r="E264" s="208"/>
      <c r="F264" s="208"/>
      <c r="G264" s="208"/>
      <c r="H264" s="208"/>
      <c r="I264" s="208"/>
    </row>
    <row r="265" spans="1:9" ht="20.100000000000001" customHeight="1" x14ac:dyDescent="0.25">
      <c r="A265" s="23">
        <v>4</v>
      </c>
      <c r="B265" s="14" t="s">
        <v>250</v>
      </c>
      <c r="C265" s="208"/>
      <c r="D265" s="208"/>
      <c r="E265" s="208"/>
      <c r="F265" s="208"/>
      <c r="G265" s="208"/>
      <c r="H265" s="208"/>
      <c r="I265" s="208"/>
    </row>
    <row r="266" spans="1:9" ht="20.100000000000001" customHeight="1" x14ac:dyDescent="0.25">
      <c r="A266" s="23">
        <v>5</v>
      </c>
      <c r="B266" s="14" t="s">
        <v>251</v>
      </c>
      <c r="C266" s="26">
        <f>data!BG60</f>
        <v>0</v>
      </c>
      <c r="D266" s="26">
        <f>data!BH60</f>
        <v>14.762774038461545</v>
      </c>
      <c r="E266" s="26">
        <f>data!BI60</f>
        <v>0</v>
      </c>
      <c r="F266" s="26">
        <f>data!BJ60</f>
        <v>7.1298894230769214</v>
      </c>
      <c r="G266" s="26">
        <f>data!BK60</f>
        <v>14.401663461538467</v>
      </c>
      <c r="H266" s="26">
        <f>data!BL60</f>
        <v>14.154024038461547</v>
      </c>
      <c r="I266" s="26">
        <f>data!BM60</f>
        <v>4.7486923076923064</v>
      </c>
    </row>
    <row r="267" spans="1:9" ht="20.100000000000001" customHeight="1" x14ac:dyDescent="0.25">
      <c r="A267" s="23">
        <v>6</v>
      </c>
      <c r="B267" s="14" t="s">
        <v>252</v>
      </c>
      <c r="C267" s="14">
        <f>data!BG61</f>
        <v>0</v>
      </c>
      <c r="D267" s="14">
        <f>data!BH61</f>
        <v>1309781</v>
      </c>
      <c r="E267" s="14">
        <f>data!BI61</f>
        <v>0</v>
      </c>
      <c r="F267" s="14">
        <f>data!BJ61</f>
        <v>726018</v>
      </c>
      <c r="G267" s="14">
        <f>data!BK61</f>
        <v>820400</v>
      </c>
      <c r="H267" s="14">
        <f>data!BL61</f>
        <v>668404</v>
      </c>
      <c r="I267" s="14">
        <f>data!BM61</f>
        <v>380059</v>
      </c>
    </row>
    <row r="268" spans="1:9" ht="20.100000000000001" customHeight="1" x14ac:dyDescent="0.25">
      <c r="A268" s="23">
        <v>7</v>
      </c>
      <c r="B268" s="14" t="s">
        <v>13</v>
      </c>
      <c r="C268" s="14">
        <f>data!BG62</f>
        <v>0</v>
      </c>
      <c r="D268" s="14">
        <f>data!BH62</f>
        <v>311294</v>
      </c>
      <c r="E268" s="14">
        <f>data!BI62</f>
        <v>0</v>
      </c>
      <c r="F268" s="14">
        <f>data!BJ62</f>
        <v>172552</v>
      </c>
      <c r="G268" s="14">
        <f>data!BK62</f>
        <v>194984</v>
      </c>
      <c r="H268" s="14">
        <f>data!BL62</f>
        <v>158859</v>
      </c>
      <c r="I268" s="14">
        <f>data!BM62</f>
        <v>90328</v>
      </c>
    </row>
    <row r="269" spans="1:9" ht="20.100000000000001" customHeight="1" x14ac:dyDescent="0.25">
      <c r="A269" s="23">
        <v>8</v>
      </c>
      <c r="B269" s="14" t="s">
        <v>253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4360</v>
      </c>
      <c r="G269" s="14">
        <f>data!BK63</f>
        <v>6680</v>
      </c>
      <c r="H269" s="14">
        <f>data!BL63</f>
        <v>0</v>
      </c>
      <c r="I269" s="14">
        <f>data!BM63</f>
        <v>112</v>
      </c>
    </row>
    <row r="270" spans="1:9" ht="20.100000000000001" customHeight="1" x14ac:dyDescent="0.25">
      <c r="A270" s="23">
        <v>9</v>
      </c>
      <c r="B270" s="14" t="s">
        <v>254</v>
      </c>
      <c r="C270" s="14">
        <f>data!BG64</f>
        <v>6915</v>
      </c>
      <c r="D270" s="14">
        <f>data!BH64</f>
        <v>389544</v>
      </c>
      <c r="E270" s="14">
        <f>data!BI64</f>
        <v>0</v>
      </c>
      <c r="F270" s="14">
        <f>data!BJ64</f>
        <v>31011</v>
      </c>
      <c r="G270" s="14">
        <f>data!BK64</f>
        <v>20366</v>
      </c>
      <c r="H270" s="14">
        <f>data!BL64</f>
        <v>17287</v>
      </c>
      <c r="I270" s="14">
        <f>data!BM64</f>
        <v>2647</v>
      </c>
    </row>
    <row r="271" spans="1:9" ht="20.100000000000001" customHeight="1" x14ac:dyDescent="0.25">
      <c r="A271" s="23">
        <v>10</v>
      </c>
      <c r="B271" s="14" t="s">
        <v>482</v>
      </c>
      <c r="C271" s="14">
        <f>data!BG65</f>
        <v>184309</v>
      </c>
      <c r="D271" s="14">
        <f>data!BH65</f>
        <v>2149</v>
      </c>
      <c r="E271" s="14">
        <f>data!BI65</f>
        <v>0</v>
      </c>
      <c r="F271" s="14">
        <f>data!BJ65</f>
        <v>345</v>
      </c>
      <c r="G271" s="14">
        <f>data!BK65</f>
        <v>5049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483</v>
      </c>
      <c r="C272" s="14">
        <f>data!BG66</f>
        <v>25699</v>
      </c>
      <c r="D272" s="14">
        <f>data!BH66</f>
        <v>1587841</v>
      </c>
      <c r="E272" s="14">
        <f>data!BI66</f>
        <v>0</v>
      </c>
      <c r="F272" s="14">
        <f>data!BJ66</f>
        <v>83588</v>
      </c>
      <c r="G272" s="14">
        <f>data!BK66</f>
        <v>261346</v>
      </c>
      <c r="H272" s="14">
        <f>data!BL66</f>
        <v>32307</v>
      </c>
      <c r="I272" s="14">
        <f>data!BM66</f>
        <v>1078</v>
      </c>
    </row>
    <row r="273" spans="1:9" ht="20.100000000000001" customHeight="1" x14ac:dyDescent="0.25">
      <c r="A273" s="23">
        <v>12</v>
      </c>
      <c r="B273" s="14" t="s">
        <v>18</v>
      </c>
      <c r="C273" s="14">
        <f>data!BG67</f>
        <v>0</v>
      </c>
      <c r="D273" s="14">
        <f>data!BH67</f>
        <v>78402</v>
      </c>
      <c r="E273" s="14">
        <f>data!BI67</f>
        <v>0</v>
      </c>
      <c r="F273" s="14">
        <f>data!BJ67</f>
        <v>22844</v>
      </c>
      <c r="G273" s="14">
        <f>data!BK67</f>
        <v>83578</v>
      </c>
      <c r="H273" s="14">
        <f>data!BL67</f>
        <v>37656</v>
      </c>
      <c r="I273" s="14">
        <f>data!BM67</f>
        <v>833</v>
      </c>
    </row>
    <row r="274" spans="1:9" ht="20.100000000000001" customHeight="1" x14ac:dyDescent="0.25">
      <c r="A274" s="23">
        <v>13</v>
      </c>
      <c r="B274" s="14" t="s">
        <v>513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5561</v>
      </c>
      <c r="G274" s="14">
        <f>data!BK68</f>
        <v>21494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258</v>
      </c>
      <c r="C275" s="14">
        <f>data!BG69</f>
        <v>35987</v>
      </c>
      <c r="D275" s="14">
        <f>data!BH69</f>
        <v>150378</v>
      </c>
      <c r="E275" s="14">
        <f>data!BI69</f>
        <v>0</v>
      </c>
      <c r="F275" s="14">
        <f>data!BJ69</f>
        <v>52232</v>
      </c>
      <c r="G275" s="14">
        <f>data!BK69</f>
        <v>17043</v>
      </c>
      <c r="H275" s="14">
        <f>data!BL69</f>
        <v>1460</v>
      </c>
      <c r="I275" s="14">
        <f>data!BM69</f>
        <v>6684</v>
      </c>
    </row>
    <row r="276" spans="1:9" ht="20.100000000000001" customHeight="1" x14ac:dyDescent="0.25">
      <c r="A276" s="23">
        <v>15</v>
      </c>
      <c r="B276" s="14" t="s">
        <v>259</v>
      </c>
      <c r="C276" s="14">
        <f>-data!BG70</f>
        <v>0</v>
      </c>
      <c r="D276" s="14">
        <f>-data!BH70</f>
        <v>-33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967</v>
      </c>
      <c r="C277" s="14">
        <f>data!BG71</f>
        <v>252910</v>
      </c>
      <c r="D277" s="14">
        <f>data!BH71</f>
        <v>3829356</v>
      </c>
      <c r="E277" s="14">
        <f>data!BI71</f>
        <v>0</v>
      </c>
      <c r="F277" s="14">
        <f>data!BJ71</f>
        <v>1098511</v>
      </c>
      <c r="G277" s="14">
        <f>data!BK71</f>
        <v>1430940</v>
      </c>
      <c r="H277" s="14">
        <f>data!BL71</f>
        <v>915973</v>
      </c>
      <c r="I277" s="14">
        <f>data!BM71</f>
        <v>481741</v>
      </c>
    </row>
    <row r="278" spans="1:9" ht="20.100000000000001" customHeight="1" x14ac:dyDescent="0.25">
      <c r="A278" s="23">
        <v>17</v>
      </c>
      <c r="B278" s="14" t="s">
        <v>261</v>
      </c>
      <c r="C278" s="207"/>
      <c r="D278" s="207"/>
      <c r="E278" s="207"/>
      <c r="F278" s="207"/>
      <c r="G278" s="207"/>
      <c r="H278" s="207"/>
      <c r="I278" s="207"/>
    </row>
    <row r="279" spans="1:9" ht="20.100000000000001" customHeight="1" x14ac:dyDescent="0.25">
      <c r="A279" s="23">
        <v>18</v>
      </c>
      <c r="B279" s="14" t="s">
        <v>968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969</v>
      </c>
      <c r="C280" s="209" t="str">
        <f>IF(data!BG73&gt;0,data!BG73,"")</f>
        <v>x</v>
      </c>
      <c r="D280" s="209" t="str">
        <f>IF(data!BH73&gt;0,data!BH73,"")</f>
        <v>x</v>
      </c>
      <c r="E280" s="209" t="str">
        <f>IF(data!BI73&gt;0,data!BI73,"")</f>
        <v>x</v>
      </c>
      <c r="F280" s="209" t="str">
        <f>IF(data!BJ73&gt;0,data!BJ73,"")</f>
        <v>x</v>
      </c>
      <c r="G280" s="209" t="str">
        <f>IF(data!BK73&gt;0,data!BK73,"")</f>
        <v>x</v>
      </c>
      <c r="H280" s="209" t="str">
        <f>IF(data!BL73&gt;0,data!BL73,"")</f>
        <v>x</v>
      </c>
      <c r="I280" s="209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970</v>
      </c>
      <c r="C281" s="209" t="str">
        <f>IF(data!BG74&gt;0,data!BG74,"")</f>
        <v>x</v>
      </c>
      <c r="D281" s="209" t="str">
        <f>IF(data!BH74&gt;0,data!BH74,"")</f>
        <v>x</v>
      </c>
      <c r="E281" s="209" t="str">
        <f>IF(data!BI74&gt;0,data!BI74,"")</f>
        <v>x</v>
      </c>
      <c r="F281" s="209" t="str">
        <f>IF(data!BJ74&gt;0,data!BJ74,"")</f>
        <v>x</v>
      </c>
      <c r="G281" s="209" t="str">
        <f>IF(data!BK74&gt;0,data!BK74,"")</f>
        <v>x</v>
      </c>
      <c r="H281" s="209" t="str">
        <f>IF(data!BL74&gt;0,data!BL74,"")</f>
        <v>x</v>
      </c>
      <c r="I281" s="209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971</v>
      </c>
      <c r="C282" s="209" t="str">
        <f>IF(data!BG75&gt;0,data!BG75,"")</f>
        <v>x</v>
      </c>
      <c r="D282" s="209" t="str">
        <f>IF(data!BH75&gt;0,data!BH75,"")</f>
        <v>x</v>
      </c>
      <c r="E282" s="209" t="str">
        <f>IF(data!BI75&gt;0,data!BI75,"")</f>
        <v>x</v>
      </c>
      <c r="F282" s="209" t="str">
        <f>IF(data!BJ75&gt;0,data!BJ75,"")</f>
        <v>x</v>
      </c>
      <c r="G282" s="209" t="str">
        <f>IF(data!BK75&gt;0,data!BK75,"")</f>
        <v>x</v>
      </c>
      <c r="H282" s="209" t="str">
        <f>IF(data!BL75&gt;0,data!BL75,"")</f>
        <v>x</v>
      </c>
      <c r="I282" s="209" t="str">
        <f>IF(data!BM75&gt;0,data!BM75,"")</f>
        <v>x</v>
      </c>
    </row>
    <row r="283" spans="1:9" ht="20.100000000000001" customHeight="1" x14ac:dyDescent="0.25">
      <c r="A283" s="23" t="s">
        <v>972</v>
      </c>
      <c r="B283" s="60"/>
      <c r="C283" s="211"/>
      <c r="D283" s="211"/>
      <c r="E283" s="211"/>
      <c r="F283" s="211"/>
      <c r="G283" s="211"/>
      <c r="H283" s="211"/>
      <c r="I283" s="211"/>
    </row>
    <row r="284" spans="1:9" ht="20.100000000000001" customHeight="1" x14ac:dyDescent="0.25">
      <c r="A284" s="23">
        <v>22</v>
      </c>
      <c r="B284" s="14" t="s">
        <v>973</v>
      </c>
      <c r="C284" s="85">
        <f>data!BG76</f>
        <v>0</v>
      </c>
      <c r="D284" s="85">
        <f>data!BH76</f>
        <v>3770.2666666666669</v>
      </c>
      <c r="E284" s="85">
        <f>data!BI76</f>
        <v>0</v>
      </c>
      <c r="F284" s="85">
        <f>data!BJ76</f>
        <v>1098.5599999999997</v>
      </c>
      <c r="G284" s="85">
        <f>data!BK76</f>
        <v>4019.1750000000002</v>
      </c>
      <c r="H284" s="85">
        <f>data!BL76</f>
        <v>1810.8333333333335</v>
      </c>
      <c r="I284" s="85">
        <f>data!BM76</f>
        <v>40.049999999999997</v>
      </c>
    </row>
    <row r="285" spans="1:9" ht="20.100000000000001" customHeight="1" x14ac:dyDescent="0.25">
      <c r="A285" s="23">
        <v>23</v>
      </c>
      <c r="B285" s="14" t="s">
        <v>974</v>
      </c>
      <c r="C285" s="209" t="str">
        <f>IF(data!BG77&gt;0,data!BG77,"")</f>
        <v>x</v>
      </c>
      <c r="D285" s="85">
        <f>data!BH77</f>
        <v>0</v>
      </c>
      <c r="E285" s="85">
        <f>data!BI77</f>
        <v>0</v>
      </c>
      <c r="F285" s="209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975</v>
      </c>
      <c r="C286" s="209" t="str">
        <f>IF(data!BG78&gt;0,data!BG78,"")</f>
        <v>x</v>
      </c>
      <c r="D286" s="85">
        <f>data!BH78</f>
        <v>0</v>
      </c>
      <c r="E286" s="85">
        <f>data!BI78</f>
        <v>0</v>
      </c>
      <c r="F286" s="209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976</v>
      </c>
      <c r="C287" s="209" t="str">
        <f>IF(data!BG79&gt;0,data!BG79,"")</f>
        <v>x</v>
      </c>
      <c r="D287" s="85">
        <f>data!BH79</f>
        <v>0</v>
      </c>
      <c r="E287" s="85">
        <f>data!BI79</f>
        <v>0</v>
      </c>
      <c r="F287" s="209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269</v>
      </c>
      <c r="C288" s="209" t="str">
        <f>IF(data!BG80&gt;0,data!BG80,"")</f>
        <v>x</v>
      </c>
      <c r="D288" s="209" t="str">
        <f>IF(data!BH80&gt;0,data!BH80,"")</f>
        <v>x</v>
      </c>
      <c r="E288" s="209" t="str">
        <f>IF(data!BI80&gt;0,data!BI80,"")</f>
        <v>x</v>
      </c>
      <c r="F288" s="209" t="str">
        <f>IF(data!BJ80&gt;0,data!BJ80,"")</f>
        <v>x</v>
      </c>
      <c r="G288" s="209" t="str">
        <f>IF(data!BK80&gt;0,data!BK80,"")</f>
        <v>x</v>
      </c>
      <c r="H288" s="209" t="str">
        <f>IF(data!BL80&gt;0,data!BL80,"")</f>
        <v>x</v>
      </c>
      <c r="I288" s="209" t="str">
        <f>IF(data!BM80&gt;0,data!BM80,"")</f>
        <v>x</v>
      </c>
    </row>
    <row r="289" spans="1:9" ht="20.100000000000001" customHeight="1" x14ac:dyDescent="0.25">
      <c r="A289" s="4" t="s">
        <v>960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1008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Jefferson County Public Hospital District No 2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225</v>
      </c>
      <c r="C293" s="15" t="s">
        <v>88</v>
      </c>
      <c r="D293" s="15" t="s">
        <v>89</v>
      </c>
      <c r="E293" s="15" t="s">
        <v>90</v>
      </c>
      <c r="F293" s="15" t="s">
        <v>91</v>
      </c>
      <c r="G293" s="15" t="s">
        <v>92</v>
      </c>
      <c r="H293" s="15" t="s">
        <v>93</v>
      </c>
      <c r="I293" s="15" t="s">
        <v>94</v>
      </c>
    </row>
    <row r="294" spans="1:9" ht="20.100000000000001" customHeight="1" x14ac:dyDescent="0.25">
      <c r="A294" s="81">
        <v>2</v>
      </c>
      <c r="B294" s="17" t="s">
        <v>962</v>
      </c>
      <c r="C294" s="18" t="s">
        <v>164</v>
      </c>
      <c r="D294" s="18" t="s">
        <v>165</v>
      </c>
      <c r="E294" s="18" t="s">
        <v>166</v>
      </c>
      <c r="F294" s="18" t="s">
        <v>167</v>
      </c>
      <c r="G294" s="25"/>
      <c r="H294" s="18" t="s">
        <v>169</v>
      </c>
      <c r="I294" s="18" t="s">
        <v>170</v>
      </c>
    </row>
    <row r="295" spans="1:9" ht="20.100000000000001" customHeight="1" x14ac:dyDescent="0.25">
      <c r="A295" s="82"/>
      <c r="B295" s="83"/>
      <c r="C295" s="18" t="s">
        <v>1009</v>
      </c>
      <c r="D295" s="18" t="s">
        <v>210</v>
      </c>
      <c r="E295" s="18" t="s">
        <v>211</v>
      </c>
      <c r="F295" s="18" t="s">
        <v>212</v>
      </c>
      <c r="G295" s="18" t="s">
        <v>168</v>
      </c>
      <c r="H295" s="18" t="s">
        <v>213</v>
      </c>
      <c r="I295" s="18" t="s">
        <v>185</v>
      </c>
    </row>
    <row r="296" spans="1:9" ht="20.100000000000001" customHeight="1" x14ac:dyDescent="0.25">
      <c r="A296" s="23">
        <v>3</v>
      </c>
      <c r="B296" s="14" t="s">
        <v>966</v>
      </c>
      <c r="C296" s="208"/>
      <c r="D296" s="208"/>
      <c r="E296" s="208"/>
      <c r="F296" s="208"/>
      <c r="G296" s="208"/>
      <c r="H296" s="208"/>
      <c r="I296" s="208"/>
    </row>
    <row r="297" spans="1:9" ht="20.100000000000001" customHeight="1" x14ac:dyDescent="0.25">
      <c r="A297" s="23">
        <v>4</v>
      </c>
      <c r="B297" s="14" t="s">
        <v>250</v>
      </c>
      <c r="C297" s="208"/>
      <c r="D297" s="208"/>
      <c r="E297" s="208"/>
      <c r="F297" s="208"/>
      <c r="G297" s="208"/>
      <c r="H297" s="208"/>
      <c r="I297" s="208"/>
    </row>
    <row r="298" spans="1:9" ht="20.100000000000001" customHeight="1" x14ac:dyDescent="0.25">
      <c r="A298" s="23">
        <v>5</v>
      </c>
      <c r="B298" s="14" t="s">
        <v>251</v>
      </c>
      <c r="C298" s="26">
        <f>data!BN60</f>
        <v>9.0806009615384671</v>
      </c>
      <c r="D298" s="26">
        <f>data!BO60</f>
        <v>0.36557211538461548</v>
      </c>
      <c r="E298" s="26">
        <f>data!BP60</f>
        <v>1</v>
      </c>
      <c r="F298" s="26">
        <f>data!BQ60</f>
        <v>0</v>
      </c>
      <c r="G298" s="26">
        <f>data!BR60</f>
        <v>8.4289615384615413</v>
      </c>
      <c r="H298" s="26">
        <f>data!BS60</f>
        <v>0.73653846153846159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252</v>
      </c>
      <c r="C299" s="14">
        <f>data!BN61</f>
        <v>1166781</v>
      </c>
      <c r="D299" s="14">
        <f>data!BO61</f>
        <v>20650</v>
      </c>
      <c r="E299" s="14">
        <f>data!BP61</f>
        <v>92253</v>
      </c>
      <c r="F299" s="14">
        <f>data!BQ61</f>
        <v>0</v>
      </c>
      <c r="G299" s="14">
        <f>data!BR61</f>
        <v>779190</v>
      </c>
      <c r="H299" s="14">
        <f>data!BS61</f>
        <v>77849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13</v>
      </c>
      <c r="C300" s="14">
        <f>data!BN62</f>
        <v>277308</v>
      </c>
      <c r="D300" s="14">
        <f>data!BO62</f>
        <v>4908</v>
      </c>
      <c r="E300" s="14">
        <f>data!BP62</f>
        <v>21926</v>
      </c>
      <c r="F300" s="14">
        <f>data!BQ62</f>
        <v>0</v>
      </c>
      <c r="G300" s="14">
        <f>data!BR62</f>
        <v>185189</v>
      </c>
      <c r="H300" s="14">
        <f>data!BS62</f>
        <v>18502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253</v>
      </c>
      <c r="C301" s="14">
        <f>data!BN63</f>
        <v>90412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54361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254</v>
      </c>
      <c r="C302" s="14">
        <f>data!BN64</f>
        <v>57388</v>
      </c>
      <c r="D302" s="14">
        <f>data!BO64</f>
        <v>47297</v>
      </c>
      <c r="E302" s="14">
        <f>data!BP64</f>
        <v>36838</v>
      </c>
      <c r="F302" s="14">
        <f>data!BQ64</f>
        <v>0</v>
      </c>
      <c r="G302" s="14">
        <f>data!BR64</f>
        <v>30381</v>
      </c>
      <c r="H302" s="14">
        <f>data!BS64</f>
        <v>3392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482</v>
      </c>
      <c r="C303" s="14">
        <f>data!BN65</f>
        <v>5285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5407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483</v>
      </c>
      <c r="C304" s="14">
        <f>data!BN66</f>
        <v>175733</v>
      </c>
      <c r="D304" s="14">
        <f>data!BO66</f>
        <v>3816</v>
      </c>
      <c r="E304" s="14">
        <f>data!BP66</f>
        <v>50344</v>
      </c>
      <c r="F304" s="14">
        <f>data!BQ66</f>
        <v>0</v>
      </c>
      <c r="G304" s="14">
        <f>data!BR66</f>
        <v>31223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18</v>
      </c>
      <c r="C305" s="14">
        <f>data!BN67</f>
        <v>183433</v>
      </c>
      <c r="D305" s="14">
        <f>data!BO67</f>
        <v>5053</v>
      </c>
      <c r="E305" s="14">
        <f>data!BP67</f>
        <v>6008</v>
      </c>
      <c r="F305" s="14">
        <f>data!BQ67</f>
        <v>0</v>
      </c>
      <c r="G305" s="14">
        <f>data!BR67</f>
        <v>53805</v>
      </c>
      <c r="H305" s="14">
        <f>data!BS67</f>
        <v>11962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513</v>
      </c>
      <c r="C306" s="14">
        <f>data!BN68</f>
        <v>87350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1590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258</v>
      </c>
      <c r="C307" s="14">
        <f>data!BN69</f>
        <v>370912</v>
      </c>
      <c r="D307" s="14">
        <f>data!BO69</f>
        <v>3584</v>
      </c>
      <c r="E307" s="14">
        <f>data!BP69</f>
        <v>179664</v>
      </c>
      <c r="F307" s="14">
        <f>data!BQ69</f>
        <v>0</v>
      </c>
      <c r="G307" s="14">
        <f>data!BR69</f>
        <v>53989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259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-3450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967</v>
      </c>
      <c r="C309" s="14">
        <f>data!BN71</f>
        <v>2414602</v>
      </c>
      <c r="D309" s="14">
        <f>data!BO71</f>
        <v>85308</v>
      </c>
      <c r="E309" s="14">
        <f>data!BP71</f>
        <v>387033</v>
      </c>
      <c r="F309" s="14">
        <f>data!BQ71</f>
        <v>0</v>
      </c>
      <c r="G309" s="14">
        <f>data!BR71</f>
        <v>1195135</v>
      </c>
      <c r="H309" s="14">
        <f>data!BS71</f>
        <v>108255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261</v>
      </c>
      <c r="C310" s="207"/>
      <c r="D310" s="207"/>
      <c r="E310" s="207"/>
      <c r="F310" s="207"/>
      <c r="G310" s="207"/>
      <c r="H310" s="207"/>
      <c r="I310" s="207"/>
    </row>
    <row r="311" spans="1:9" ht="20.100000000000001" customHeight="1" x14ac:dyDescent="0.25">
      <c r="A311" s="23">
        <v>18</v>
      </c>
      <c r="B311" s="14" t="s">
        <v>968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969</v>
      </c>
      <c r="C312" s="209" t="str">
        <f>IF(data!BN73&gt;0,data!BN73,"")</f>
        <v>x</v>
      </c>
      <c r="D312" s="209" t="str">
        <f>IF(data!BO73&gt;0,data!BO73,"")</f>
        <v>x</v>
      </c>
      <c r="E312" s="209" t="str">
        <f>IF(data!BP73&gt;0,data!BP73,"")</f>
        <v>x</v>
      </c>
      <c r="F312" s="209" t="str">
        <f>IF(data!BQ73&gt;0,data!BQ73,"")</f>
        <v>x</v>
      </c>
      <c r="G312" s="209" t="str">
        <f>IF(data!BR73&gt;0,data!BR73,"")</f>
        <v>x</v>
      </c>
      <c r="H312" s="209" t="str">
        <f>IF(data!BS73&gt;0,data!BS73,"")</f>
        <v>x</v>
      </c>
      <c r="I312" s="209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970</v>
      </c>
      <c r="C313" s="209" t="str">
        <f>IF(data!BN74&gt;0,data!BN74,"")</f>
        <v>x</v>
      </c>
      <c r="D313" s="209" t="str">
        <f>IF(data!BO74&gt;0,data!BO74,"")</f>
        <v>x</v>
      </c>
      <c r="E313" s="209" t="str">
        <f>IF(data!BP74&gt;0,data!BP74,"")</f>
        <v>x</v>
      </c>
      <c r="F313" s="209" t="str">
        <f>IF(data!BQ74&gt;0,data!BQ74,"")</f>
        <v>x</v>
      </c>
      <c r="G313" s="209" t="str">
        <f>IF(data!BR74&gt;0,data!BR74,"")</f>
        <v>x</v>
      </c>
      <c r="H313" s="209" t="str">
        <f>IF(data!BS74&gt;0,data!BS74,"")</f>
        <v>x</v>
      </c>
      <c r="I313" s="209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971</v>
      </c>
      <c r="C314" s="209" t="str">
        <f>IF(data!BN75&gt;0,data!BN75,"")</f>
        <v>x</v>
      </c>
      <c r="D314" s="209" t="str">
        <f>IF(data!BO75&gt;0,data!BO75,"")</f>
        <v>x</v>
      </c>
      <c r="E314" s="209" t="str">
        <f>IF(data!BP75&gt;0,data!BP75,"")</f>
        <v>x</v>
      </c>
      <c r="F314" s="209" t="str">
        <f>IF(data!BQ75&gt;0,data!BQ75,"")</f>
        <v>x</v>
      </c>
      <c r="G314" s="209" t="str">
        <f>IF(data!BR75&gt;0,data!BR75,"")</f>
        <v>x</v>
      </c>
      <c r="H314" s="209" t="str">
        <f>IF(data!BS75&gt;0,data!BS75,"")</f>
        <v>x</v>
      </c>
      <c r="I314" s="209" t="str">
        <f>IF(data!BT75&gt;0,data!BT75,"")</f>
        <v>x</v>
      </c>
    </row>
    <row r="315" spans="1:9" ht="20.100000000000001" customHeight="1" x14ac:dyDescent="0.25">
      <c r="A315" s="23" t="s">
        <v>972</v>
      </c>
      <c r="B315" s="60"/>
      <c r="C315" s="207"/>
      <c r="D315" s="207"/>
      <c r="E315" s="207"/>
      <c r="F315" s="207"/>
      <c r="G315" s="207"/>
      <c r="H315" s="207"/>
      <c r="I315" s="207"/>
    </row>
    <row r="316" spans="1:9" ht="20.100000000000001" customHeight="1" x14ac:dyDescent="0.25">
      <c r="A316" s="23">
        <v>22</v>
      </c>
      <c r="B316" s="14" t="s">
        <v>973</v>
      </c>
      <c r="C316" s="85">
        <f>data!BN76</f>
        <v>8821.0616666666683</v>
      </c>
      <c r="D316" s="85">
        <f>data!BO76</f>
        <v>243</v>
      </c>
      <c r="E316" s="85">
        <f>data!BP76</f>
        <v>288.89999999999992</v>
      </c>
      <c r="F316" s="85">
        <f>data!BQ76</f>
        <v>0</v>
      </c>
      <c r="G316" s="85">
        <f>data!BR76</f>
        <v>2587.4</v>
      </c>
      <c r="H316" s="85">
        <f>data!BS76</f>
        <v>575.25833333333321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974</v>
      </c>
      <c r="C317" s="209" t="str">
        <f>IF(data!BN77&gt;0,data!BN77,"")</f>
        <v>x</v>
      </c>
      <c r="D317" s="209" t="str">
        <f>IF(data!BO77&gt;0,data!BO77,"")</f>
        <v>x</v>
      </c>
      <c r="E317" s="209" t="str">
        <f>IF(data!BP77&gt;0,data!BP77,"")</f>
        <v>x</v>
      </c>
      <c r="F317" s="209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975</v>
      </c>
      <c r="C318" s="209" t="str">
        <f>IF(data!BN78&gt;0,data!BN78,"")</f>
        <v>x</v>
      </c>
      <c r="D318" s="209" t="str">
        <f>IF(data!BO78&gt;0,data!BO78,"")</f>
        <v>x</v>
      </c>
      <c r="E318" s="209" t="str">
        <f>IF(data!BP78&gt;0,data!BP78,"")</f>
        <v>x</v>
      </c>
      <c r="F318" s="209" t="str">
        <f>IF(data!BQ78&gt;0,data!BQ78,"")</f>
        <v>x</v>
      </c>
      <c r="G318" s="209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976</v>
      </c>
      <c r="C319" s="209" t="str">
        <f>IF(data!BN79&gt;0,data!BN79,"")</f>
        <v>x</v>
      </c>
      <c r="D319" s="209" t="str">
        <f>IF(data!BO79&gt;0,data!BO79,"")</f>
        <v>x</v>
      </c>
      <c r="E319" s="209" t="str">
        <f>IF(data!BP79&gt;0,data!BP79,"")</f>
        <v>x</v>
      </c>
      <c r="F319" s="209" t="str">
        <f>IF(data!BQ79&gt;0,data!BQ79,"")</f>
        <v>x</v>
      </c>
      <c r="G319" s="209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269</v>
      </c>
      <c r="C320" s="212" t="str">
        <f>IF(data!BN80&gt;0,data!BN80,"")</f>
        <v>x</v>
      </c>
      <c r="D320" s="212" t="str">
        <f>IF(data!BO80&gt;0,data!BO80,"")</f>
        <v>x</v>
      </c>
      <c r="E320" s="212" t="str">
        <f>IF(data!BP80&gt;0,data!BP80,"")</f>
        <v>x</v>
      </c>
      <c r="F320" s="212" t="str">
        <f>IF(data!BQ80&gt;0,data!BQ80,"")</f>
        <v>x</v>
      </c>
      <c r="G320" s="212" t="str">
        <f>IF(data!BR80&gt;0,data!BR80,"")</f>
        <v>x</v>
      </c>
      <c r="H320" s="212" t="str">
        <f>IF(data!BS80&gt;0,data!BS80,"")</f>
        <v>x</v>
      </c>
      <c r="I320" s="212" t="str">
        <f>IF(data!BT80&gt;0,data!BT80,"")</f>
        <v>x</v>
      </c>
    </row>
    <row r="321" spans="1:9" ht="20.100000000000001" customHeight="1" x14ac:dyDescent="0.25">
      <c r="A321" s="4" t="s">
        <v>960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1010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Jefferson County Public Hospital District No 2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225</v>
      </c>
      <c r="C325" s="15" t="s">
        <v>95</v>
      </c>
      <c r="D325" s="15" t="s">
        <v>96</v>
      </c>
      <c r="E325" s="15" t="s">
        <v>97</v>
      </c>
      <c r="F325" s="15" t="s">
        <v>98</v>
      </c>
      <c r="G325" s="15" t="s">
        <v>99</v>
      </c>
      <c r="H325" s="15" t="s">
        <v>100</v>
      </c>
      <c r="I325" s="15" t="s">
        <v>101</v>
      </c>
    </row>
    <row r="326" spans="1:9" ht="20.100000000000001" customHeight="1" x14ac:dyDescent="0.25">
      <c r="A326" s="81">
        <v>2</v>
      </c>
      <c r="B326" s="17" t="s">
        <v>962</v>
      </c>
      <c r="C326" s="18" t="s">
        <v>171</v>
      </c>
      <c r="D326" s="18" t="s">
        <v>171</v>
      </c>
      <c r="E326" s="18" t="s">
        <v>171</v>
      </c>
      <c r="F326" s="18" t="s">
        <v>172</v>
      </c>
      <c r="G326" s="18" t="s">
        <v>173</v>
      </c>
      <c r="H326" s="18" t="s">
        <v>174</v>
      </c>
      <c r="I326" s="18" t="s">
        <v>175</v>
      </c>
    </row>
    <row r="327" spans="1:9" ht="20.100000000000001" customHeight="1" x14ac:dyDescent="0.25">
      <c r="A327" s="82"/>
      <c r="B327" s="83"/>
      <c r="C327" s="18" t="s">
        <v>214</v>
      </c>
      <c r="D327" s="18" t="s">
        <v>215</v>
      </c>
      <c r="E327" s="18" t="s">
        <v>216</v>
      </c>
      <c r="F327" s="18" t="s">
        <v>167</v>
      </c>
      <c r="G327" s="18" t="s">
        <v>1009</v>
      </c>
      <c r="H327" s="18" t="s">
        <v>168</v>
      </c>
      <c r="I327" s="18" t="s">
        <v>217</v>
      </c>
    </row>
    <row r="328" spans="1:9" ht="20.100000000000001" customHeight="1" x14ac:dyDescent="0.25">
      <c r="A328" s="23">
        <v>3</v>
      </c>
      <c r="B328" s="14" t="s">
        <v>966</v>
      </c>
      <c r="C328" s="208"/>
      <c r="D328" s="208"/>
      <c r="E328" s="208"/>
      <c r="F328" s="208"/>
      <c r="G328" s="208"/>
      <c r="H328" s="208"/>
      <c r="I328" s="208"/>
    </row>
    <row r="329" spans="1:9" ht="20.100000000000001" customHeight="1" x14ac:dyDescent="0.25">
      <c r="A329" s="23">
        <v>4</v>
      </c>
      <c r="B329" s="14" t="s">
        <v>250</v>
      </c>
      <c r="C329" s="208"/>
      <c r="D329" s="208"/>
      <c r="E329" s="208"/>
      <c r="F329" s="208"/>
      <c r="G329" s="208"/>
      <c r="H329" s="208"/>
      <c r="I329" s="208"/>
    </row>
    <row r="330" spans="1:9" ht="20.100000000000001" customHeight="1" x14ac:dyDescent="0.25">
      <c r="A330" s="23">
        <v>5</v>
      </c>
      <c r="B330" s="14" t="s">
        <v>251</v>
      </c>
      <c r="C330" s="26">
        <f>data!BU60</f>
        <v>0</v>
      </c>
      <c r="D330" s="26">
        <f>data!BV60</f>
        <v>12.013947115384623</v>
      </c>
      <c r="E330" s="26">
        <f>data!BW60</f>
        <v>3.6101265705128203</v>
      </c>
      <c r="F330" s="26">
        <f>data!BX60</f>
        <v>4.228437500000001</v>
      </c>
      <c r="G330" s="26">
        <f>data!BY60</f>
        <v>8.2275096153846174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252</v>
      </c>
      <c r="C331" s="86">
        <f>data!BU61</f>
        <v>0</v>
      </c>
      <c r="D331" s="86">
        <f>data!BV61</f>
        <v>583295</v>
      </c>
      <c r="E331" s="86">
        <f>data!BW61</f>
        <v>605211</v>
      </c>
      <c r="F331" s="86">
        <f>data!BX61</f>
        <v>413212</v>
      </c>
      <c r="G331" s="86">
        <f>data!BY61</f>
        <v>1027183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13</v>
      </c>
      <c r="C332" s="86">
        <f>data!BU62</f>
        <v>0</v>
      </c>
      <c r="D332" s="86">
        <f>data!BV62</f>
        <v>138631</v>
      </c>
      <c r="E332" s="86">
        <f>data!BW62</f>
        <v>143840</v>
      </c>
      <c r="F332" s="86">
        <f>data!BX62</f>
        <v>98208</v>
      </c>
      <c r="G332" s="86">
        <f>data!BY62</f>
        <v>244130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253</v>
      </c>
      <c r="C333" s="86">
        <f>data!BU63</f>
        <v>0</v>
      </c>
      <c r="D333" s="86">
        <f>data!BV63</f>
        <v>0</v>
      </c>
      <c r="E333" s="86">
        <f>data!BW63</f>
        <v>13200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254</v>
      </c>
      <c r="C334" s="86">
        <f>data!BU64</f>
        <v>0</v>
      </c>
      <c r="D334" s="86">
        <f>data!BV64</f>
        <v>10518</v>
      </c>
      <c r="E334" s="86">
        <f>data!BW64</f>
        <v>23981</v>
      </c>
      <c r="F334" s="86">
        <f>data!BX64</f>
        <v>3945</v>
      </c>
      <c r="G334" s="86">
        <f>data!BY64</f>
        <v>4782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482</v>
      </c>
      <c r="C335" s="86">
        <f>data!BU65</f>
        <v>0</v>
      </c>
      <c r="D335" s="86">
        <f>data!BV65</f>
        <v>6865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483</v>
      </c>
      <c r="C336" s="86">
        <f>data!BU66</f>
        <v>0</v>
      </c>
      <c r="D336" s="86">
        <f>data!BV66</f>
        <v>98123</v>
      </c>
      <c r="E336" s="86">
        <f>data!BW66</f>
        <v>55180</v>
      </c>
      <c r="F336" s="86">
        <f>data!BX66</f>
        <v>18121</v>
      </c>
      <c r="G336" s="86">
        <f>data!BY66</f>
        <v>113631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18</v>
      </c>
      <c r="C337" s="86">
        <f>data!BU67</f>
        <v>0</v>
      </c>
      <c r="D337" s="86">
        <f>data!BV67</f>
        <v>22958</v>
      </c>
      <c r="E337" s="86">
        <f>data!BW67</f>
        <v>8008</v>
      </c>
      <c r="F337" s="86">
        <f>data!BX67</f>
        <v>2324</v>
      </c>
      <c r="G337" s="86">
        <f>data!BY67</f>
        <v>16158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513</v>
      </c>
      <c r="C338" s="86">
        <f>data!BU68</f>
        <v>0</v>
      </c>
      <c r="D338" s="86">
        <f>data!BV68</f>
        <v>21494</v>
      </c>
      <c r="E338" s="86">
        <f>data!BW68</f>
        <v>1000</v>
      </c>
      <c r="F338" s="86">
        <f>data!BX68</f>
        <v>0</v>
      </c>
      <c r="G338" s="86">
        <f>data!BY68</f>
        <v>-84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258</v>
      </c>
      <c r="C339" s="86">
        <f>data!BU69</f>
        <v>0</v>
      </c>
      <c r="D339" s="86">
        <f>data!BV69</f>
        <v>12485</v>
      </c>
      <c r="E339" s="86">
        <f>data!BW69</f>
        <v>58078</v>
      </c>
      <c r="F339" s="86">
        <f>data!BX69</f>
        <v>2286</v>
      </c>
      <c r="G339" s="86">
        <f>data!BY69</f>
        <v>20027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259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967</v>
      </c>
      <c r="C341" s="14">
        <f>data!BU71</f>
        <v>0</v>
      </c>
      <c r="D341" s="14">
        <f>data!BV71</f>
        <v>894369</v>
      </c>
      <c r="E341" s="14">
        <f>data!BW71</f>
        <v>908498</v>
      </c>
      <c r="F341" s="14">
        <f>data!BX71</f>
        <v>538096</v>
      </c>
      <c r="G341" s="14">
        <f>data!BY71</f>
        <v>1425827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261</v>
      </c>
      <c r="C342" s="207"/>
      <c r="D342" s="207"/>
      <c r="E342" s="207"/>
      <c r="F342" s="207"/>
      <c r="G342" s="207"/>
      <c r="H342" s="207"/>
      <c r="I342" s="207"/>
    </row>
    <row r="343" spans="1:9" ht="20.100000000000001" customHeight="1" x14ac:dyDescent="0.25">
      <c r="A343" s="23">
        <v>18</v>
      </c>
      <c r="B343" s="14" t="s">
        <v>968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969</v>
      </c>
      <c r="C344" s="209" t="str">
        <f>IF(data!BU73&gt;0,data!BU73,"")</f>
        <v>x</v>
      </c>
      <c r="D344" s="209" t="str">
        <f>IF(data!BV73&gt;0,data!BV73,"")</f>
        <v>x</v>
      </c>
      <c r="E344" s="209" t="str">
        <f>IF(data!BW73&gt;0,data!BW73,"")</f>
        <v>x</v>
      </c>
      <c r="F344" s="209" t="str">
        <f>IF(data!BX73&gt;0,data!BX73,"")</f>
        <v>x</v>
      </c>
      <c r="G344" s="209" t="str">
        <f>IF(data!BY73&gt;0,data!BY73,"")</f>
        <v>x</v>
      </c>
      <c r="H344" s="209" t="str">
        <f>IF(data!BZ73&gt;0,data!BZ73,"")</f>
        <v>x</v>
      </c>
      <c r="I344" s="209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970</v>
      </c>
      <c r="C345" s="209" t="str">
        <f>IF(data!BU74&gt;0,data!BU74,"")</f>
        <v>x</v>
      </c>
      <c r="D345" s="209" t="str">
        <f>IF(data!BV74&gt;0,data!BV74,"")</f>
        <v>x</v>
      </c>
      <c r="E345" s="209" t="str">
        <f>IF(data!BW74&gt;0,data!BW74,"")</f>
        <v>x</v>
      </c>
      <c r="F345" s="209" t="str">
        <f>IF(data!BX74&gt;0,data!BX74,"")</f>
        <v>x</v>
      </c>
      <c r="G345" s="209" t="str">
        <f>IF(data!BY74&gt;0,data!BY74,"")</f>
        <v>x</v>
      </c>
      <c r="H345" s="209" t="str">
        <f>IF(data!BZ74&gt;0,data!BZ74,"")</f>
        <v>x</v>
      </c>
      <c r="I345" s="209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971</v>
      </c>
      <c r="C346" s="209" t="str">
        <f>IF(data!BU75&gt;0,data!BU75,"")</f>
        <v>x</v>
      </c>
      <c r="D346" s="209" t="str">
        <f>IF(data!BV75&gt;0,data!BV75,"")</f>
        <v>x</v>
      </c>
      <c r="E346" s="209" t="str">
        <f>IF(data!BW75&gt;0,data!BW75,"")</f>
        <v>x</v>
      </c>
      <c r="F346" s="209" t="str">
        <f>IF(data!BX75&gt;0,data!BX75,"")</f>
        <v>x</v>
      </c>
      <c r="G346" s="209" t="str">
        <f>IF(data!BY75&gt;0,data!BY75,"")</f>
        <v>x</v>
      </c>
      <c r="H346" s="209" t="str">
        <f>IF(data!BZ75&gt;0,data!BZ75,"")</f>
        <v>x</v>
      </c>
      <c r="I346" s="209" t="str">
        <f>IF(data!CA75&gt;0,data!CA75,"")</f>
        <v>x</v>
      </c>
    </row>
    <row r="347" spans="1:9" ht="20.100000000000001" customHeight="1" x14ac:dyDescent="0.25">
      <c r="A347" s="23" t="s">
        <v>972</v>
      </c>
      <c r="B347" s="60"/>
      <c r="C347" s="207"/>
      <c r="D347" s="207"/>
      <c r="E347" s="207"/>
      <c r="F347" s="207"/>
      <c r="G347" s="207"/>
      <c r="H347" s="207"/>
      <c r="I347" s="207"/>
    </row>
    <row r="348" spans="1:9" ht="20.100000000000001" customHeight="1" x14ac:dyDescent="0.25">
      <c r="A348" s="23">
        <v>22</v>
      </c>
      <c r="B348" s="14" t="s">
        <v>973</v>
      </c>
      <c r="C348" s="85">
        <f>data!BU76</f>
        <v>0</v>
      </c>
      <c r="D348" s="85">
        <f>data!BV76</f>
        <v>1104.0000000000002</v>
      </c>
      <c r="E348" s="85">
        <f>data!BW76</f>
        <v>385.10000000000014</v>
      </c>
      <c r="F348" s="85">
        <f>data!BX76</f>
        <v>111.75000000000001</v>
      </c>
      <c r="G348" s="85">
        <f>data!BY76</f>
        <v>777.00749999999994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974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975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976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269</v>
      </c>
      <c r="C352" s="212" t="str">
        <f>IF(data!BU80&gt;0,data!BU80,"")</f>
        <v/>
      </c>
      <c r="D352" s="212" t="str">
        <f>IF(data!BV80&gt;0,data!BV80,"")</f>
        <v/>
      </c>
      <c r="E352" s="212" t="str">
        <f>IF(data!BW80&gt;0,data!BW80,"")</f>
        <v/>
      </c>
      <c r="F352" s="212" t="str">
        <f>IF(data!BX80&gt;0,data!BX80,"")</f>
        <v/>
      </c>
      <c r="G352" s="212" t="str">
        <f>IF(data!BY80&gt;0,data!BY80,"")</f>
        <v/>
      </c>
      <c r="H352" s="212" t="str">
        <f>IF(data!BZ80&gt;0,data!BZ80,"")</f>
        <v/>
      </c>
      <c r="I352" s="212" t="str">
        <f>IF(data!CA80&gt;0,data!CA80,"")</f>
        <v/>
      </c>
    </row>
    <row r="353" spans="1:9" ht="20.100000000000001" customHeight="1" x14ac:dyDescent="0.25">
      <c r="A353" s="4" t="s">
        <v>960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1011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Jefferson County Public Hospital District No 2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225</v>
      </c>
      <c r="C357" s="15" t="s">
        <v>102</v>
      </c>
      <c r="D357" s="15" t="s">
        <v>103</v>
      </c>
      <c r="E357" s="15" t="s">
        <v>104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962</v>
      </c>
      <c r="C358" s="18" t="s">
        <v>176</v>
      </c>
      <c r="D358" s="18" t="s">
        <v>148</v>
      </c>
      <c r="E358" s="18" t="s">
        <v>227</v>
      </c>
      <c r="F358" s="91"/>
      <c r="G358" s="91"/>
      <c r="H358" s="91"/>
      <c r="I358" s="18" t="s">
        <v>177</v>
      </c>
    </row>
    <row r="359" spans="1:9" ht="20.100000000000001" customHeight="1" x14ac:dyDescent="0.25">
      <c r="A359" s="82"/>
      <c r="B359" s="83"/>
      <c r="C359" s="18" t="s">
        <v>217</v>
      </c>
      <c r="D359" s="18" t="s">
        <v>1012</v>
      </c>
      <c r="E359" s="18" t="s">
        <v>229</v>
      </c>
      <c r="F359" s="91"/>
      <c r="G359" s="91"/>
      <c r="H359" s="91"/>
      <c r="I359" s="18" t="s">
        <v>219</v>
      </c>
    </row>
    <row r="360" spans="1:9" ht="20.100000000000001" customHeight="1" x14ac:dyDescent="0.25">
      <c r="A360" s="23">
        <v>3</v>
      </c>
      <c r="B360" s="14" t="s">
        <v>966</v>
      </c>
      <c r="C360" s="208"/>
      <c r="D360" s="208"/>
      <c r="E360" s="208"/>
      <c r="F360" s="208"/>
      <c r="G360" s="208"/>
      <c r="H360" s="208"/>
      <c r="I360" s="208"/>
    </row>
    <row r="361" spans="1:9" ht="20.100000000000001" customHeight="1" x14ac:dyDescent="0.25">
      <c r="A361" s="23">
        <v>4</v>
      </c>
      <c r="B361" s="14" t="s">
        <v>250</v>
      </c>
      <c r="C361" s="208"/>
      <c r="D361" s="208"/>
      <c r="E361" s="208"/>
      <c r="F361" s="208"/>
      <c r="G361" s="208"/>
      <c r="H361" s="208"/>
      <c r="I361" s="208"/>
    </row>
    <row r="362" spans="1:9" ht="20.100000000000001" customHeight="1" x14ac:dyDescent="0.25">
      <c r="A362" s="23">
        <v>5</v>
      </c>
      <c r="B362" s="14" t="s">
        <v>251</v>
      </c>
      <c r="C362" s="26">
        <f>data!CB60</f>
        <v>1.365528846153846</v>
      </c>
      <c r="D362" s="26">
        <f>data!CC60</f>
        <v>10.434466346153847</v>
      </c>
      <c r="E362" s="213"/>
      <c r="F362" s="207"/>
      <c r="G362" s="207"/>
      <c r="H362" s="207"/>
      <c r="I362" s="87">
        <f>data!CE60</f>
        <v>645.78988430104766</v>
      </c>
    </row>
    <row r="363" spans="1:9" ht="20.100000000000001" customHeight="1" x14ac:dyDescent="0.25">
      <c r="A363" s="23">
        <v>6</v>
      </c>
      <c r="B363" s="14" t="s">
        <v>252</v>
      </c>
      <c r="C363" s="86">
        <f>data!CB61</f>
        <v>58619</v>
      </c>
      <c r="D363" s="86">
        <f>data!CC61</f>
        <v>1235261</v>
      </c>
      <c r="E363" s="214"/>
      <c r="F363" s="215"/>
      <c r="G363" s="215"/>
      <c r="H363" s="215"/>
      <c r="I363" s="86">
        <f>data!CE61</f>
        <v>57874283</v>
      </c>
    </row>
    <row r="364" spans="1:9" ht="20.100000000000001" customHeight="1" x14ac:dyDescent="0.25">
      <c r="A364" s="23">
        <v>7</v>
      </c>
      <c r="B364" s="14" t="s">
        <v>13</v>
      </c>
      <c r="C364" s="86">
        <f>data!CB62</f>
        <v>13932</v>
      </c>
      <c r="D364" s="86">
        <f>data!CC62</f>
        <v>293583</v>
      </c>
      <c r="E364" s="214"/>
      <c r="F364" s="215"/>
      <c r="G364" s="215"/>
      <c r="H364" s="215"/>
      <c r="I364" s="86">
        <f>data!CE62</f>
        <v>13754927</v>
      </c>
    </row>
    <row r="365" spans="1:9" ht="20.100000000000001" customHeight="1" x14ac:dyDescent="0.25">
      <c r="A365" s="23">
        <v>8</v>
      </c>
      <c r="B365" s="14" t="s">
        <v>253</v>
      </c>
      <c r="C365" s="86">
        <f>data!CB63</f>
        <v>0</v>
      </c>
      <c r="D365" s="86">
        <f>data!CC63</f>
        <v>72013</v>
      </c>
      <c r="E365" s="214"/>
      <c r="F365" s="215"/>
      <c r="G365" s="215"/>
      <c r="H365" s="215"/>
      <c r="I365" s="86">
        <f>data!CE63</f>
        <v>6575946</v>
      </c>
    </row>
    <row r="366" spans="1:9" ht="20.100000000000001" customHeight="1" x14ac:dyDescent="0.25">
      <c r="A366" s="23">
        <v>9</v>
      </c>
      <c r="B366" s="14" t="s">
        <v>254</v>
      </c>
      <c r="C366" s="86">
        <f>data!CB64</f>
        <v>8602</v>
      </c>
      <c r="D366" s="86">
        <f>data!CC64</f>
        <v>52797</v>
      </c>
      <c r="E366" s="214"/>
      <c r="F366" s="215"/>
      <c r="G366" s="215"/>
      <c r="H366" s="215"/>
      <c r="I366" s="86">
        <f>data!CE64</f>
        <v>23375062</v>
      </c>
    </row>
    <row r="367" spans="1:9" ht="20.100000000000001" customHeight="1" x14ac:dyDescent="0.25">
      <c r="A367" s="23">
        <v>10</v>
      </c>
      <c r="B367" s="14" t="s">
        <v>482</v>
      </c>
      <c r="C367" s="86">
        <f>data!CB65</f>
        <v>3311</v>
      </c>
      <c r="D367" s="86">
        <f>data!CC65</f>
        <v>1716</v>
      </c>
      <c r="E367" s="214"/>
      <c r="F367" s="215"/>
      <c r="G367" s="215"/>
      <c r="H367" s="215"/>
      <c r="I367" s="86">
        <f>data!CE65</f>
        <v>1175553</v>
      </c>
    </row>
    <row r="368" spans="1:9" ht="20.100000000000001" customHeight="1" x14ac:dyDescent="0.25">
      <c r="A368" s="23">
        <v>11</v>
      </c>
      <c r="B368" s="14" t="s">
        <v>483</v>
      </c>
      <c r="C368" s="86">
        <f>data!CB66</f>
        <v>2289</v>
      </c>
      <c r="D368" s="86">
        <f>data!CC66</f>
        <v>185761</v>
      </c>
      <c r="E368" s="214"/>
      <c r="F368" s="215"/>
      <c r="G368" s="215"/>
      <c r="H368" s="215"/>
      <c r="I368" s="86">
        <f>data!CE66</f>
        <v>6534407</v>
      </c>
    </row>
    <row r="369" spans="1:9" ht="20.100000000000001" customHeight="1" x14ac:dyDescent="0.25">
      <c r="A369" s="23">
        <v>12</v>
      </c>
      <c r="B369" s="14" t="s">
        <v>18</v>
      </c>
      <c r="C369" s="86">
        <f>data!CB67</f>
        <v>33334</v>
      </c>
      <c r="D369" s="86">
        <f>data!CC67</f>
        <v>57867</v>
      </c>
      <c r="E369" s="214"/>
      <c r="F369" s="215"/>
      <c r="G369" s="215"/>
      <c r="H369" s="215"/>
      <c r="I369" s="86">
        <f>data!CE67</f>
        <v>4743347</v>
      </c>
    </row>
    <row r="370" spans="1:9" ht="20.100000000000001" customHeight="1" x14ac:dyDescent="0.25">
      <c r="A370" s="23">
        <v>13</v>
      </c>
      <c r="B370" s="14" t="s">
        <v>513</v>
      </c>
      <c r="C370" s="86">
        <f>data!CB68</f>
        <v>30297</v>
      </c>
      <c r="D370" s="86">
        <f>data!CC68</f>
        <v>52705</v>
      </c>
      <c r="E370" s="214"/>
      <c r="F370" s="215"/>
      <c r="G370" s="215"/>
      <c r="H370" s="215"/>
      <c r="I370" s="86">
        <f>data!CE68</f>
        <v>1631572</v>
      </c>
    </row>
    <row r="371" spans="1:9" ht="20.100000000000001" customHeight="1" x14ac:dyDescent="0.25">
      <c r="A371" s="23">
        <v>14</v>
      </c>
      <c r="B371" s="14" t="s">
        <v>258</v>
      </c>
      <c r="C371" s="86">
        <f>data!CB69</f>
        <v>549</v>
      </c>
      <c r="D371" s="86">
        <f>data!CC69</f>
        <v>474782</v>
      </c>
      <c r="E371" s="86">
        <f>data!CD69</f>
        <v>2448720</v>
      </c>
      <c r="F371" s="215"/>
      <c r="G371" s="215"/>
      <c r="H371" s="215"/>
      <c r="I371" s="86">
        <f>data!CE69</f>
        <v>5569039</v>
      </c>
    </row>
    <row r="372" spans="1:9" ht="20.100000000000001" customHeight="1" x14ac:dyDescent="0.25">
      <c r="A372" s="23">
        <v>15</v>
      </c>
      <c r="B372" s="14" t="s">
        <v>259</v>
      </c>
      <c r="C372" s="14">
        <f>-data!CB70</f>
        <v>-47085</v>
      </c>
      <c r="D372" s="14">
        <f>-data!CC70</f>
        <v>-149206</v>
      </c>
      <c r="E372" s="223">
        <f>data!CD70</f>
        <v>3782543</v>
      </c>
      <c r="F372" s="216"/>
      <c r="G372" s="216"/>
      <c r="H372" s="216"/>
      <c r="I372" s="14">
        <f>-data!CE70</f>
        <v>-5538863</v>
      </c>
    </row>
    <row r="373" spans="1:9" ht="20.100000000000001" customHeight="1" x14ac:dyDescent="0.25">
      <c r="A373" s="23">
        <v>16</v>
      </c>
      <c r="B373" s="48" t="s">
        <v>967</v>
      </c>
      <c r="C373" s="86">
        <f>data!CB71</f>
        <v>103848</v>
      </c>
      <c r="D373" s="86">
        <f>data!CC71</f>
        <v>2277279</v>
      </c>
      <c r="E373" s="86">
        <f>data!CD71</f>
        <v>-1333823</v>
      </c>
      <c r="F373" s="215"/>
      <c r="G373" s="215"/>
      <c r="H373" s="215"/>
      <c r="I373" s="14">
        <f>data!CE71</f>
        <v>115695273</v>
      </c>
    </row>
    <row r="374" spans="1:9" ht="20.100000000000001" customHeight="1" x14ac:dyDescent="0.25">
      <c r="A374" s="23">
        <v>17</v>
      </c>
      <c r="B374" s="14" t="s">
        <v>261</v>
      </c>
      <c r="C374" s="215"/>
      <c r="D374" s="215"/>
      <c r="E374" s="215"/>
      <c r="F374" s="215"/>
      <c r="G374" s="215"/>
      <c r="H374" s="215"/>
      <c r="I374" s="14">
        <f>-data!CE72</f>
        <v>-472196</v>
      </c>
    </row>
    <row r="375" spans="1:9" ht="20.100000000000001" customHeight="1" x14ac:dyDescent="0.25">
      <c r="A375" s="23">
        <v>18</v>
      </c>
      <c r="B375" s="14" t="s">
        <v>968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969</v>
      </c>
      <c r="C376" s="209" t="str">
        <f>IF(data!CB73&gt;0,data!CB73,"")</f>
        <v>x</v>
      </c>
      <c r="D376" s="209" t="str">
        <f>IF(data!CC73&gt;0,data!CC73,"")</f>
        <v>x</v>
      </c>
      <c r="E376" s="210"/>
      <c r="F376" s="207"/>
      <c r="G376" s="207"/>
      <c r="H376" s="207"/>
      <c r="I376" s="85">
        <f>data!CE73</f>
        <v>45443363</v>
      </c>
    </row>
    <row r="377" spans="1:9" ht="20.100000000000001" customHeight="1" x14ac:dyDescent="0.25">
      <c r="A377" s="23">
        <v>20</v>
      </c>
      <c r="B377" s="48" t="s">
        <v>970</v>
      </c>
      <c r="C377" s="209" t="str">
        <f>IF(data!CB74&gt;0,data!CB74,"")</f>
        <v>x</v>
      </c>
      <c r="D377" s="209" t="str">
        <f>IF(data!CC74&gt;0,data!CC74,"")</f>
        <v>x</v>
      </c>
      <c r="E377" s="210"/>
      <c r="F377" s="207"/>
      <c r="G377" s="207"/>
      <c r="H377" s="207"/>
      <c r="I377" s="85">
        <f>data!CE74</f>
        <v>215960869</v>
      </c>
    </row>
    <row r="378" spans="1:9" ht="20.100000000000001" customHeight="1" x14ac:dyDescent="0.25">
      <c r="A378" s="23">
        <v>21</v>
      </c>
      <c r="B378" s="48" t="s">
        <v>971</v>
      </c>
      <c r="C378" s="209" t="str">
        <f>IF(data!CB75&gt;0,data!CB75,"")</f>
        <v>x</v>
      </c>
      <c r="D378" s="209" t="str">
        <f>IF(data!CC75&gt;0,data!CC75,"")</f>
        <v>x</v>
      </c>
      <c r="E378" s="210"/>
      <c r="F378" s="207"/>
      <c r="G378" s="207"/>
      <c r="H378" s="207"/>
      <c r="I378" s="85">
        <f>data!CE75</f>
        <v>261404232</v>
      </c>
    </row>
    <row r="379" spans="1:9" ht="20.100000000000001" customHeight="1" x14ac:dyDescent="0.25">
      <c r="A379" s="23" t="s">
        <v>972</v>
      </c>
      <c r="B379" s="60"/>
      <c r="C379" s="207"/>
      <c r="D379" s="207"/>
      <c r="E379" s="207"/>
      <c r="F379" s="207"/>
      <c r="G379" s="207"/>
      <c r="H379" s="207"/>
      <c r="I379" s="207"/>
    </row>
    <row r="380" spans="1:9" ht="20.100000000000001" customHeight="1" x14ac:dyDescent="0.25">
      <c r="A380" s="23">
        <v>22</v>
      </c>
      <c r="B380" s="14" t="s">
        <v>973</v>
      </c>
      <c r="C380" s="85">
        <f>data!CB76</f>
        <v>1602.9999999999998</v>
      </c>
      <c r="D380" s="85">
        <f>data!CC76</f>
        <v>2782.7541666666666</v>
      </c>
      <c r="E380" s="210"/>
      <c r="F380" s="207"/>
      <c r="G380" s="207"/>
      <c r="H380" s="207"/>
      <c r="I380" s="14">
        <f>data!CE76</f>
        <v>228101.29999999996</v>
      </c>
    </row>
    <row r="381" spans="1:9" ht="20.100000000000001" customHeight="1" x14ac:dyDescent="0.25">
      <c r="A381" s="23">
        <v>23</v>
      </c>
      <c r="B381" s="14" t="s">
        <v>974</v>
      </c>
      <c r="C381" s="14" t="str">
        <f>IF(data!CB77&gt;0,data!CB77,"")</f>
        <v/>
      </c>
      <c r="D381" s="209" t="str">
        <f>IF(data!CC77&gt;0,data!CC77,"")</f>
        <v>x</v>
      </c>
      <c r="E381" s="210"/>
      <c r="F381" s="207"/>
      <c r="G381" s="207"/>
      <c r="H381" s="207"/>
      <c r="I381" s="14">
        <f>data!CE77</f>
        <v>15632</v>
      </c>
    </row>
    <row r="382" spans="1:9" ht="20.100000000000001" customHeight="1" x14ac:dyDescent="0.25">
      <c r="A382" s="23">
        <v>24</v>
      </c>
      <c r="B382" s="14" t="s">
        <v>975</v>
      </c>
      <c r="C382" s="14" t="str">
        <f>IF(data!CB78&gt;0,data!CB78,"")</f>
        <v/>
      </c>
      <c r="D382" s="209" t="str">
        <f>IF(data!CC78&gt;0,data!CC78,"")</f>
        <v>x</v>
      </c>
      <c r="E382" s="210"/>
      <c r="F382" s="207"/>
      <c r="G382" s="207"/>
      <c r="H382" s="207"/>
      <c r="I382" s="14">
        <f>data!CE78</f>
        <v>92428.88</v>
      </c>
    </row>
    <row r="383" spans="1:9" ht="20.100000000000001" customHeight="1" x14ac:dyDescent="0.25">
      <c r="A383" s="23">
        <v>25</v>
      </c>
      <c r="B383" s="14" t="s">
        <v>976</v>
      </c>
      <c r="C383" s="14" t="str">
        <f>IF(data!CB79&gt;0,data!CB79,"")</f>
        <v/>
      </c>
      <c r="D383" s="209" t="str">
        <f>IF(data!CC79&gt;0,data!CC79,"")</f>
        <v>x</v>
      </c>
      <c r="E383" s="210"/>
      <c r="F383" s="207"/>
      <c r="G383" s="207"/>
      <c r="H383" s="207"/>
      <c r="I383" s="14">
        <f>data!CE79</f>
        <v>286110</v>
      </c>
    </row>
    <row r="384" spans="1:9" ht="20.100000000000001" customHeight="1" x14ac:dyDescent="0.25">
      <c r="A384" s="23">
        <v>26</v>
      </c>
      <c r="B384" s="14" t="s">
        <v>269</v>
      </c>
      <c r="C384" s="209" t="str">
        <f>IF(data!CB80&gt;0,data!CB80,"")</f>
        <v/>
      </c>
      <c r="D384" s="209" t="str">
        <f>IF(data!CC80&gt;0,data!CC80,"")</f>
        <v>x</v>
      </c>
      <c r="E384" s="213"/>
      <c r="F384" s="207"/>
      <c r="G384" s="207"/>
      <c r="H384" s="207"/>
      <c r="I384" s="84">
        <f>data!CE80</f>
        <v>113.2860336538462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1DA7FB3774EE4987B2696ACF78C328" ma:contentTypeVersion="" ma:contentTypeDescription="Create a new document." ma:contentTypeScope="" ma:versionID="55a1a6643c67d56a3745bcdd62f26c25">
  <xsd:schema xmlns:xsd="http://www.w3.org/2001/XMLSchema" xmlns:xs="http://www.w3.org/2001/XMLSchema" xmlns:p="http://schemas.microsoft.com/office/2006/metadata/properties" xmlns:ns1="http://schemas.microsoft.com/sharepoint/v3" xmlns:ns2="499c9adf-c2d5-475e-80fb-2dd9f2648b58" targetNamespace="http://schemas.microsoft.com/office/2006/metadata/properties" ma:root="true" ma:fieldsID="0eab5600b3ae645cc613547d5465156b" ns1:_="" ns2:_="">
    <xsd:import namespace="http://schemas.microsoft.com/sharepoint/v3"/>
    <xsd:import namespace="499c9adf-c2d5-475e-80fb-2dd9f2648b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9c9adf-c2d5-475e-80fb-2dd9f2648b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37B86E-0E41-409B-9B52-83A5D4CE665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2AE2142-58A7-4FD8-8A4D-30AC52B49B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D7F5D6-D06E-45EB-95EB-5A856243E1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99c9adf-c2d5-475e-80fb-2dd9f2648b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dc:description/>
  <cp:lastModifiedBy>Huyck, Randall  (DOH)</cp:lastModifiedBy>
  <cp:revision/>
  <dcterms:created xsi:type="dcterms:W3CDTF">1999-06-02T22:01:56Z</dcterms:created>
  <dcterms:modified xsi:type="dcterms:W3CDTF">2020-09-02T23:54:52Z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0x010100AD1DA7FB3774EE4987B2696ACF78C328</vt:lpwstr>
  </property>
</Properties>
</file>