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data!$DR$681:$DR$726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D69" i="1" l="1"/>
  <c r="AE79" i="1" l="1"/>
  <c r="I79" i="1"/>
  <c r="I77" i="1" l="1"/>
  <c r="AV60" i="1" l="1"/>
  <c r="CC60" i="1"/>
  <c r="BN60" i="1"/>
  <c r="Q60" i="1" l="1"/>
  <c r="C215" i="1" l="1"/>
  <c r="C213" i="1"/>
  <c r="B213" i="1"/>
  <c r="B214" i="1"/>
  <c r="C211" i="1"/>
  <c r="C210" i="1"/>
  <c r="B210" i="1"/>
  <c r="C189" i="1" l="1"/>
  <c r="C175" i="1"/>
  <c r="C176" i="1" s="1"/>
  <c r="C172" i="1"/>
  <c r="C170" i="1"/>
  <c r="C337" i="1"/>
  <c r="C327" i="1"/>
  <c r="C324" i="1"/>
  <c r="C392" i="1"/>
  <c r="C386" i="1" l="1"/>
  <c r="C366" i="1"/>
  <c r="D111" i="1" l="1"/>
  <c r="BN61" i="1" l="1"/>
  <c r="CC61" i="1"/>
  <c r="AV61" i="1"/>
  <c r="BR61" i="1"/>
  <c r="BK61" i="1"/>
  <c r="AV69" i="1"/>
  <c r="I69" i="1"/>
  <c r="AV66" i="1"/>
  <c r="S66" i="1"/>
  <c r="AV64" i="1"/>
  <c r="AV74" i="1"/>
  <c r="AV73" i="1"/>
  <c r="CC69" i="1"/>
  <c r="CC64" i="1"/>
  <c r="CC68" i="1"/>
  <c r="CC65" i="1"/>
  <c r="CC66" i="1"/>
  <c r="BN69" i="1"/>
  <c r="BN66" i="1"/>
  <c r="BN65" i="1"/>
  <c r="BN64" i="1"/>
  <c r="BN63" i="1"/>
  <c r="AV68" i="1"/>
  <c r="AV76" i="1"/>
  <c r="AC59" i="1"/>
  <c r="U74" i="1" l="1"/>
  <c r="U73" i="1"/>
  <c r="U66" i="1"/>
  <c r="U64" i="1"/>
  <c r="U59" i="1"/>
  <c r="S64" i="1"/>
  <c r="P69" i="1" l="1"/>
  <c r="O817" i="10" l="1"/>
  <c r="M817" i="10"/>
  <c r="K817" i="10"/>
  <c r="J817" i="10"/>
  <c r="I817" i="10"/>
  <c r="H817" i="10"/>
  <c r="G817" i="10"/>
  <c r="F817" i="10"/>
  <c r="E817" i="10"/>
  <c r="D817" i="10"/>
  <c r="W815" i="10"/>
  <c r="X813" i="10"/>
  <c r="X815" i="10" s="1"/>
  <c r="W813" i="10"/>
  <c r="V813" i="10"/>
  <c r="V815" i="10" s="1"/>
  <c r="U813" i="10"/>
  <c r="U815" i="10" s="1"/>
  <c r="A813" i="10"/>
  <c r="T812" i="10"/>
  <c r="S812" i="10"/>
  <c r="R812" i="10"/>
  <c r="Q812" i="10"/>
  <c r="P812" i="10"/>
  <c r="M812" i="10"/>
  <c r="F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A797" i="10"/>
  <c r="T796" i="10"/>
  <c r="S796" i="10"/>
  <c r="R796" i="10"/>
  <c r="Q796" i="10"/>
  <c r="P796" i="10"/>
  <c r="M796" i="10"/>
  <c r="L796" i="10"/>
  <c r="K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M779" i="10"/>
  <c r="H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C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C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H752" i="10"/>
  <c r="F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H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P736" i="10"/>
  <c r="O736" i="10"/>
  <c r="M736" i="10"/>
  <c r="L736" i="10"/>
  <c r="K736" i="10"/>
  <c r="I736" i="10"/>
  <c r="H736" i="10"/>
  <c r="G736" i="10"/>
  <c r="F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C734" i="10"/>
  <c r="B734" i="10"/>
  <c r="A734" i="10"/>
  <c r="CF730" i="10"/>
  <c r="CE730" i="10"/>
  <c r="CC730" i="10"/>
  <c r="CB730" i="10"/>
  <c r="CA730" i="10"/>
  <c r="BZ730" i="10"/>
  <c r="BX730" i="10"/>
  <c r="BW730" i="10"/>
  <c r="BV730" i="10"/>
  <c r="BU730" i="10"/>
  <c r="BT730" i="10"/>
  <c r="BS730" i="10"/>
  <c r="BR730" i="10"/>
  <c r="BQ730" i="10"/>
  <c r="BP730" i="10"/>
  <c r="BO730" i="10"/>
  <c r="BM730" i="10"/>
  <c r="BL730" i="10"/>
  <c r="BK730" i="10"/>
  <c r="BJ730" i="10"/>
  <c r="BF730" i="10"/>
  <c r="BB730" i="10"/>
  <c r="BA730" i="10"/>
  <c r="AZ730" i="10"/>
  <c r="AY730" i="10"/>
  <c r="AX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I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S730" i="10"/>
  <c r="R730" i="10"/>
  <c r="Q730" i="10"/>
  <c r="P730" i="10"/>
  <c r="O730" i="10"/>
  <c r="N730" i="10"/>
  <c r="M730" i="10"/>
  <c r="L730" i="10"/>
  <c r="K730" i="10"/>
  <c r="I730" i="10"/>
  <c r="H730" i="10"/>
  <c r="G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M722" i="10"/>
  <c r="BJ722" i="10"/>
  <c r="BG722" i="10"/>
  <c r="BE722" i="10"/>
  <c r="BD722" i="10"/>
  <c r="BC722" i="10"/>
  <c r="BB722" i="10"/>
  <c r="BA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P722" i="10"/>
  <c r="O722" i="10"/>
  <c r="N722" i="10"/>
  <c r="M722" i="10"/>
  <c r="L722" i="10"/>
  <c r="K722" i="10"/>
  <c r="F722" i="10"/>
  <c r="E722" i="10"/>
  <c r="D722" i="10"/>
  <c r="C722" i="10"/>
  <c r="B722" i="10"/>
  <c r="A722" i="10"/>
  <c r="C615" i="10"/>
  <c r="F550" i="10"/>
  <c r="E550" i="10"/>
  <c r="E546" i="10"/>
  <c r="F546" i="10"/>
  <c r="E545" i="10"/>
  <c r="F544" i="10"/>
  <c r="E544" i="10"/>
  <c r="E540" i="10"/>
  <c r="H540" i="10"/>
  <c r="F539" i="10"/>
  <c r="E539" i="10"/>
  <c r="H539" i="10"/>
  <c r="E538" i="10"/>
  <c r="F538" i="10"/>
  <c r="H537" i="10"/>
  <c r="F537" i="10"/>
  <c r="E537" i="10"/>
  <c r="E536" i="10"/>
  <c r="F535" i="10"/>
  <c r="E535" i="10"/>
  <c r="H535" i="10"/>
  <c r="H534" i="10"/>
  <c r="F534" i="10"/>
  <c r="E534" i="10"/>
  <c r="H533" i="10"/>
  <c r="E533" i="10"/>
  <c r="F533" i="10"/>
  <c r="F532" i="10"/>
  <c r="E532" i="10"/>
  <c r="H532" i="10"/>
  <c r="E531" i="10"/>
  <c r="F531" i="10"/>
  <c r="E530" i="10"/>
  <c r="F530" i="10"/>
  <c r="H529" i="10"/>
  <c r="F529" i="10"/>
  <c r="E529" i="10"/>
  <c r="F528" i="10"/>
  <c r="E528" i="10"/>
  <c r="E527" i="10"/>
  <c r="H527" i="10"/>
  <c r="F526" i="10"/>
  <c r="E526" i="10"/>
  <c r="H525" i="10"/>
  <c r="E525" i="10"/>
  <c r="F525" i="10"/>
  <c r="F523" i="10"/>
  <c r="E523" i="10"/>
  <c r="H523" i="10"/>
  <c r="F521" i="10"/>
  <c r="F520" i="10"/>
  <c r="H519" i="10"/>
  <c r="E519" i="10"/>
  <c r="F519" i="10"/>
  <c r="F518" i="10"/>
  <c r="E518" i="10"/>
  <c r="F517" i="10"/>
  <c r="E517" i="10"/>
  <c r="E516" i="10"/>
  <c r="E515" i="10"/>
  <c r="F515" i="10"/>
  <c r="F514" i="10"/>
  <c r="E514" i="10"/>
  <c r="F513" i="10"/>
  <c r="H513" i="10"/>
  <c r="F512" i="10"/>
  <c r="E511" i="10"/>
  <c r="F511" i="10"/>
  <c r="F510" i="10"/>
  <c r="E510" i="10"/>
  <c r="E509" i="10"/>
  <c r="F509" i="10"/>
  <c r="H508" i="10"/>
  <c r="F508" i="10"/>
  <c r="E508" i="10"/>
  <c r="H507" i="10"/>
  <c r="E507" i="10"/>
  <c r="F507" i="10"/>
  <c r="F506" i="10"/>
  <c r="E506" i="10"/>
  <c r="H506" i="10"/>
  <c r="E505" i="10"/>
  <c r="H505" i="10"/>
  <c r="H504" i="10"/>
  <c r="F504" i="10"/>
  <c r="E504" i="10"/>
  <c r="H503" i="10"/>
  <c r="F503" i="10"/>
  <c r="E503" i="10"/>
  <c r="F502" i="10"/>
  <c r="E502" i="10"/>
  <c r="E501" i="10"/>
  <c r="H501" i="10"/>
  <c r="E500" i="10"/>
  <c r="H499" i="10"/>
  <c r="E499" i="10"/>
  <c r="F499" i="10"/>
  <c r="E498" i="10"/>
  <c r="F498" i="10"/>
  <c r="F497" i="10"/>
  <c r="E497" i="10"/>
  <c r="H497" i="10"/>
  <c r="E496" i="10"/>
  <c r="G493" i="10"/>
  <c r="E493" i="10"/>
  <c r="C493" i="10"/>
  <c r="A493" i="10"/>
  <c r="B478" i="10"/>
  <c r="B475" i="10"/>
  <c r="C474" i="10"/>
  <c r="B474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6" i="10"/>
  <c r="C445" i="10"/>
  <c r="C444" i="10"/>
  <c r="B439" i="10"/>
  <c r="C438" i="10"/>
  <c r="B438" i="10"/>
  <c r="B440" i="10" s="1"/>
  <c r="B437" i="10"/>
  <c r="B436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B418" i="10"/>
  <c r="B417" i="10"/>
  <c r="D415" i="10"/>
  <c r="B414" i="10"/>
  <c r="A412" i="10"/>
  <c r="C392" i="10"/>
  <c r="CD730" i="10" s="1"/>
  <c r="C386" i="10"/>
  <c r="B435" i="10" s="1"/>
  <c r="D372" i="10"/>
  <c r="D367" i="10"/>
  <c r="C448" i="10" s="1"/>
  <c r="C366" i="10"/>
  <c r="BN730" i="10" s="1"/>
  <c r="D361" i="10"/>
  <c r="N817" i="10" s="1"/>
  <c r="C337" i="10"/>
  <c r="BE730" i="10" s="1"/>
  <c r="D329" i="10"/>
  <c r="C324" i="10"/>
  <c r="AW730" i="10" s="1"/>
  <c r="D319" i="10"/>
  <c r="D314" i="10"/>
  <c r="C307" i="10"/>
  <c r="AJ730" i="10" s="1"/>
  <c r="C305" i="10"/>
  <c r="AH730" i="10" s="1"/>
  <c r="D290" i="10"/>
  <c r="D283" i="10"/>
  <c r="C272" i="10"/>
  <c r="T730" i="10" s="1"/>
  <c r="D265" i="10"/>
  <c r="C258" i="10"/>
  <c r="J730" i="10" s="1"/>
  <c r="C253" i="10"/>
  <c r="E730" i="10" s="1"/>
  <c r="D240" i="10"/>
  <c r="B447" i="10" s="1"/>
  <c r="D236" i="10"/>
  <c r="B446" i="10" s="1"/>
  <c r="D229" i="10"/>
  <c r="B445" i="10" s="1"/>
  <c r="D221" i="10"/>
  <c r="CD722" i="10" s="1"/>
  <c r="D217" i="10"/>
  <c r="E216" i="10"/>
  <c r="C215" i="10"/>
  <c r="BO722" i="10" s="1"/>
  <c r="B215" i="10"/>
  <c r="BN722" i="10" s="1"/>
  <c r="C214" i="10"/>
  <c r="BL722" i="10" s="1"/>
  <c r="B214" i="10"/>
  <c r="BK722" i="10" s="1"/>
  <c r="C213" i="10"/>
  <c r="BI722" i="10" s="1"/>
  <c r="B213" i="10"/>
  <c r="BH722" i="10" s="1"/>
  <c r="C212" i="10"/>
  <c r="BF722" i="10" s="1"/>
  <c r="E211" i="10"/>
  <c r="C210" i="10"/>
  <c r="AZ722" i="10" s="1"/>
  <c r="B210" i="10"/>
  <c r="E209" i="10"/>
  <c r="D204" i="10"/>
  <c r="C204" i="10"/>
  <c r="B204" i="10"/>
  <c r="E203" i="10"/>
  <c r="C475" i="10" s="1"/>
  <c r="E202" i="10"/>
  <c r="E201" i="10"/>
  <c r="E200" i="10"/>
  <c r="E199" i="10"/>
  <c r="E198" i="10"/>
  <c r="C471" i="10" s="1"/>
  <c r="E197" i="10"/>
  <c r="C470" i="10" s="1"/>
  <c r="E196" i="10"/>
  <c r="C469" i="10" s="1"/>
  <c r="E195" i="10"/>
  <c r="C468" i="10" s="1"/>
  <c r="C189" i="10"/>
  <c r="D186" i="10"/>
  <c r="D436" i="10" s="1"/>
  <c r="D181" i="10"/>
  <c r="D435" i="10" s="1"/>
  <c r="C175" i="10"/>
  <c r="I722" i="10" s="1"/>
  <c r="C172" i="10"/>
  <c r="H722" i="10" s="1"/>
  <c r="C170" i="10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D111" i="10"/>
  <c r="F726" i="10" s="1"/>
  <c r="CE80" i="10"/>
  <c r="T816" i="10" s="1"/>
  <c r="CF79" i="10"/>
  <c r="CE79" i="10"/>
  <c r="CE78" i="10"/>
  <c r="E77" i="10"/>
  <c r="AV76" i="10"/>
  <c r="P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AV74" i="10"/>
  <c r="U74" i="10"/>
  <c r="AV73" i="10"/>
  <c r="O779" i="10" s="1"/>
  <c r="U73" i="10"/>
  <c r="U75" i="10" s="1"/>
  <c r="N752" i="10" s="1"/>
  <c r="CD71" i="10"/>
  <c r="C575" i="10" s="1"/>
  <c r="CE70" i="10"/>
  <c r="CC69" i="10"/>
  <c r="BN69" i="10"/>
  <c r="L797" i="10" s="1"/>
  <c r="AV69" i="10"/>
  <c r="L779" i="10" s="1"/>
  <c r="Y69" i="10"/>
  <c r="L756" i="10" s="1"/>
  <c r="U69" i="10"/>
  <c r="CC68" i="10"/>
  <c r="K812" i="10" s="1"/>
  <c r="AV68" i="10"/>
  <c r="K779" i="10" s="1"/>
  <c r="U68" i="10"/>
  <c r="CC66" i="10"/>
  <c r="I812" i="10" s="1"/>
  <c r="BN66" i="10"/>
  <c r="I797" i="10" s="1"/>
  <c r="BM66" i="10"/>
  <c r="I796" i="10" s="1"/>
  <c r="AV66" i="10"/>
  <c r="I779" i="10" s="1"/>
  <c r="U66" i="10"/>
  <c r="I752" i="10" s="1"/>
  <c r="S66" i="10"/>
  <c r="I750" i="10" s="1"/>
  <c r="CC65" i="10"/>
  <c r="H812" i="10" s="1"/>
  <c r="BN65" i="10"/>
  <c r="CC64" i="10"/>
  <c r="G812" i="10" s="1"/>
  <c r="BN64" i="10"/>
  <c r="G797" i="10" s="1"/>
  <c r="AV64" i="10"/>
  <c r="G779" i="10" s="1"/>
  <c r="U64" i="10"/>
  <c r="G752" i="10" s="1"/>
  <c r="S64" i="10"/>
  <c r="BN63" i="10"/>
  <c r="F797" i="10" s="1"/>
  <c r="AV63" i="10"/>
  <c r="F779" i="10" s="1"/>
  <c r="CC61" i="10"/>
  <c r="D812" i="10" s="1"/>
  <c r="BY61" i="10"/>
  <c r="BR61" i="10"/>
  <c r="BN61" i="10"/>
  <c r="D797" i="10" s="1"/>
  <c r="BK61" i="10"/>
  <c r="AV61" i="10"/>
  <c r="AG61" i="10"/>
  <c r="AE61" i="10"/>
  <c r="AC61" i="10"/>
  <c r="U61" i="10"/>
  <c r="P61" i="10"/>
  <c r="D747" i="10" s="1"/>
  <c r="E61" i="10"/>
  <c r="C61" i="10"/>
  <c r="D734" i="10" s="1"/>
  <c r="BN60" i="10"/>
  <c r="Q60" i="10"/>
  <c r="C748" i="10" s="1"/>
  <c r="AE59" i="10"/>
  <c r="AC59" i="10"/>
  <c r="AA59" i="10"/>
  <c r="B53" i="10"/>
  <c r="CE51" i="10"/>
  <c r="B49" i="10"/>
  <c r="CE47" i="10"/>
  <c r="CE76" i="10" l="1"/>
  <c r="D464" i="10"/>
  <c r="C473" i="10"/>
  <c r="E212" i="10"/>
  <c r="E215" i="10"/>
  <c r="D275" i="10"/>
  <c r="D277" i="10" s="1"/>
  <c r="D328" i="10"/>
  <c r="D330" i="10" s="1"/>
  <c r="D390" i="10"/>
  <c r="B441" i="10" s="1"/>
  <c r="L612" i="10"/>
  <c r="M815" i="10"/>
  <c r="R815" i="10"/>
  <c r="C176" i="10"/>
  <c r="J722" i="10" s="1"/>
  <c r="D463" i="10"/>
  <c r="D177" i="10"/>
  <c r="D434" i="10" s="1"/>
  <c r="E213" i="10"/>
  <c r="D242" i="10"/>
  <c r="B448" i="10" s="1"/>
  <c r="C447" i="10"/>
  <c r="L812" i="10"/>
  <c r="CE69" i="10"/>
  <c r="E210" i="10"/>
  <c r="AY722" i="10"/>
  <c r="B217" i="10"/>
  <c r="K752" i="10"/>
  <c r="CE68" i="10"/>
  <c r="D764" i="10"/>
  <c r="H797" i="10"/>
  <c r="CE65" i="10"/>
  <c r="C797" i="10"/>
  <c r="CE60" i="10"/>
  <c r="D808" i="10"/>
  <c r="N734" i="10"/>
  <c r="D762" i="10"/>
  <c r="CE61" i="10"/>
  <c r="E204" i="10"/>
  <c r="C476" i="10" s="1"/>
  <c r="C815" i="10"/>
  <c r="CE66" i="10"/>
  <c r="O752" i="10"/>
  <c r="CE73" i="10"/>
  <c r="H536" i="10"/>
  <c r="F536" i="10"/>
  <c r="D794" i="10"/>
  <c r="CE63" i="10"/>
  <c r="M816" i="10"/>
  <c r="C458" i="10"/>
  <c r="Q722" i="10"/>
  <c r="D190" i="10"/>
  <c r="D779" i="10"/>
  <c r="D736" i="10"/>
  <c r="G750" i="10"/>
  <c r="G815" i="10" s="1"/>
  <c r="CE64" i="10"/>
  <c r="G722" i="10"/>
  <c r="D173" i="10"/>
  <c r="D428" i="10" s="1"/>
  <c r="F524" i="10"/>
  <c r="B758" i="10"/>
  <c r="E520" i="10"/>
  <c r="D801" i="10"/>
  <c r="L752" i="10"/>
  <c r="C439" i="10"/>
  <c r="P816" i="10"/>
  <c r="CF76" i="10"/>
  <c r="AM52" i="10" s="1"/>
  <c r="AM67" i="10" s="1"/>
  <c r="J770" i="10" s="1"/>
  <c r="D612" i="10"/>
  <c r="H500" i="10"/>
  <c r="F500" i="10"/>
  <c r="B760" i="10"/>
  <c r="E522" i="10"/>
  <c r="H545" i="10"/>
  <c r="F545" i="10"/>
  <c r="D752" i="10"/>
  <c r="Q736" i="10"/>
  <c r="Q815" i="10" s="1"/>
  <c r="CE77" i="10"/>
  <c r="B762" i="10"/>
  <c r="E524" i="10"/>
  <c r="D760" i="10"/>
  <c r="D339" i="10"/>
  <c r="C482" i="10" s="1"/>
  <c r="C217" i="10"/>
  <c r="D433" i="10" s="1"/>
  <c r="D368" i="10"/>
  <c r="D373" i="10" s="1"/>
  <c r="D391" i="10" s="1"/>
  <c r="D393" i="10" s="1"/>
  <c r="D396" i="10" s="1"/>
  <c r="B476" i="10"/>
  <c r="F496" i="10"/>
  <c r="F501" i="10"/>
  <c r="F516" i="10"/>
  <c r="F527" i="10"/>
  <c r="H538" i="10"/>
  <c r="O815" i="10"/>
  <c r="C472" i="10"/>
  <c r="F505" i="10"/>
  <c r="AV75" i="10"/>
  <c r="N779" i="10" s="1"/>
  <c r="R816" i="10"/>
  <c r="I612" i="10"/>
  <c r="E214" i="10"/>
  <c r="E217" i="10" s="1"/>
  <c r="C478" i="10" s="1"/>
  <c r="D260" i="10"/>
  <c r="D292" i="10" s="1"/>
  <c r="D341" i="10" s="1"/>
  <c r="C481" i="10" s="1"/>
  <c r="B473" i="10"/>
  <c r="F540" i="10"/>
  <c r="S816" i="10"/>
  <c r="J612" i="10"/>
  <c r="BY730" i="10"/>
  <c r="L817" i="10"/>
  <c r="H815" i="10"/>
  <c r="B415" i="10"/>
  <c r="F522" i="10"/>
  <c r="B465" i="10"/>
  <c r="B444" i="10"/>
  <c r="F815" i="10"/>
  <c r="P815" i="10"/>
  <c r="I815" i="10"/>
  <c r="S815" i="10"/>
  <c r="K815" i="10"/>
  <c r="T815" i="10"/>
  <c r="L815" i="10"/>
  <c r="AA52" i="10" l="1"/>
  <c r="AA67" i="10" s="1"/>
  <c r="J758" i="10" s="1"/>
  <c r="BV52" i="10"/>
  <c r="BV67" i="10" s="1"/>
  <c r="J805" i="10" s="1"/>
  <c r="N815" i="10"/>
  <c r="D815" i="10"/>
  <c r="BN52" i="10"/>
  <c r="BN67" i="10" s="1"/>
  <c r="J797" i="10" s="1"/>
  <c r="BK52" i="10"/>
  <c r="BK67" i="10" s="1"/>
  <c r="J794" i="10" s="1"/>
  <c r="AY52" i="10"/>
  <c r="AY67" i="10" s="1"/>
  <c r="J782" i="10" s="1"/>
  <c r="Z52" i="10"/>
  <c r="Z67" i="10" s="1"/>
  <c r="J757" i="10" s="1"/>
  <c r="BC52" i="10"/>
  <c r="BC67" i="10" s="1"/>
  <c r="J786" i="10" s="1"/>
  <c r="BW52" i="10"/>
  <c r="BW67" i="10" s="1"/>
  <c r="J806" i="10" s="1"/>
  <c r="D465" i="10"/>
  <c r="AI52" i="10"/>
  <c r="AI67" i="10" s="1"/>
  <c r="J766" i="10" s="1"/>
  <c r="J52" i="10"/>
  <c r="J67" i="10" s="1"/>
  <c r="J741" i="10" s="1"/>
  <c r="CE75" i="10"/>
  <c r="S52" i="10"/>
  <c r="S67" i="10" s="1"/>
  <c r="J750" i="10" s="1"/>
  <c r="BF52" i="10"/>
  <c r="BF67" i="10" s="1"/>
  <c r="J789" i="10" s="1"/>
  <c r="AU52" i="10"/>
  <c r="AU67" i="10" s="1"/>
  <c r="J778" i="10" s="1"/>
  <c r="K816" i="10"/>
  <c r="C434" i="10"/>
  <c r="K52" i="10"/>
  <c r="K67" i="10" s="1"/>
  <c r="J742" i="10" s="1"/>
  <c r="AX52" i="10"/>
  <c r="AX67" i="10" s="1"/>
  <c r="J781" i="10" s="1"/>
  <c r="O816" i="10"/>
  <c r="C463" i="10"/>
  <c r="D816" i="10"/>
  <c r="C427" i="10"/>
  <c r="CB48" i="10"/>
  <c r="CB62" i="10" s="1"/>
  <c r="BL48" i="10"/>
  <c r="BL62" i="10" s="1"/>
  <c r="AV48" i="10"/>
  <c r="AV62" i="10" s="1"/>
  <c r="AF48" i="10"/>
  <c r="AF62" i="10" s="1"/>
  <c r="P48" i="10"/>
  <c r="P62" i="10" s="1"/>
  <c r="BS48" i="10"/>
  <c r="BS62" i="10" s="1"/>
  <c r="AU48" i="10"/>
  <c r="AU62" i="10" s="1"/>
  <c r="AM48" i="10"/>
  <c r="AM62" i="10" s="1"/>
  <c r="O48" i="10"/>
  <c r="O62" i="10" s="1"/>
  <c r="BK48" i="10"/>
  <c r="BK62" i="10" s="1"/>
  <c r="W48" i="10"/>
  <c r="W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P48" i="10"/>
  <c r="BP62" i="10" s="1"/>
  <c r="AZ48" i="10"/>
  <c r="AZ62" i="10" s="1"/>
  <c r="AJ48" i="10"/>
  <c r="AJ62" i="10" s="1"/>
  <c r="T48" i="10"/>
  <c r="T62" i="10" s="1"/>
  <c r="D48" i="10"/>
  <c r="D62" i="10" s="1"/>
  <c r="BO48" i="10"/>
  <c r="BO62" i="10" s="1"/>
  <c r="BG48" i="10"/>
  <c r="BG62" i="10" s="1"/>
  <c r="AY48" i="10"/>
  <c r="AY62" i="10" s="1"/>
  <c r="AQ48" i="10"/>
  <c r="AQ62" i="10" s="1"/>
  <c r="S48" i="10"/>
  <c r="S62" i="10" s="1"/>
  <c r="K48" i="10"/>
  <c r="K62" i="10" s="1"/>
  <c r="BX48" i="10"/>
  <c r="BX62" i="10" s="1"/>
  <c r="BH48" i="10"/>
  <c r="BH62" i="10" s="1"/>
  <c r="AR48" i="10"/>
  <c r="AR62" i="10" s="1"/>
  <c r="AB48" i="10"/>
  <c r="AB62" i="10" s="1"/>
  <c r="L48" i="10"/>
  <c r="L62" i="10" s="1"/>
  <c r="AI48" i="10"/>
  <c r="AI62" i="10" s="1"/>
  <c r="C48" i="10"/>
  <c r="BW48" i="10"/>
  <c r="BW62" i="10" s="1"/>
  <c r="AA48" i="10"/>
  <c r="AA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BT48" i="10"/>
  <c r="BT62" i="10" s="1"/>
  <c r="BD48" i="10"/>
  <c r="BD62" i="10" s="1"/>
  <c r="AN48" i="10"/>
  <c r="AN62" i="10" s="1"/>
  <c r="X48" i="10"/>
  <c r="X62" i="10" s="1"/>
  <c r="H48" i="10"/>
  <c r="H62" i="10" s="1"/>
  <c r="CA48" i="10"/>
  <c r="CA62" i="10" s="1"/>
  <c r="BC48" i="10"/>
  <c r="BC62" i="10" s="1"/>
  <c r="AE48" i="10"/>
  <c r="AE62" i="10" s="1"/>
  <c r="G48" i="10"/>
  <c r="G62" i="10" s="1"/>
  <c r="AH48" i="10"/>
  <c r="AH62" i="10" s="1"/>
  <c r="Z48" i="10"/>
  <c r="Z62" i="10" s="1"/>
  <c r="R48" i="10"/>
  <c r="R62" i="10" s="1"/>
  <c r="BV48" i="10"/>
  <c r="BV62" i="10" s="1"/>
  <c r="J48" i="10"/>
  <c r="J62" i="10" s="1"/>
  <c r="BF48" i="10"/>
  <c r="BF62" i="10" s="1"/>
  <c r="BN48" i="10"/>
  <c r="BN62" i="10" s="1"/>
  <c r="AX48" i="10"/>
  <c r="AX62" i="10" s="1"/>
  <c r="AP48" i="10"/>
  <c r="AP62" i="10" s="1"/>
  <c r="G816" i="10"/>
  <c r="F612" i="10"/>
  <c r="C430" i="10"/>
  <c r="N816" i="10"/>
  <c r="K612" i="10"/>
  <c r="C465" i="10"/>
  <c r="BZ52" i="10"/>
  <c r="BZ67" i="10" s="1"/>
  <c r="J809" i="10" s="1"/>
  <c r="BJ52" i="10"/>
  <c r="BJ67" i="10" s="1"/>
  <c r="J793" i="10" s="1"/>
  <c r="AT52" i="10"/>
  <c r="AT67" i="10" s="1"/>
  <c r="J777" i="10" s="1"/>
  <c r="AD52" i="10"/>
  <c r="AD67" i="10" s="1"/>
  <c r="J761" i="10" s="1"/>
  <c r="N52" i="10"/>
  <c r="N67" i="10" s="1"/>
  <c r="J745" i="10" s="1"/>
  <c r="BQ52" i="10"/>
  <c r="BQ67" i="10" s="1"/>
  <c r="J800" i="10" s="1"/>
  <c r="BA52" i="10"/>
  <c r="BA67" i="10" s="1"/>
  <c r="J784" i="10" s="1"/>
  <c r="AC52" i="10"/>
  <c r="AC67" i="10" s="1"/>
  <c r="J760" i="10" s="1"/>
  <c r="M52" i="10"/>
  <c r="M67" i="10" s="1"/>
  <c r="J744" i="10" s="1"/>
  <c r="AS52" i="10"/>
  <c r="AS67" i="10" s="1"/>
  <c r="J776" i="10" s="1"/>
  <c r="E52" i="10"/>
  <c r="E67" i="10" s="1"/>
  <c r="J736" i="10" s="1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L52" i="10"/>
  <c r="L67" i="10" s="1"/>
  <c r="J743" i="10" s="1"/>
  <c r="D52" i="10"/>
  <c r="D67" i="10" s="1"/>
  <c r="J735" i="10" s="1"/>
  <c r="BU52" i="10"/>
  <c r="BU67" i="10" s="1"/>
  <c r="J804" i="10" s="1"/>
  <c r="BE52" i="10"/>
  <c r="BE67" i="10" s="1"/>
  <c r="J788" i="10" s="1"/>
  <c r="AW52" i="10"/>
  <c r="AW67" i="10" s="1"/>
  <c r="J780" i="10" s="1"/>
  <c r="AG52" i="10"/>
  <c r="AG67" i="10" s="1"/>
  <c r="J764" i="10" s="1"/>
  <c r="Q52" i="10"/>
  <c r="Q67" i="10" s="1"/>
  <c r="J748" i="10" s="1"/>
  <c r="I52" i="10"/>
  <c r="I67" i="10" s="1"/>
  <c r="J740" i="10" s="1"/>
  <c r="CC52" i="10"/>
  <c r="CC67" i="10" s="1"/>
  <c r="J812" i="10" s="1"/>
  <c r="BM52" i="10"/>
  <c r="BM67" i="10" s="1"/>
  <c r="J796" i="10" s="1"/>
  <c r="AO52" i="10"/>
  <c r="AO67" i="10" s="1"/>
  <c r="J772" i="10" s="1"/>
  <c r="Y52" i="10"/>
  <c r="Y67" i="10" s="1"/>
  <c r="J756" i="10" s="1"/>
  <c r="BR52" i="10"/>
  <c r="BR67" i="10" s="1"/>
  <c r="J801" i="10" s="1"/>
  <c r="BB52" i="10"/>
  <c r="BB67" i="10" s="1"/>
  <c r="J785" i="10" s="1"/>
  <c r="AL52" i="10"/>
  <c r="AL67" i="10" s="1"/>
  <c r="J769" i="10" s="1"/>
  <c r="V52" i="10"/>
  <c r="V67" i="10" s="1"/>
  <c r="J753" i="10" s="1"/>
  <c r="F52" i="10"/>
  <c r="F67" i="10" s="1"/>
  <c r="J737" i="10" s="1"/>
  <c r="BY52" i="10"/>
  <c r="BY67" i="10" s="1"/>
  <c r="J808" i="10" s="1"/>
  <c r="BI52" i="10"/>
  <c r="BI67" i="10" s="1"/>
  <c r="J792" i="10" s="1"/>
  <c r="AK52" i="10"/>
  <c r="AK67" i="10" s="1"/>
  <c r="J768" i="10" s="1"/>
  <c r="U52" i="10"/>
  <c r="U67" i="10" s="1"/>
  <c r="J752" i="10" s="1"/>
  <c r="AV52" i="10"/>
  <c r="AV67" i="10" s="1"/>
  <c r="J779" i="10" s="1"/>
  <c r="AN52" i="10"/>
  <c r="AN67" i="10" s="1"/>
  <c r="J771" i="10" s="1"/>
  <c r="P52" i="10"/>
  <c r="P67" i="10" s="1"/>
  <c r="J747" i="10" s="1"/>
  <c r="AF52" i="10"/>
  <c r="AF67" i="10" s="1"/>
  <c r="J763" i="10" s="1"/>
  <c r="X52" i="10"/>
  <c r="X67" i="10" s="1"/>
  <c r="J755" i="10" s="1"/>
  <c r="BT52" i="10"/>
  <c r="BT67" i="10" s="1"/>
  <c r="J803" i="10" s="1"/>
  <c r="H52" i="10"/>
  <c r="H67" i="10" s="1"/>
  <c r="J739" i="10" s="1"/>
  <c r="BL52" i="10"/>
  <c r="BL67" i="10" s="1"/>
  <c r="J795" i="10" s="1"/>
  <c r="BD52" i="10"/>
  <c r="BD67" i="10" s="1"/>
  <c r="J787" i="10" s="1"/>
  <c r="CB52" i="10"/>
  <c r="CB67" i="10" s="1"/>
  <c r="J811" i="10" s="1"/>
  <c r="BO52" i="10"/>
  <c r="BO67" i="10" s="1"/>
  <c r="J798" i="10" s="1"/>
  <c r="C52" i="10"/>
  <c r="F816" i="10"/>
  <c r="C429" i="10"/>
  <c r="AP52" i="10"/>
  <c r="AP67" i="10" s="1"/>
  <c r="J773" i="10" s="1"/>
  <c r="AE52" i="10"/>
  <c r="AE67" i="10" s="1"/>
  <c r="J762" i="10" s="1"/>
  <c r="C816" i="10"/>
  <c r="H612" i="10"/>
  <c r="BI730" i="10"/>
  <c r="BG52" i="10"/>
  <c r="BG67" i="10" s="1"/>
  <c r="J790" i="10" s="1"/>
  <c r="AH52" i="10"/>
  <c r="AH67" i="10" s="1"/>
  <c r="J765" i="10" s="1"/>
  <c r="I816" i="10"/>
  <c r="C432" i="10"/>
  <c r="W52" i="10"/>
  <c r="W67" i="10" s="1"/>
  <c r="J754" i="10" s="1"/>
  <c r="CA52" i="10"/>
  <c r="CA67" i="10" s="1"/>
  <c r="J810" i="10" s="1"/>
  <c r="O52" i="10"/>
  <c r="O67" i="10" s="1"/>
  <c r="J746" i="10" s="1"/>
  <c r="H816" i="10"/>
  <c r="C431" i="10"/>
  <c r="Q816" i="10"/>
  <c r="G612" i="10"/>
  <c r="CF77" i="10"/>
  <c r="AQ52" i="10"/>
  <c r="AQ67" i="10" s="1"/>
  <c r="J774" i="10" s="1"/>
  <c r="D437" i="10"/>
  <c r="D438" i="10"/>
  <c r="R52" i="10"/>
  <c r="R67" i="10" s="1"/>
  <c r="J749" i="10" s="1"/>
  <c r="BS52" i="10"/>
  <c r="BS67" i="10" s="1"/>
  <c r="J802" i="10" s="1"/>
  <c r="G52" i="10"/>
  <c r="G67" i="10" s="1"/>
  <c r="J738" i="10" s="1"/>
  <c r="L816" i="10"/>
  <c r="C440" i="10"/>
  <c r="E740" i="10" l="1"/>
  <c r="I71" i="10"/>
  <c r="E804" i="10"/>
  <c r="BU71" i="10"/>
  <c r="E775" i="10"/>
  <c r="AR71" i="10"/>
  <c r="E798" i="10"/>
  <c r="BO71" i="10"/>
  <c r="E752" i="10"/>
  <c r="U71" i="10"/>
  <c r="E737" i="10"/>
  <c r="F71" i="10"/>
  <c r="E801" i="10"/>
  <c r="BR71" i="10"/>
  <c r="E747" i="10"/>
  <c r="P71" i="10"/>
  <c r="E741" i="10"/>
  <c r="J71" i="10"/>
  <c r="E786" i="10"/>
  <c r="BC71" i="10"/>
  <c r="E748" i="10"/>
  <c r="Q71" i="10"/>
  <c r="E812" i="10"/>
  <c r="CC71" i="10"/>
  <c r="E791" i="10"/>
  <c r="BH71" i="10"/>
  <c r="E735" i="10"/>
  <c r="D71" i="10"/>
  <c r="E760" i="10"/>
  <c r="AC71" i="10"/>
  <c r="E745" i="10"/>
  <c r="N71" i="10"/>
  <c r="E809" i="10"/>
  <c r="BZ71" i="10"/>
  <c r="E763" i="10"/>
  <c r="AF71" i="10"/>
  <c r="E762" i="10"/>
  <c r="AE71" i="10"/>
  <c r="E805" i="10"/>
  <c r="BV71" i="10"/>
  <c r="E810" i="10"/>
  <c r="CA71" i="10"/>
  <c r="E756" i="10"/>
  <c r="Y71" i="10"/>
  <c r="E758" i="10"/>
  <c r="AA71" i="10"/>
  <c r="E807" i="10"/>
  <c r="BX71" i="10"/>
  <c r="E751" i="10"/>
  <c r="T71" i="10"/>
  <c r="E768" i="10"/>
  <c r="AK71" i="10"/>
  <c r="E753" i="10"/>
  <c r="V71" i="10"/>
  <c r="E754" i="10"/>
  <c r="W71" i="10"/>
  <c r="E779" i="10"/>
  <c r="AV71" i="10"/>
  <c r="C67" i="10"/>
  <c r="CE52" i="10"/>
  <c r="E739" i="10"/>
  <c r="H71" i="10"/>
  <c r="E764" i="10"/>
  <c r="AG71" i="10"/>
  <c r="E806" i="10"/>
  <c r="BW71" i="10"/>
  <c r="E742" i="10"/>
  <c r="K71" i="10"/>
  <c r="E767" i="10"/>
  <c r="AJ71" i="10"/>
  <c r="E776" i="10"/>
  <c r="AS71" i="10"/>
  <c r="E761" i="10"/>
  <c r="AD71" i="10"/>
  <c r="E794" i="10"/>
  <c r="BK71" i="10"/>
  <c r="E795" i="10"/>
  <c r="BL71" i="10"/>
  <c r="E789" i="10"/>
  <c r="BF71" i="10"/>
  <c r="E749" i="10"/>
  <c r="R71" i="10"/>
  <c r="E755" i="10"/>
  <c r="X71" i="10"/>
  <c r="E772" i="10"/>
  <c r="AO71" i="10"/>
  <c r="C62" i="10"/>
  <c r="CE48" i="10"/>
  <c r="E750" i="10"/>
  <c r="S71" i="10"/>
  <c r="E783" i="10"/>
  <c r="AZ71" i="10"/>
  <c r="E784" i="10"/>
  <c r="BA71" i="10"/>
  <c r="E769" i="10"/>
  <c r="AL71" i="10"/>
  <c r="E746" i="10"/>
  <c r="O71" i="10"/>
  <c r="E811" i="10"/>
  <c r="CB71" i="10"/>
  <c r="E773" i="10"/>
  <c r="AP71" i="10"/>
  <c r="E757" i="10"/>
  <c r="Z71" i="10"/>
  <c r="E771" i="10"/>
  <c r="AN71" i="10"/>
  <c r="E780" i="10"/>
  <c r="AW71" i="10"/>
  <c r="E766" i="10"/>
  <c r="AI71" i="10"/>
  <c r="E774" i="10"/>
  <c r="AQ71" i="10"/>
  <c r="E799" i="10"/>
  <c r="BP71" i="10"/>
  <c r="E792" i="10"/>
  <c r="BI71" i="10"/>
  <c r="E777" i="10"/>
  <c r="AT71" i="10"/>
  <c r="E770" i="10"/>
  <c r="AM71" i="10"/>
  <c r="E781" i="10"/>
  <c r="AX71" i="10"/>
  <c r="E765" i="10"/>
  <c r="AH71" i="10"/>
  <c r="E787" i="10"/>
  <c r="BD71" i="10"/>
  <c r="E788" i="10"/>
  <c r="BE71" i="10"/>
  <c r="E743" i="10"/>
  <c r="L71" i="10"/>
  <c r="E782" i="10"/>
  <c r="AY71" i="10"/>
  <c r="E736" i="10"/>
  <c r="E71" i="10"/>
  <c r="E800" i="10"/>
  <c r="BQ71" i="10"/>
  <c r="E785" i="10"/>
  <c r="BB71" i="10"/>
  <c r="E778" i="10"/>
  <c r="AU71" i="10"/>
  <c r="E797" i="10"/>
  <c r="BN71" i="10"/>
  <c r="E738" i="10"/>
  <c r="G71" i="10"/>
  <c r="E803" i="10"/>
  <c r="BT71" i="10"/>
  <c r="E796" i="10"/>
  <c r="BM71" i="10"/>
  <c r="E759" i="10"/>
  <c r="AB71" i="10"/>
  <c r="E790" i="10"/>
  <c r="BG71" i="10"/>
  <c r="E744" i="10"/>
  <c r="M71" i="10"/>
  <c r="E808" i="10"/>
  <c r="BY71" i="10"/>
  <c r="E793" i="10"/>
  <c r="BJ71" i="10"/>
  <c r="E802" i="10"/>
  <c r="BS71" i="10"/>
  <c r="C521" i="10" l="1"/>
  <c r="C693" i="10"/>
  <c r="C707" i="10"/>
  <c r="C535" i="10"/>
  <c r="G535" i="10" s="1"/>
  <c r="C639" i="10"/>
  <c r="C564" i="10"/>
  <c r="C500" i="10"/>
  <c r="G500" i="10" s="1"/>
  <c r="C672" i="10"/>
  <c r="C550" i="10"/>
  <c r="C614" i="10"/>
  <c r="C704" i="10"/>
  <c r="C532" i="10"/>
  <c r="G532" i="10" s="1"/>
  <c r="C691" i="10"/>
  <c r="C519" i="10"/>
  <c r="G519" i="10" s="1"/>
  <c r="C703" i="10"/>
  <c r="C531" i="10"/>
  <c r="C629" i="10"/>
  <c r="C551" i="10"/>
  <c r="C710" i="10"/>
  <c r="C538" i="10"/>
  <c r="G538" i="10" s="1"/>
  <c r="C698" i="10"/>
  <c r="C526" i="10"/>
  <c r="C688" i="10"/>
  <c r="C516" i="10"/>
  <c r="C644" i="10"/>
  <c r="C569" i="10"/>
  <c r="C642" i="10"/>
  <c r="C567" i="10"/>
  <c r="C679" i="10"/>
  <c r="C507" i="10"/>
  <c r="G507" i="10" s="1"/>
  <c r="C574" i="10"/>
  <c r="C620" i="10"/>
  <c r="C681" i="10"/>
  <c r="C509" i="10"/>
  <c r="C627" i="10"/>
  <c r="C560" i="10"/>
  <c r="C711" i="10"/>
  <c r="C539" i="10"/>
  <c r="G539" i="10" s="1"/>
  <c r="C630" i="10"/>
  <c r="C546" i="10"/>
  <c r="C706" i="10"/>
  <c r="C534" i="10"/>
  <c r="G534" i="10" s="1"/>
  <c r="C637" i="10"/>
  <c r="C557" i="10"/>
  <c r="C701" i="10"/>
  <c r="C529" i="10"/>
  <c r="G529" i="10" s="1"/>
  <c r="C501" i="10"/>
  <c r="G501" i="10" s="1"/>
  <c r="C673" i="10"/>
  <c r="C515" i="10"/>
  <c r="C687" i="10"/>
  <c r="C520" i="10"/>
  <c r="C692" i="10"/>
  <c r="C524" i="10"/>
  <c r="C696" i="10"/>
  <c r="C694" i="10"/>
  <c r="C522" i="10"/>
  <c r="C510" i="10"/>
  <c r="C682" i="10"/>
  <c r="C626" i="10"/>
  <c r="C563" i="10"/>
  <c r="C709" i="10"/>
  <c r="C537" i="10"/>
  <c r="G537" i="10" s="1"/>
  <c r="E734" i="10"/>
  <c r="E815" i="10" s="1"/>
  <c r="CE62" i="10"/>
  <c r="C71" i="10"/>
  <c r="C527" i="10"/>
  <c r="G527" i="10" s="1"/>
  <c r="C699" i="10"/>
  <c r="C619" i="10"/>
  <c r="C559" i="10"/>
  <c r="C645" i="10"/>
  <c r="C570" i="10"/>
  <c r="C544" i="10"/>
  <c r="C625" i="10"/>
  <c r="C631" i="10"/>
  <c r="C542" i="10"/>
  <c r="C573" i="10"/>
  <c r="C622" i="10"/>
  <c r="C628" i="10"/>
  <c r="C545" i="10"/>
  <c r="G545" i="10" s="1"/>
  <c r="C689" i="10"/>
  <c r="C517" i="10"/>
  <c r="C635" i="10"/>
  <c r="C556" i="10"/>
  <c r="C504" i="10"/>
  <c r="G504" i="10" s="1"/>
  <c r="C676" i="10"/>
  <c r="C702" i="10"/>
  <c r="C530" i="10"/>
  <c r="C690" i="10"/>
  <c r="C518" i="10"/>
  <c r="C697" i="10"/>
  <c r="C525" i="10"/>
  <c r="G525" i="10" s="1"/>
  <c r="C497" i="10"/>
  <c r="G497" i="10" s="1"/>
  <c r="C669" i="10"/>
  <c r="C633" i="10"/>
  <c r="C548" i="10"/>
  <c r="C671" i="10"/>
  <c r="C499" i="10"/>
  <c r="G499" i="10" s="1"/>
  <c r="C641" i="10"/>
  <c r="C566" i="10"/>
  <c r="C670" i="10"/>
  <c r="C498" i="10"/>
  <c r="C638" i="10"/>
  <c r="C558" i="10"/>
  <c r="C712" i="10"/>
  <c r="C540" i="10"/>
  <c r="G540" i="10" s="1"/>
  <c r="C634" i="10"/>
  <c r="C554" i="10"/>
  <c r="C678" i="10"/>
  <c r="C506" i="10"/>
  <c r="G506" i="10" s="1"/>
  <c r="C640" i="10"/>
  <c r="C565" i="10"/>
  <c r="C632" i="10"/>
  <c r="C547" i="10"/>
  <c r="C677" i="10"/>
  <c r="C505" i="10"/>
  <c r="G505" i="10" s="1"/>
  <c r="C616" i="10"/>
  <c r="C543" i="10"/>
  <c r="C621" i="10"/>
  <c r="C561" i="10"/>
  <c r="C705" i="10"/>
  <c r="C533" i="10"/>
  <c r="G533" i="10" s="1"/>
  <c r="J734" i="10"/>
  <c r="J815" i="10" s="1"/>
  <c r="CE67" i="10"/>
  <c r="C617" i="10"/>
  <c r="C555" i="10"/>
  <c r="C700" i="10"/>
  <c r="C528" i="10"/>
  <c r="C508" i="10"/>
  <c r="G508" i="10" s="1"/>
  <c r="C680" i="10"/>
  <c r="C512" i="10"/>
  <c r="C684" i="10"/>
  <c r="C683" i="10"/>
  <c r="C511" i="10"/>
  <c r="C695" i="10"/>
  <c r="C523" i="10"/>
  <c r="G523" i="10" s="1"/>
  <c r="C643" i="10"/>
  <c r="C568" i="10"/>
  <c r="C713" i="10"/>
  <c r="C541" i="10"/>
  <c r="C513" i="10"/>
  <c r="G513" i="10" s="1"/>
  <c r="C685" i="10"/>
  <c r="C647" i="10"/>
  <c r="C572" i="10"/>
  <c r="C646" i="10"/>
  <c r="C571" i="10"/>
  <c r="C636" i="10"/>
  <c r="C553" i="10"/>
  <c r="C675" i="10"/>
  <c r="C503" i="10"/>
  <c r="G503" i="10" s="1"/>
  <c r="C686" i="10"/>
  <c r="C514" i="10"/>
  <c r="C674" i="10"/>
  <c r="C502" i="10"/>
  <c r="C549" i="10"/>
  <c r="C624" i="10"/>
  <c r="C618" i="10"/>
  <c r="C552" i="10"/>
  <c r="C562" i="10"/>
  <c r="C623" i="10"/>
  <c r="C708" i="10"/>
  <c r="C536" i="10"/>
  <c r="G536" i="10" s="1"/>
  <c r="G502" i="10" l="1"/>
  <c r="H502" i="10" s="1"/>
  <c r="C668" i="10"/>
  <c r="C496" i="10"/>
  <c r="H515" i="10"/>
  <c r="G515" i="10"/>
  <c r="H521" i="10"/>
  <c r="G521" i="10"/>
  <c r="G544" i="10"/>
  <c r="H544" i="10"/>
  <c r="E816" i="10"/>
  <c r="C428" i="10"/>
  <c r="CE71" i="10"/>
  <c r="C716" i="10" s="1"/>
  <c r="G522" i="10"/>
  <c r="H522" i="10" s="1"/>
  <c r="H546" i="10"/>
  <c r="G546" i="10"/>
  <c r="G516" i="10"/>
  <c r="H516" i="10" s="1"/>
  <c r="G531" i="10"/>
  <c r="H531" i="10"/>
  <c r="G514" i="10"/>
  <c r="H514" i="10" s="1"/>
  <c r="G528" i="10"/>
  <c r="H528" i="10" s="1"/>
  <c r="G530" i="10"/>
  <c r="H530" i="10" s="1"/>
  <c r="C715" i="10"/>
  <c r="C648" i="10"/>
  <c r="M716" i="10" s="1"/>
  <c r="Y816" i="10" s="1"/>
  <c r="D615" i="10"/>
  <c r="G517" i="10"/>
  <c r="H517" i="10" s="1"/>
  <c r="G524" i="10"/>
  <c r="H524" i="10" s="1"/>
  <c r="H512" i="10"/>
  <c r="G512" i="10"/>
  <c r="G509" i="10"/>
  <c r="H509" i="10" s="1"/>
  <c r="G518" i="10"/>
  <c r="H518" i="10"/>
  <c r="G510" i="10"/>
  <c r="H510" i="10" s="1"/>
  <c r="G550" i="10"/>
  <c r="H550" i="10" s="1"/>
  <c r="G526" i="10"/>
  <c r="H526" i="10" s="1"/>
  <c r="G511" i="10"/>
  <c r="H511" i="10" s="1"/>
  <c r="G498" i="10"/>
  <c r="H498" i="10" s="1"/>
  <c r="J816" i="10"/>
  <c r="C433" i="10"/>
  <c r="G520" i="10"/>
  <c r="H520" i="10" s="1"/>
  <c r="C441" i="10" l="1"/>
  <c r="D711" i="10"/>
  <c r="D703" i="10"/>
  <c r="D695" i="10"/>
  <c r="D687" i="10"/>
  <c r="D716" i="10"/>
  <c r="D707" i="10"/>
  <c r="D699" i="10"/>
  <c r="D691" i="10"/>
  <c r="D710" i="10"/>
  <c r="D709" i="10"/>
  <c r="D708" i="10"/>
  <c r="D686" i="10"/>
  <c r="D678" i="10"/>
  <c r="D706" i="10"/>
  <c r="D705" i="10"/>
  <c r="D704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702" i="10"/>
  <c r="D701" i="10"/>
  <c r="D700" i="10"/>
  <c r="D680" i="10"/>
  <c r="D672" i="10"/>
  <c r="D697" i="10"/>
  <c r="D694" i="10"/>
  <c r="D677" i="10"/>
  <c r="D624" i="10"/>
  <c r="D685" i="10"/>
  <c r="D684" i="10"/>
  <c r="D676" i="10"/>
  <c r="D674" i="10"/>
  <c r="D646" i="10"/>
  <c r="D620" i="10"/>
  <c r="D616" i="10"/>
  <c r="D712" i="10"/>
  <c r="D625" i="10"/>
  <c r="D689" i="10"/>
  <c r="D671" i="10"/>
  <c r="D668" i="10"/>
  <c r="D618" i="10"/>
  <c r="D696" i="10"/>
  <c r="D681" i="10"/>
  <c r="D679" i="10"/>
  <c r="D629" i="10"/>
  <c r="D669" i="10"/>
  <c r="D623" i="10"/>
  <c r="D617" i="10"/>
  <c r="D698" i="10"/>
  <c r="D693" i="10"/>
  <c r="D626" i="10"/>
  <c r="D622" i="10"/>
  <c r="D713" i="10"/>
  <c r="D688" i="10"/>
  <c r="D682" i="10"/>
  <c r="D628" i="10"/>
  <c r="D690" i="10"/>
  <c r="D647" i="10"/>
  <c r="D645" i="10"/>
  <c r="D621" i="10"/>
  <c r="D692" i="10"/>
  <c r="D673" i="10"/>
  <c r="D670" i="10"/>
  <c r="D627" i="10"/>
  <c r="D619" i="10"/>
  <c r="G496" i="10"/>
  <c r="H496" i="10" s="1"/>
  <c r="E612" i="10" l="1"/>
  <c r="D715" i="10"/>
  <c r="E623" i="10"/>
  <c r="E708" i="10" l="1"/>
  <c r="E700" i="10"/>
  <c r="E692" i="10"/>
  <c r="E712" i="10"/>
  <c r="E704" i="10"/>
  <c r="E696" i="10"/>
  <c r="E688" i="10"/>
  <c r="E716" i="10"/>
  <c r="E707" i="10"/>
  <c r="E706" i="10"/>
  <c r="E705" i="10"/>
  <c r="E683" i="10"/>
  <c r="E703" i="10"/>
  <c r="E702" i="10"/>
  <c r="E701" i="10"/>
  <c r="E680" i="10"/>
  <c r="E672" i="10"/>
  <c r="E699" i="10"/>
  <c r="E698" i="10"/>
  <c r="E697" i="10"/>
  <c r="E685" i="10"/>
  <c r="E677" i="10"/>
  <c r="E669" i="10"/>
  <c r="E684" i="10"/>
  <c r="E676" i="10"/>
  <c r="E674" i="10"/>
  <c r="E646" i="10"/>
  <c r="E711" i="10"/>
  <c r="E689" i="10"/>
  <c r="E675" i="10"/>
  <c r="E673" i="10"/>
  <c r="E671" i="10"/>
  <c r="E642" i="10"/>
  <c r="E638" i="10"/>
  <c r="E634" i="10"/>
  <c r="E630" i="10"/>
  <c r="E627" i="10"/>
  <c r="E693" i="10"/>
  <c r="E690" i="10"/>
  <c r="E687" i="10"/>
  <c r="E628" i="10"/>
  <c r="E709" i="10"/>
  <c r="E694" i="10"/>
  <c r="E681" i="10"/>
  <c r="E679" i="10"/>
  <c r="E644" i="10"/>
  <c r="E629" i="10"/>
  <c r="E624" i="10"/>
  <c r="E631" i="10"/>
  <c r="E691" i="10"/>
  <c r="E635" i="10"/>
  <c r="E633" i="10"/>
  <c r="E626" i="10"/>
  <c r="E713" i="10"/>
  <c r="E686" i="10"/>
  <c r="E682" i="10"/>
  <c r="E639" i="10"/>
  <c r="E637" i="10"/>
  <c r="E695" i="10"/>
  <c r="E647" i="10"/>
  <c r="E645" i="10"/>
  <c r="E643" i="10"/>
  <c r="E641" i="10"/>
  <c r="E710" i="10"/>
  <c r="E678" i="10"/>
  <c r="E670" i="10"/>
  <c r="E632" i="10"/>
  <c r="E625" i="10"/>
  <c r="E636" i="10"/>
  <c r="E668" i="10"/>
  <c r="E640" i="10"/>
  <c r="E715" i="10" l="1"/>
  <c r="F624" i="10"/>
  <c r="F713" i="10" l="1"/>
  <c r="F705" i="10"/>
  <c r="F697" i="10"/>
  <c r="F689" i="10"/>
  <c r="F709" i="10"/>
  <c r="F701" i="10"/>
  <c r="F693" i="10"/>
  <c r="F704" i="10"/>
  <c r="F703" i="10"/>
  <c r="F702" i="10"/>
  <c r="F680" i="10"/>
  <c r="F700" i="10"/>
  <c r="F699" i="10"/>
  <c r="F698" i="10"/>
  <c r="F685" i="10"/>
  <c r="F677" i="10"/>
  <c r="F669" i="10"/>
  <c r="F696" i="10"/>
  <c r="F695" i="10"/>
  <c r="F694" i="10"/>
  <c r="F682" i="10"/>
  <c r="F674" i="10"/>
  <c r="F711" i="10"/>
  <c r="F708" i="10"/>
  <c r="F675" i="10"/>
  <c r="F673" i="10"/>
  <c r="F671" i="10"/>
  <c r="F642" i="10"/>
  <c r="F638" i="10"/>
  <c r="F634" i="10"/>
  <c r="F630" i="10"/>
  <c r="F627" i="10"/>
  <c r="F692" i="10"/>
  <c r="F679" i="10"/>
  <c r="F678" i="10"/>
  <c r="F672" i="10"/>
  <c r="F670" i="10"/>
  <c r="F668" i="10"/>
  <c r="F647" i="10"/>
  <c r="F681" i="10"/>
  <c r="F644" i="10"/>
  <c r="F640" i="10"/>
  <c r="F636" i="10"/>
  <c r="F632" i="10"/>
  <c r="F683" i="10"/>
  <c r="F646" i="10"/>
  <c r="F631" i="10"/>
  <c r="F706" i="10"/>
  <c r="F691" i="10"/>
  <c r="F635" i="10"/>
  <c r="F633" i="10"/>
  <c r="F626" i="10"/>
  <c r="F686" i="10"/>
  <c r="F639" i="10"/>
  <c r="F637" i="10"/>
  <c r="F688" i="10"/>
  <c r="F684" i="10"/>
  <c r="F645" i="10"/>
  <c r="F643" i="10"/>
  <c r="F641" i="10"/>
  <c r="F628" i="10"/>
  <c r="F710" i="10"/>
  <c r="F690" i="10"/>
  <c r="F625" i="10"/>
  <c r="F716" i="10"/>
  <c r="F712" i="10"/>
  <c r="F707" i="10"/>
  <c r="F687" i="10"/>
  <c r="F676" i="10"/>
  <c r="F629" i="10"/>
  <c r="F715" i="10" l="1"/>
  <c r="G625" i="10"/>
  <c r="G710" i="10" l="1"/>
  <c r="G702" i="10"/>
  <c r="G694" i="10"/>
  <c r="G706" i="10"/>
  <c r="G698" i="10"/>
  <c r="G690" i="10"/>
  <c r="G701" i="10"/>
  <c r="G700" i="10"/>
  <c r="G699" i="10"/>
  <c r="G685" i="10"/>
  <c r="G677" i="10"/>
  <c r="G697" i="10"/>
  <c r="G696" i="10"/>
  <c r="G695" i="10"/>
  <c r="G682" i="10"/>
  <c r="G674" i="10"/>
  <c r="G693" i="10"/>
  <c r="G692" i="10"/>
  <c r="G691" i="10"/>
  <c r="G679" i="10"/>
  <c r="G671" i="10"/>
  <c r="G689" i="10"/>
  <c r="G678" i="10"/>
  <c r="G672" i="10"/>
  <c r="G670" i="10"/>
  <c r="G668" i="10"/>
  <c r="G647" i="10"/>
  <c r="G703" i="10"/>
  <c r="G686" i="10"/>
  <c r="G669" i="10"/>
  <c r="G643" i="10"/>
  <c r="G639" i="10"/>
  <c r="G635" i="10"/>
  <c r="G631" i="10"/>
  <c r="G716" i="10"/>
  <c r="G707" i="10"/>
  <c r="G704" i="10"/>
  <c r="G645" i="10"/>
  <c r="G629" i="10"/>
  <c r="G626" i="10"/>
  <c r="G633" i="10"/>
  <c r="G711" i="10"/>
  <c r="G637" i="10"/>
  <c r="G713" i="10"/>
  <c r="G688" i="10"/>
  <c r="G684" i="10"/>
  <c r="G641" i="10"/>
  <c r="G628" i="10"/>
  <c r="G708" i="10"/>
  <c r="G675" i="10"/>
  <c r="G680" i="10"/>
  <c r="G632" i="10"/>
  <c r="G630" i="10"/>
  <c r="G712" i="10"/>
  <c r="G705" i="10"/>
  <c r="G687" i="10"/>
  <c r="G676" i="10"/>
  <c r="G673" i="10"/>
  <c r="G636" i="10"/>
  <c r="G634" i="10"/>
  <c r="G640" i="10"/>
  <c r="G638" i="10"/>
  <c r="G627" i="10"/>
  <c r="G681" i="10"/>
  <c r="G646" i="10"/>
  <c r="G644" i="10"/>
  <c r="G642" i="10"/>
  <c r="G709" i="10"/>
  <c r="G683" i="10"/>
  <c r="H628" i="10" l="1"/>
  <c r="H691" i="10" s="1"/>
  <c r="G715" i="10"/>
  <c r="H699" i="10"/>
  <c r="H696" i="10"/>
  <c r="H692" i="10"/>
  <c r="H689" i="10"/>
  <c r="H669" i="10"/>
  <c r="H631" i="10"/>
  <c r="H713" i="10"/>
  <c r="H708" i="10"/>
  <c r="H680" i="10"/>
  <c r="H705" i="10"/>
  <c r="H702" i="10"/>
  <c r="H644" i="10"/>
  <c r="H642" i="10"/>
  <c r="H636" i="10" l="1"/>
  <c r="H633" i="10"/>
  <c r="H668" i="10"/>
  <c r="H695" i="10"/>
  <c r="H704" i="10"/>
  <c r="H646" i="10"/>
  <c r="H638" i="10"/>
  <c r="H715" i="10" s="1"/>
  <c r="H670" i="10"/>
  <c r="H630" i="10"/>
  <c r="H645" i="10"/>
  <c r="H677" i="10"/>
  <c r="H637" i="10"/>
  <c r="H706" i="10"/>
  <c r="H635" i="10"/>
  <c r="H685" i="10"/>
  <c r="H676" i="10"/>
  <c r="H690" i="10"/>
  <c r="H693" i="10"/>
  <c r="H697" i="10"/>
  <c r="H703" i="10"/>
  <c r="H707" i="10"/>
  <c r="H629" i="10"/>
  <c r="H681" i="10"/>
  <c r="H640" i="10"/>
  <c r="H673" i="10"/>
  <c r="H632" i="10"/>
  <c r="H672" i="10"/>
  <c r="H701" i="10"/>
  <c r="H641" i="10"/>
  <c r="H709" i="10"/>
  <c r="H639" i="10"/>
  <c r="H686" i="10"/>
  <c r="H684" i="10"/>
  <c r="H671" i="10"/>
  <c r="H694" i="10"/>
  <c r="H698" i="10"/>
  <c r="H711" i="10"/>
  <c r="H716" i="10"/>
  <c r="H683" i="10"/>
  <c r="H634" i="10"/>
  <c r="H678" i="10"/>
  <c r="H647" i="10"/>
  <c r="H675" i="10"/>
  <c r="H674" i="10"/>
  <c r="H710" i="10"/>
  <c r="H712" i="10"/>
  <c r="H643" i="10"/>
  <c r="H700" i="10"/>
  <c r="H688" i="10"/>
  <c r="H679" i="10"/>
  <c r="H682" i="10"/>
  <c r="H687" i="10"/>
  <c r="I629" i="10"/>
  <c r="I712" i="10" l="1"/>
  <c r="I704" i="10"/>
  <c r="I696" i="10"/>
  <c r="I688" i="10"/>
  <c r="I708" i="10"/>
  <c r="I700" i="10"/>
  <c r="I692" i="10"/>
  <c r="I695" i="10"/>
  <c r="I694" i="10"/>
  <c r="I693" i="10"/>
  <c r="I679" i="10"/>
  <c r="I691" i="10"/>
  <c r="I690" i="10"/>
  <c r="I689" i="10"/>
  <c r="I684" i="10"/>
  <c r="I676" i="10"/>
  <c r="I668" i="10"/>
  <c r="I687" i="10"/>
  <c r="I681" i="10"/>
  <c r="I673" i="10"/>
  <c r="I709" i="10"/>
  <c r="I706" i="10"/>
  <c r="I703" i="10"/>
  <c r="I680" i="10"/>
  <c r="I644" i="10"/>
  <c r="I640" i="10"/>
  <c r="I636" i="10"/>
  <c r="I632" i="10"/>
  <c r="I683" i="10"/>
  <c r="I682" i="10"/>
  <c r="I646" i="10"/>
  <c r="I711" i="10"/>
  <c r="I701" i="10"/>
  <c r="I677" i="10"/>
  <c r="I637" i="10"/>
  <c r="I635" i="10"/>
  <c r="I713" i="10"/>
  <c r="I686" i="10"/>
  <c r="I675" i="10"/>
  <c r="I672" i="10"/>
  <c r="I669" i="10"/>
  <c r="I645" i="10"/>
  <c r="I641" i="10"/>
  <c r="I639" i="10"/>
  <c r="I698" i="10"/>
  <c r="I647" i="10"/>
  <c r="I643" i="10"/>
  <c r="I630" i="10"/>
  <c r="I710" i="10"/>
  <c r="I705" i="10"/>
  <c r="I678" i="10"/>
  <c r="I670" i="10"/>
  <c r="I634" i="10"/>
  <c r="I716" i="10"/>
  <c r="I638" i="10"/>
  <c r="I707" i="10"/>
  <c r="I702" i="10"/>
  <c r="I642" i="10"/>
  <c r="I697" i="10"/>
  <c r="I685" i="10"/>
  <c r="I699" i="10"/>
  <c r="I631" i="10"/>
  <c r="I674" i="10"/>
  <c r="I671" i="10"/>
  <c r="I633" i="10"/>
  <c r="I715" i="10" l="1"/>
  <c r="J630" i="10"/>
  <c r="J709" i="10" l="1"/>
  <c r="J701" i="10"/>
  <c r="J693" i="10"/>
  <c r="J713" i="10"/>
  <c r="J705" i="10"/>
  <c r="J697" i="10"/>
  <c r="J689" i="10"/>
  <c r="J692" i="10"/>
  <c r="J691" i="10"/>
  <c r="J690" i="10"/>
  <c r="J684" i="10"/>
  <c r="J688" i="10"/>
  <c r="J687" i="10"/>
  <c r="J681" i="10"/>
  <c r="J673" i="10"/>
  <c r="J686" i="10"/>
  <c r="J678" i="10"/>
  <c r="J670" i="10"/>
  <c r="J647" i="10"/>
  <c r="J646" i="10"/>
  <c r="J645" i="10"/>
  <c r="J712" i="10"/>
  <c r="J680" i="10"/>
  <c r="J679" i="10"/>
  <c r="J644" i="10"/>
  <c r="J640" i="10"/>
  <c r="J636" i="10"/>
  <c r="J632" i="10"/>
  <c r="J698" i="10"/>
  <c r="J695" i="10"/>
  <c r="J702" i="10"/>
  <c r="J699" i="10"/>
  <c r="J696" i="10"/>
  <c r="J675" i="10"/>
  <c r="J642" i="10"/>
  <c r="J638" i="10"/>
  <c r="J634" i="10"/>
  <c r="J706" i="10"/>
  <c r="J672" i="10"/>
  <c r="J669" i="10"/>
  <c r="J641" i="10"/>
  <c r="J639" i="10"/>
  <c r="J708" i="10"/>
  <c r="J643" i="10"/>
  <c r="J710" i="10"/>
  <c r="J703" i="10"/>
  <c r="J682" i="10"/>
  <c r="J716" i="10"/>
  <c r="J707" i="10"/>
  <c r="J700" i="10"/>
  <c r="J676" i="10"/>
  <c r="J685" i="10"/>
  <c r="J683" i="10"/>
  <c r="J704" i="10"/>
  <c r="J674" i="10"/>
  <c r="J671" i="10"/>
  <c r="J668" i="10"/>
  <c r="J633" i="10"/>
  <c r="J631" i="10"/>
  <c r="J694" i="10"/>
  <c r="J677" i="10"/>
  <c r="J711" i="10"/>
  <c r="J635" i="10"/>
  <c r="J637" i="10"/>
  <c r="L647" i="10" l="1"/>
  <c r="J715" i="10"/>
  <c r="K644" i="10"/>
  <c r="K716" i="10" l="1"/>
  <c r="K706" i="10"/>
  <c r="K698" i="10"/>
  <c r="K690" i="10"/>
  <c r="K710" i="10"/>
  <c r="K702" i="10"/>
  <c r="K694" i="10"/>
  <c r="K689" i="10"/>
  <c r="K688" i="10"/>
  <c r="K687" i="10"/>
  <c r="K681" i="10"/>
  <c r="K686" i="10"/>
  <c r="K678" i="10"/>
  <c r="K670" i="10"/>
  <c r="K713" i="10"/>
  <c r="K712" i="10"/>
  <c r="K711" i="10"/>
  <c r="K683" i="10"/>
  <c r="K675" i="10"/>
  <c r="K695" i="10"/>
  <c r="K692" i="10"/>
  <c r="K707" i="10"/>
  <c r="K704" i="10"/>
  <c r="K701" i="10"/>
  <c r="K708" i="10"/>
  <c r="K705" i="10"/>
  <c r="K677" i="10"/>
  <c r="K676" i="10"/>
  <c r="K674" i="10"/>
  <c r="K672" i="10"/>
  <c r="K696" i="10"/>
  <c r="K691" i="10"/>
  <c r="K703" i="10"/>
  <c r="K684" i="10"/>
  <c r="K682" i="10"/>
  <c r="K693" i="10"/>
  <c r="K680" i="10"/>
  <c r="K700" i="10"/>
  <c r="K673" i="10"/>
  <c r="K685" i="10"/>
  <c r="K697" i="10"/>
  <c r="K671" i="10"/>
  <c r="K668" i="10"/>
  <c r="K709" i="10"/>
  <c r="K699" i="10"/>
  <c r="K669" i="10"/>
  <c r="K679" i="10"/>
  <c r="L711" i="10"/>
  <c r="L703" i="10"/>
  <c r="M703" i="10" s="1"/>
  <c r="Y769" i="10" s="1"/>
  <c r="L695" i="10"/>
  <c r="L687" i="10"/>
  <c r="M687" i="10" s="1"/>
  <c r="Y753" i="10" s="1"/>
  <c r="L716" i="10"/>
  <c r="L707" i="10"/>
  <c r="M707" i="10" s="1"/>
  <c r="Y773" i="10" s="1"/>
  <c r="L699" i="10"/>
  <c r="L691" i="10"/>
  <c r="M691" i="10" s="1"/>
  <c r="Y757" i="10" s="1"/>
  <c r="L686" i="10"/>
  <c r="M686" i="10" s="1"/>
  <c r="Y752" i="10" s="1"/>
  <c r="L678" i="10"/>
  <c r="M678" i="10" s="1"/>
  <c r="Y744" i="10" s="1"/>
  <c r="L713" i="10"/>
  <c r="L712" i="10"/>
  <c r="M712" i="10" s="1"/>
  <c r="Y778" i="10" s="1"/>
  <c r="L683" i="10"/>
  <c r="M683" i="10" s="1"/>
  <c r="Y749" i="10" s="1"/>
  <c r="L675" i="10"/>
  <c r="M675" i="10" s="1"/>
  <c r="Y741" i="10" s="1"/>
  <c r="L710" i="10"/>
  <c r="L709" i="10"/>
  <c r="M709" i="10" s="1"/>
  <c r="Y775" i="10" s="1"/>
  <c r="L708" i="10"/>
  <c r="L680" i="10"/>
  <c r="M680" i="10" s="1"/>
  <c r="Y746" i="10" s="1"/>
  <c r="L672" i="10"/>
  <c r="L704" i="10"/>
  <c r="L701" i="10"/>
  <c r="M701" i="10" s="1"/>
  <c r="Y767" i="10" s="1"/>
  <c r="L698" i="10"/>
  <c r="M698" i="10" s="1"/>
  <c r="Y764" i="10" s="1"/>
  <c r="L682" i="10"/>
  <c r="L681" i="10"/>
  <c r="M681" i="10" s="1"/>
  <c r="Y747" i="10" s="1"/>
  <c r="L688" i="10"/>
  <c r="L685" i="10"/>
  <c r="M685" i="10" s="1"/>
  <c r="Y751" i="10" s="1"/>
  <c r="L684" i="10"/>
  <c r="M684" i="10" s="1"/>
  <c r="Y750" i="10" s="1"/>
  <c r="L673" i="10"/>
  <c r="L671" i="10"/>
  <c r="M671" i="10" s="1"/>
  <c r="Y737" i="10" s="1"/>
  <c r="L669" i="10"/>
  <c r="M669" i="10" s="1"/>
  <c r="Y735" i="10" s="1"/>
  <c r="L693" i="10"/>
  <c r="M693" i="10" s="1"/>
  <c r="Y759" i="10" s="1"/>
  <c r="L705" i="10"/>
  <c r="M705" i="10" s="1"/>
  <c r="Y771" i="10" s="1"/>
  <c r="L700" i="10"/>
  <c r="M700" i="10" s="1"/>
  <c r="Y766" i="10" s="1"/>
  <c r="L670" i="10"/>
  <c r="M670" i="10" s="1"/>
  <c r="Y736" i="10" s="1"/>
  <c r="L690" i="10"/>
  <c r="M690" i="10" s="1"/>
  <c r="Y756" i="10" s="1"/>
  <c r="L676" i="10"/>
  <c r="M676" i="10" s="1"/>
  <c r="Y742" i="10" s="1"/>
  <c r="L702" i="10"/>
  <c r="M702" i="10" s="1"/>
  <c r="Y768" i="10" s="1"/>
  <c r="L697" i="10"/>
  <c r="M697" i="10" s="1"/>
  <c r="Y763" i="10" s="1"/>
  <c r="L668" i="10"/>
  <c r="L692" i="10"/>
  <c r="M692" i="10" s="1"/>
  <c r="Y758" i="10" s="1"/>
  <c r="L674" i="10"/>
  <c r="L694" i="10"/>
  <c r="L679" i="10"/>
  <c r="L677" i="10"/>
  <c r="M677" i="10" s="1"/>
  <c r="Y743" i="10" s="1"/>
  <c r="L696" i="10"/>
  <c r="L689" i="10"/>
  <c r="M689" i="10" s="1"/>
  <c r="Y755" i="10" s="1"/>
  <c r="L706" i="10"/>
  <c r="M706" i="10" s="1"/>
  <c r="Y772" i="10" s="1"/>
  <c r="M674" i="10" l="1"/>
  <c r="Y740" i="10" s="1"/>
  <c r="M688" i="10"/>
  <c r="Y754" i="10" s="1"/>
  <c r="M708" i="10"/>
  <c r="Y774" i="10" s="1"/>
  <c r="M682" i="10"/>
  <c r="Y748" i="10" s="1"/>
  <c r="M710" i="10"/>
  <c r="Y776" i="10" s="1"/>
  <c r="M711" i="10"/>
  <c r="Y777" i="10" s="1"/>
  <c r="M699" i="10"/>
  <c r="Y765" i="10" s="1"/>
  <c r="M673" i="10"/>
  <c r="Y739" i="10" s="1"/>
  <c r="M704" i="10"/>
  <c r="Y770" i="10" s="1"/>
  <c r="K715" i="10"/>
  <c r="L715" i="10"/>
  <c r="M668" i="10"/>
  <c r="M679" i="10"/>
  <c r="Y745" i="10" s="1"/>
  <c r="M672" i="10"/>
  <c r="Y738" i="10" s="1"/>
  <c r="M713" i="10"/>
  <c r="Y779" i="10" s="1"/>
  <c r="M695" i="10"/>
  <c r="Y761" i="10" s="1"/>
  <c r="M696" i="10"/>
  <c r="Y762" i="10" s="1"/>
  <c r="M694" i="10"/>
  <c r="Y760" i="10" s="1"/>
  <c r="Y734" i="10" l="1"/>
  <c r="Y815" i="10" s="1"/>
  <c r="M715" i="10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D433" i="1" s="1"/>
  <c r="E196" i="1"/>
  <c r="E197" i="1"/>
  <c r="E198" i="1"/>
  <c r="E199" i="1"/>
  <c r="E200" i="1"/>
  <c r="C473" i="1" s="1"/>
  <c r="E201" i="1"/>
  <c r="F13" i="6" s="1"/>
  <c r="E202" i="1"/>
  <c r="C474" i="1" s="1"/>
  <c r="E203" i="1"/>
  <c r="D204" i="1"/>
  <c r="B204" i="1"/>
  <c r="D190" i="1"/>
  <c r="D437" i="1" s="1"/>
  <c r="D186" i="1"/>
  <c r="D436" i="1" s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2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20" i="8" s="1"/>
  <c r="D330" i="1"/>
  <c r="C86" i="8" s="1"/>
  <c r="C16" i="8"/>
  <c r="F12" i="6"/>
  <c r="C469" i="1"/>
  <c r="F8" i="6"/>
  <c r="I377" i="9"/>
  <c r="C464" i="1"/>
  <c r="G122" i="9"/>
  <c r="H58" i="9"/>
  <c r="C218" i="9"/>
  <c r="D366" i="9"/>
  <c r="CE64" i="1"/>
  <c r="D368" i="9"/>
  <c r="C276" i="9"/>
  <c r="CE70" i="1"/>
  <c r="I372" i="9" s="1"/>
  <c r="CE76" i="1"/>
  <c r="CE77" i="1"/>
  <c r="CF77" i="1" s="1"/>
  <c r="I29" i="9"/>
  <c r="C95" i="9"/>
  <c r="CE79" i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E373" i="9" s="1"/>
  <c r="E372" i="9"/>
  <c r="I380" i="9"/>
  <c r="F499" i="1"/>
  <c r="F517" i="1"/>
  <c r="H505" i="1"/>
  <c r="F505" i="1"/>
  <c r="H515" i="1"/>
  <c r="H501" i="1"/>
  <c r="F501" i="1"/>
  <c r="F497" i="1"/>
  <c r="H497" i="1"/>
  <c r="H499" i="1"/>
  <c r="C421" i="1" l="1"/>
  <c r="C33" i="8"/>
  <c r="B476" i="1"/>
  <c r="E19" i="4"/>
  <c r="D463" i="1"/>
  <c r="I381" i="9"/>
  <c r="C10" i="4"/>
  <c r="G10" i="4"/>
  <c r="I362" i="9"/>
  <c r="C34" i="5"/>
  <c r="D428" i="1"/>
  <c r="D5" i="7"/>
  <c r="C141" i="8"/>
  <c r="BX48" i="1"/>
  <c r="BX62" i="1" s="1"/>
  <c r="F332" i="9" s="1"/>
  <c r="BC48" i="1"/>
  <c r="BC62" i="1" s="1"/>
  <c r="AT48" i="1"/>
  <c r="AT62" i="1" s="1"/>
  <c r="Y48" i="1"/>
  <c r="Y62" i="1" s="1"/>
  <c r="C434" i="1"/>
  <c r="C440" i="1"/>
  <c r="AL48" i="1"/>
  <c r="AL62" i="1" s="1"/>
  <c r="BR48" i="1"/>
  <c r="BR62" i="1" s="1"/>
  <c r="G300" i="9" s="1"/>
  <c r="BW48" i="1"/>
  <c r="BW62" i="1" s="1"/>
  <c r="E332" i="9" s="1"/>
  <c r="C427" i="1"/>
  <c r="T48" i="1"/>
  <c r="T62" i="1" s="1"/>
  <c r="F76" i="9" s="1"/>
  <c r="N48" i="1"/>
  <c r="N62" i="1" s="1"/>
  <c r="BB48" i="1"/>
  <c r="BB62" i="1" s="1"/>
  <c r="E236" i="9" s="1"/>
  <c r="K48" i="1"/>
  <c r="K62" i="1" s="1"/>
  <c r="BE48" i="1"/>
  <c r="BE62" i="1" s="1"/>
  <c r="AU48" i="1"/>
  <c r="AU62" i="1" s="1"/>
  <c r="AD48" i="1"/>
  <c r="AD62" i="1" s="1"/>
  <c r="I108" i="9" s="1"/>
  <c r="BJ48" i="1"/>
  <c r="BJ62" i="1" s="1"/>
  <c r="F268" i="9" s="1"/>
  <c r="CB48" i="1"/>
  <c r="CB62" i="1" s="1"/>
  <c r="C364" i="9" s="1"/>
  <c r="AQ48" i="1"/>
  <c r="AQ62" i="1" s="1"/>
  <c r="U48" i="1"/>
  <c r="U62" i="1" s="1"/>
  <c r="G76" i="9" s="1"/>
  <c r="D48" i="1"/>
  <c r="D62" i="1" s="1"/>
  <c r="D12" i="9" s="1"/>
  <c r="J48" i="1"/>
  <c r="J62" i="1" s="1"/>
  <c r="Z48" i="1"/>
  <c r="Z62" i="1" s="1"/>
  <c r="E108" i="9" s="1"/>
  <c r="AJ48" i="1"/>
  <c r="AJ62" i="1" s="1"/>
  <c r="H140" i="9" s="1"/>
  <c r="AR48" i="1"/>
  <c r="AR62" i="1" s="1"/>
  <c r="I172" i="9" s="1"/>
  <c r="AZ48" i="1"/>
  <c r="AZ62" i="1" s="1"/>
  <c r="C236" i="9" s="1"/>
  <c r="BH48" i="1"/>
  <c r="BH62" i="1" s="1"/>
  <c r="D268" i="9" s="1"/>
  <c r="BP48" i="1"/>
  <c r="BP62" i="1" s="1"/>
  <c r="AI48" i="1"/>
  <c r="AI62" i="1" s="1"/>
  <c r="BO48" i="1"/>
  <c r="BO62" i="1" s="1"/>
  <c r="D300" i="9" s="1"/>
  <c r="Q48" i="1"/>
  <c r="Q62" i="1" s="1"/>
  <c r="C76" i="9" s="1"/>
  <c r="AW48" i="1"/>
  <c r="AW62" i="1" s="1"/>
  <c r="E48" i="1"/>
  <c r="E62" i="1" s="1"/>
  <c r="E12" i="9" s="1"/>
  <c r="BQ48" i="1"/>
  <c r="BQ62" i="1" s="1"/>
  <c r="O48" i="1"/>
  <c r="O62" i="1" s="1"/>
  <c r="H44" i="9" s="1"/>
  <c r="BS48" i="1"/>
  <c r="BS62" i="1" s="1"/>
  <c r="BZ48" i="1"/>
  <c r="BZ62" i="1" s="1"/>
  <c r="P48" i="1"/>
  <c r="P62" i="1" s="1"/>
  <c r="I363" i="9"/>
  <c r="R48" i="1"/>
  <c r="R62" i="1" s="1"/>
  <c r="AF48" i="1"/>
  <c r="AF62" i="1" s="1"/>
  <c r="D140" i="9" s="1"/>
  <c r="AN48" i="1"/>
  <c r="AN62" i="1" s="1"/>
  <c r="AV48" i="1"/>
  <c r="AV62" i="1" s="1"/>
  <c r="F204" i="9" s="1"/>
  <c r="BD48" i="1"/>
  <c r="BD62" i="1" s="1"/>
  <c r="G236" i="9" s="1"/>
  <c r="BL48" i="1"/>
  <c r="BL62" i="1" s="1"/>
  <c r="H268" i="9" s="1"/>
  <c r="BT48" i="1"/>
  <c r="BT62" i="1" s="1"/>
  <c r="I300" i="9" s="1"/>
  <c r="BY48" i="1"/>
  <c r="BY62" i="1" s="1"/>
  <c r="G332" i="9" s="1"/>
  <c r="C48" i="1"/>
  <c r="C62" i="1" s="1"/>
  <c r="C12" i="9" s="1"/>
  <c r="S48" i="1"/>
  <c r="S62" i="1" s="1"/>
  <c r="E76" i="9" s="1"/>
  <c r="AY48" i="1"/>
  <c r="AY62" i="1" s="1"/>
  <c r="CC48" i="1"/>
  <c r="CC62" i="1" s="1"/>
  <c r="AG48" i="1"/>
  <c r="AG62" i="1" s="1"/>
  <c r="BM48" i="1"/>
  <c r="BM62" i="1" s="1"/>
  <c r="I268" i="9" s="1"/>
  <c r="AK48" i="1"/>
  <c r="AK62" i="1" s="1"/>
  <c r="BI48" i="1"/>
  <c r="BI62" i="1" s="1"/>
  <c r="E268" i="9" s="1"/>
  <c r="AE48" i="1"/>
  <c r="AE62" i="1" s="1"/>
  <c r="C140" i="9" s="1"/>
  <c r="AC48" i="1"/>
  <c r="AC62" i="1" s="1"/>
  <c r="H108" i="9" s="1"/>
  <c r="H48" i="1"/>
  <c r="H62" i="1" s="1"/>
  <c r="X48" i="1"/>
  <c r="X62" i="1" s="1"/>
  <c r="F48" i="1"/>
  <c r="F62" i="1" s="1"/>
  <c r="V48" i="1"/>
  <c r="V62" i="1" s="1"/>
  <c r="AH48" i="1"/>
  <c r="AH62" i="1" s="1"/>
  <c r="AP48" i="1"/>
  <c r="AP62" i="1" s="1"/>
  <c r="AX48" i="1"/>
  <c r="AX62" i="1" s="1"/>
  <c r="BF48" i="1"/>
  <c r="BF62" i="1" s="1"/>
  <c r="BN48" i="1"/>
  <c r="BN62" i="1" s="1"/>
  <c r="C300" i="9" s="1"/>
  <c r="BV48" i="1"/>
  <c r="BV62" i="1" s="1"/>
  <c r="CA48" i="1"/>
  <c r="CA62" i="1" s="1"/>
  <c r="I332" i="9" s="1"/>
  <c r="AA48" i="1"/>
  <c r="AA62" i="1" s="1"/>
  <c r="F108" i="9" s="1"/>
  <c r="BG48" i="1"/>
  <c r="BG62" i="1" s="1"/>
  <c r="C268" i="9" s="1"/>
  <c r="I48" i="1"/>
  <c r="I62" i="1" s="1"/>
  <c r="I12" i="9" s="1"/>
  <c r="AO48" i="1"/>
  <c r="AO62" i="1" s="1"/>
  <c r="BU48" i="1"/>
  <c r="BU62" i="1" s="1"/>
  <c r="C332" i="9" s="1"/>
  <c r="BA48" i="1"/>
  <c r="BA62" i="1" s="1"/>
  <c r="D236" i="9" s="1"/>
  <c r="AM48" i="1"/>
  <c r="AM62" i="1" s="1"/>
  <c r="D172" i="9" s="1"/>
  <c r="M48" i="1"/>
  <c r="M62" i="1" s="1"/>
  <c r="G48" i="1"/>
  <c r="G62" i="1" s="1"/>
  <c r="G12" i="9" s="1"/>
  <c r="L48" i="1"/>
  <c r="L62" i="1" s="1"/>
  <c r="AB48" i="1"/>
  <c r="AB62" i="1" s="1"/>
  <c r="G108" i="9" s="1"/>
  <c r="CF76" i="1"/>
  <c r="AG52" i="1" s="1"/>
  <c r="AG67" i="1" s="1"/>
  <c r="Q52" i="1"/>
  <c r="Q67" i="1" s="1"/>
  <c r="C430" i="1"/>
  <c r="I366" i="9"/>
  <c r="W48" i="1"/>
  <c r="AS48" i="1"/>
  <c r="AS62" i="1" s="1"/>
  <c r="K52" i="1"/>
  <c r="K67" i="1" s="1"/>
  <c r="AS52" i="1"/>
  <c r="AS67" i="1" s="1"/>
  <c r="AI52" i="1"/>
  <c r="AI67" i="1" s="1"/>
  <c r="C575" i="1"/>
  <c r="AL52" i="1"/>
  <c r="AL67" i="1" s="1"/>
  <c r="BS52" i="1"/>
  <c r="BS67" i="1" s="1"/>
  <c r="BJ52" i="1"/>
  <c r="BJ67" i="1" s="1"/>
  <c r="BB52" i="1"/>
  <c r="BB67" i="1" s="1"/>
  <c r="AZ52" i="1"/>
  <c r="AZ67" i="1" s="1"/>
  <c r="C414" i="1"/>
  <c r="B10" i="4"/>
  <c r="C458" i="1"/>
  <c r="I90" i="9"/>
  <c r="G28" i="4"/>
  <c r="D186" i="9"/>
  <c r="B446" i="1"/>
  <c r="D242" i="1"/>
  <c r="C418" i="1"/>
  <c r="D438" i="1"/>
  <c r="F14" i="6"/>
  <c r="C471" i="1"/>
  <c r="F10" i="6"/>
  <c r="D339" i="1"/>
  <c r="D26" i="9"/>
  <c r="CE75" i="1"/>
  <c r="D108" i="9"/>
  <c r="F7" i="6"/>
  <c r="E204" i="1"/>
  <c r="C468" i="1"/>
  <c r="I383" i="9"/>
  <c r="D22" i="7"/>
  <c r="C40" i="5"/>
  <c r="C420" i="1"/>
  <c r="B28" i="4"/>
  <c r="F186" i="9"/>
  <c r="BF52" i="1"/>
  <c r="BF67" i="1" s="1"/>
  <c r="BQ52" i="1"/>
  <c r="BQ67" i="1" s="1"/>
  <c r="AY52" i="1"/>
  <c r="AY67" i="1" s="1"/>
  <c r="BM52" i="1"/>
  <c r="BM67" i="1" s="1"/>
  <c r="T52" i="1"/>
  <c r="T67" i="1" s="1"/>
  <c r="BN52" i="1"/>
  <c r="BN67" i="1" s="1"/>
  <c r="AX52" i="1"/>
  <c r="AX67" i="1" s="1"/>
  <c r="G52" i="1"/>
  <c r="G67" i="1" s="1"/>
  <c r="I376" i="9"/>
  <c r="C463" i="1"/>
  <c r="D58" i="9"/>
  <c r="G26" i="9"/>
  <c r="E217" i="1"/>
  <c r="I384" i="9"/>
  <c r="F218" i="9"/>
  <c r="D90" i="9"/>
  <c r="D464" i="1"/>
  <c r="D465" i="1" s="1"/>
  <c r="H154" i="9"/>
  <c r="I367" i="9"/>
  <c r="D373" i="1"/>
  <c r="D434" i="1"/>
  <c r="D292" i="1"/>
  <c r="C58" i="9"/>
  <c r="BG52" i="1" l="1"/>
  <c r="BG67" i="1" s="1"/>
  <c r="S52" i="1"/>
  <c r="S67" i="1" s="1"/>
  <c r="BW52" i="1"/>
  <c r="BW67" i="1" s="1"/>
  <c r="E337" i="9" s="1"/>
  <c r="V52" i="1"/>
  <c r="V67" i="1" s="1"/>
  <c r="CC52" i="1"/>
  <c r="CC67" i="1" s="1"/>
  <c r="AT52" i="1"/>
  <c r="AT67" i="1" s="1"/>
  <c r="D52" i="1"/>
  <c r="D67" i="1" s="1"/>
  <c r="D71" i="1" s="1"/>
  <c r="D21" i="9" s="1"/>
  <c r="O52" i="1"/>
  <c r="O67" i="1" s="1"/>
  <c r="H49" i="9" s="1"/>
  <c r="W52" i="1"/>
  <c r="W67" i="1" s="1"/>
  <c r="BV52" i="1"/>
  <c r="BV67" i="1" s="1"/>
  <c r="AO52" i="1"/>
  <c r="AO67" i="1" s="1"/>
  <c r="F177" i="9" s="1"/>
  <c r="AE52" i="1"/>
  <c r="AE67" i="1" s="1"/>
  <c r="C145" i="9" s="1"/>
  <c r="AC52" i="1"/>
  <c r="AC67" i="1" s="1"/>
  <c r="K71" i="1"/>
  <c r="D53" i="9" s="1"/>
  <c r="F236" i="9"/>
  <c r="D44" i="9"/>
  <c r="C172" i="9"/>
  <c r="BV71" i="1"/>
  <c r="C567" i="1" s="1"/>
  <c r="D332" i="9"/>
  <c r="G204" i="9"/>
  <c r="D204" i="9"/>
  <c r="AL71" i="1"/>
  <c r="AX71" i="1"/>
  <c r="C543" i="1" s="1"/>
  <c r="T71" i="1"/>
  <c r="F85" i="9" s="1"/>
  <c r="BS71" i="1"/>
  <c r="AT71" i="1"/>
  <c r="C539" i="1" s="1"/>
  <c r="G539" i="1" s="1"/>
  <c r="G71" i="1"/>
  <c r="G21" i="9" s="1"/>
  <c r="H172" i="9"/>
  <c r="E204" i="9"/>
  <c r="BN71" i="1"/>
  <c r="C309" i="9" s="1"/>
  <c r="BQ71" i="1"/>
  <c r="F309" i="9" s="1"/>
  <c r="F44" i="9"/>
  <c r="H204" i="9"/>
  <c r="F12" i="9"/>
  <c r="G172" i="9"/>
  <c r="E300" i="9"/>
  <c r="D364" i="9"/>
  <c r="C108" i="9"/>
  <c r="H332" i="9"/>
  <c r="AI71" i="1"/>
  <c r="G149" i="9" s="1"/>
  <c r="AZ71" i="1"/>
  <c r="C44" i="9"/>
  <c r="H236" i="9"/>
  <c r="BF71" i="1"/>
  <c r="I245" i="9" s="1"/>
  <c r="G140" i="9"/>
  <c r="J52" i="1"/>
  <c r="J67" i="1" s="1"/>
  <c r="J71" i="1" s="1"/>
  <c r="C53" i="9" s="1"/>
  <c r="N52" i="1"/>
  <c r="N67" i="1" s="1"/>
  <c r="BP52" i="1"/>
  <c r="BP67" i="1" s="1"/>
  <c r="E305" i="9" s="1"/>
  <c r="F140" i="9"/>
  <c r="BB71" i="1"/>
  <c r="C547" i="1" s="1"/>
  <c r="D76" i="9"/>
  <c r="F172" i="9"/>
  <c r="F300" i="9"/>
  <c r="I236" i="9"/>
  <c r="H76" i="9"/>
  <c r="S71" i="1"/>
  <c r="C512" i="1" s="1"/>
  <c r="G512" i="1" s="1"/>
  <c r="E172" i="9"/>
  <c r="BM71" i="1"/>
  <c r="C558" i="1" s="1"/>
  <c r="AY71" i="1"/>
  <c r="C544" i="1" s="1"/>
  <c r="G544" i="1" s="1"/>
  <c r="I204" i="9"/>
  <c r="G44" i="9"/>
  <c r="BG71" i="1"/>
  <c r="C552" i="1" s="1"/>
  <c r="I140" i="9"/>
  <c r="E44" i="9"/>
  <c r="AC71" i="1"/>
  <c r="C522" i="1" s="1"/>
  <c r="G522" i="1" s="1"/>
  <c r="E140" i="9"/>
  <c r="H300" i="9"/>
  <c r="H12" i="9"/>
  <c r="I44" i="9"/>
  <c r="AN52" i="1"/>
  <c r="AN67" i="1" s="1"/>
  <c r="E177" i="9" s="1"/>
  <c r="Z52" i="1"/>
  <c r="Z67" i="1" s="1"/>
  <c r="E113" i="9" s="1"/>
  <c r="BK52" i="1"/>
  <c r="BK67" i="1" s="1"/>
  <c r="BE52" i="1"/>
  <c r="BE67" i="1" s="1"/>
  <c r="BE71" i="1" s="1"/>
  <c r="C550" i="1" s="1"/>
  <c r="G550" i="1" s="1"/>
  <c r="AK52" i="1"/>
  <c r="AK67" i="1" s="1"/>
  <c r="AK71" i="1" s="1"/>
  <c r="C530" i="1" s="1"/>
  <c r="G530" i="1" s="1"/>
  <c r="AW52" i="1"/>
  <c r="AW67" i="1" s="1"/>
  <c r="AW71" i="1" s="1"/>
  <c r="G213" i="9" s="1"/>
  <c r="BY52" i="1"/>
  <c r="BY67" i="1" s="1"/>
  <c r="BY71" i="1" s="1"/>
  <c r="C570" i="1" s="1"/>
  <c r="AM52" i="1"/>
  <c r="AM67" i="1" s="1"/>
  <c r="AM71" i="1" s="1"/>
  <c r="D181" i="9" s="1"/>
  <c r="BW71" i="1"/>
  <c r="C568" i="1" s="1"/>
  <c r="V71" i="1"/>
  <c r="C515" i="1" s="1"/>
  <c r="G515" i="1" s="1"/>
  <c r="AJ52" i="1"/>
  <c r="AJ67" i="1" s="1"/>
  <c r="AJ71" i="1" s="1"/>
  <c r="C529" i="1" s="1"/>
  <c r="G529" i="1" s="1"/>
  <c r="P52" i="1"/>
  <c r="P67" i="1" s="1"/>
  <c r="P71" i="1" s="1"/>
  <c r="X52" i="1"/>
  <c r="X67" i="1" s="1"/>
  <c r="X71" i="1" s="1"/>
  <c r="C517" i="1" s="1"/>
  <c r="BZ52" i="1"/>
  <c r="BZ67" i="1" s="1"/>
  <c r="BZ71" i="1" s="1"/>
  <c r="AP52" i="1"/>
  <c r="AP67" i="1" s="1"/>
  <c r="AU52" i="1"/>
  <c r="AU67" i="1" s="1"/>
  <c r="AU71" i="1" s="1"/>
  <c r="BO52" i="1"/>
  <c r="BO67" i="1" s="1"/>
  <c r="BO71" i="1" s="1"/>
  <c r="D309" i="9" s="1"/>
  <c r="C81" i="9"/>
  <c r="CA52" i="1"/>
  <c r="CA67" i="1" s="1"/>
  <c r="E52" i="1"/>
  <c r="E67" i="1" s="1"/>
  <c r="I52" i="1"/>
  <c r="I67" i="1" s="1"/>
  <c r="L52" i="1"/>
  <c r="L67" i="1" s="1"/>
  <c r="BR52" i="1"/>
  <c r="BR67" i="1" s="1"/>
  <c r="BR71" i="1" s="1"/>
  <c r="G309" i="9" s="1"/>
  <c r="AA52" i="1"/>
  <c r="AA67" i="1" s="1"/>
  <c r="AA71" i="1" s="1"/>
  <c r="C520" i="1" s="1"/>
  <c r="G520" i="1" s="1"/>
  <c r="M52" i="1"/>
  <c r="M67" i="1" s="1"/>
  <c r="M71" i="1" s="1"/>
  <c r="C506" i="1" s="1"/>
  <c r="G506" i="1" s="1"/>
  <c r="CB52" i="1"/>
  <c r="CB67" i="1" s="1"/>
  <c r="CB71" i="1" s="1"/>
  <c r="C373" i="9" s="1"/>
  <c r="F52" i="1"/>
  <c r="F67" i="1" s="1"/>
  <c r="F71" i="1" s="1"/>
  <c r="F21" i="9" s="1"/>
  <c r="BD52" i="1"/>
  <c r="BD67" i="1" s="1"/>
  <c r="BD71" i="1" s="1"/>
  <c r="G245" i="9" s="1"/>
  <c r="F273" i="9"/>
  <c r="H81" i="9"/>
  <c r="AR52" i="1"/>
  <c r="AR67" i="1" s="1"/>
  <c r="BX52" i="1"/>
  <c r="BX67" i="1" s="1"/>
  <c r="BX71" i="1" s="1"/>
  <c r="R52" i="1"/>
  <c r="R67" i="1" s="1"/>
  <c r="H52" i="1"/>
  <c r="H67" i="1" s="1"/>
  <c r="H71" i="1" s="1"/>
  <c r="AV52" i="1"/>
  <c r="AV67" i="1" s="1"/>
  <c r="U52" i="1"/>
  <c r="U67" i="1" s="1"/>
  <c r="U71" i="1" s="1"/>
  <c r="C514" i="1" s="1"/>
  <c r="G514" i="1" s="1"/>
  <c r="Y52" i="1"/>
  <c r="Y67" i="1" s="1"/>
  <c r="Y71" i="1" s="1"/>
  <c r="D117" i="9" s="1"/>
  <c r="BT52" i="1"/>
  <c r="BT67" i="1" s="1"/>
  <c r="BT71" i="1" s="1"/>
  <c r="C565" i="1" s="1"/>
  <c r="AF52" i="1"/>
  <c r="AF67" i="1" s="1"/>
  <c r="D145" i="9" s="1"/>
  <c r="AB52" i="1"/>
  <c r="AB67" i="1" s="1"/>
  <c r="BA52" i="1"/>
  <c r="BA67" i="1" s="1"/>
  <c r="BA71" i="1" s="1"/>
  <c r="BI52" i="1"/>
  <c r="BI67" i="1" s="1"/>
  <c r="BI71" i="1" s="1"/>
  <c r="CC71" i="1"/>
  <c r="C574" i="1" s="1"/>
  <c r="G113" i="9"/>
  <c r="D369" i="9"/>
  <c r="AB71" i="1"/>
  <c r="G117" i="9" s="1"/>
  <c r="H305" i="9"/>
  <c r="BJ71" i="1"/>
  <c r="F277" i="9" s="1"/>
  <c r="AG71" i="1"/>
  <c r="E145" i="9"/>
  <c r="Q71" i="1"/>
  <c r="C510" i="1" s="1"/>
  <c r="G510" i="1" s="1"/>
  <c r="C52" i="1"/>
  <c r="AH52" i="1"/>
  <c r="AH67" i="1" s="1"/>
  <c r="BL52" i="1"/>
  <c r="BL67" i="1" s="1"/>
  <c r="BU52" i="1"/>
  <c r="BU67" i="1" s="1"/>
  <c r="AD52" i="1"/>
  <c r="AD67" i="1" s="1"/>
  <c r="AD71" i="1" s="1"/>
  <c r="C523" i="1" s="1"/>
  <c r="G523" i="1" s="1"/>
  <c r="BC52" i="1"/>
  <c r="BC67" i="1" s="1"/>
  <c r="AQ52" i="1"/>
  <c r="AQ67" i="1" s="1"/>
  <c r="BH52" i="1"/>
  <c r="BH67" i="1" s="1"/>
  <c r="H113" i="9"/>
  <c r="AO71" i="1"/>
  <c r="AE71" i="1"/>
  <c r="W62" i="1"/>
  <c r="CE48" i="1"/>
  <c r="C204" i="9"/>
  <c r="AS71" i="1"/>
  <c r="C273" i="9"/>
  <c r="E241" i="9"/>
  <c r="E209" i="9"/>
  <c r="I49" i="9"/>
  <c r="E81" i="9"/>
  <c r="C177" i="9"/>
  <c r="D209" i="9"/>
  <c r="I81" i="9"/>
  <c r="C209" i="9"/>
  <c r="D49" i="9"/>
  <c r="C241" i="9"/>
  <c r="G145" i="9"/>
  <c r="G17" i="9"/>
  <c r="I273" i="9"/>
  <c r="D27" i="7"/>
  <c r="B448" i="1"/>
  <c r="F544" i="1"/>
  <c r="H536" i="1"/>
  <c r="F536" i="1"/>
  <c r="F528" i="1"/>
  <c r="F520" i="1"/>
  <c r="D341" i="1"/>
  <c r="C481" i="1" s="1"/>
  <c r="C50" i="8"/>
  <c r="H209" i="9"/>
  <c r="D337" i="9"/>
  <c r="F81" i="9"/>
  <c r="I209" i="9"/>
  <c r="I241" i="9"/>
  <c r="I378" i="9"/>
  <c r="C465" i="1"/>
  <c r="H213" i="9"/>
  <c r="C126" i="8"/>
  <c r="D391" i="1"/>
  <c r="F32" i="6"/>
  <c r="C478" i="1"/>
  <c r="C305" i="9"/>
  <c r="C102" i="8"/>
  <c r="C482" i="1"/>
  <c r="F498" i="1"/>
  <c r="H241" i="9"/>
  <c r="D177" i="9"/>
  <c r="C476" i="1"/>
  <c r="F16" i="6"/>
  <c r="D341" i="9"/>
  <c r="F516" i="1"/>
  <c r="D17" i="9"/>
  <c r="F305" i="9"/>
  <c r="C181" i="9"/>
  <c r="F540" i="1"/>
  <c r="H540" i="1"/>
  <c r="F532" i="1"/>
  <c r="H532" i="1"/>
  <c r="F524" i="1"/>
  <c r="F550" i="1"/>
  <c r="F113" i="9"/>
  <c r="C369" i="9"/>
  <c r="G241" i="9"/>
  <c r="C49" i="9" l="1"/>
  <c r="D113" i="9"/>
  <c r="O71" i="1"/>
  <c r="H53" i="9" s="1"/>
  <c r="D305" i="9"/>
  <c r="G209" i="9"/>
  <c r="E245" i="9"/>
  <c r="C504" i="1"/>
  <c r="G504" i="1" s="1"/>
  <c r="D213" i="9"/>
  <c r="C559" i="1"/>
  <c r="I117" i="9"/>
  <c r="C528" i="1"/>
  <c r="G528" i="1" s="1"/>
  <c r="C500" i="1"/>
  <c r="G500" i="1" s="1"/>
  <c r="C513" i="1"/>
  <c r="G513" i="1" s="1"/>
  <c r="C564" i="1"/>
  <c r="H309" i="9"/>
  <c r="C531" i="1"/>
  <c r="G531" i="1" s="1"/>
  <c r="C503" i="1"/>
  <c r="G503" i="1" s="1"/>
  <c r="C497" i="1"/>
  <c r="G497" i="1" s="1"/>
  <c r="C573" i="1"/>
  <c r="C508" i="1"/>
  <c r="G508" i="1" s="1"/>
  <c r="I277" i="9"/>
  <c r="I305" i="9"/>
  <c r="C562" i="1"/>
  <c r="C551" i="1"/>
  <c r="H117" i="9"/>
  <c r="C545" i="1"/>
  <c r="G545" i="1" s="1"/>
  <c r="C245" i="9"/>
  <c r="E85" i="9"/>
  <c r="D245" i="9"/>
  <c r="I213" i="9"/>
  <c r="E273" i="9"/>
  <c r="G49" i="9"/>
  <c r="N71" i="1"/>
  <c r="H21" i="9"/>
  <c r="H145" i="9"/>
  <c r="C277" i="9"/>
  <c r="D241" i="9"/>
  <c r="C563" i="1"/>
  <c r="F337" i="9"/>
  <c r="G81" i="9"/>
  <c r="Z71" i="1"/>
  <c r="AN71" i="1"/>
  <c r="C533" i="1" s="1"/>
  <c r="G533" i="1" s="1"/>
  <c r="BP71" i="1"/>
  <c r="F53" i="9"/>
  <c r="C499" i="1"/>
  <c r="G499" i="1" s="1"/>
  <c r="G341" i="9"/>
  <c r="H149" i="9"/>
  <c r="C555" i="1"/>
  <c r="H245" i="9"/>
  <c r="H85" i="9"/>
  <c r="H550" i="1"/>
  <c r="C532" i="1"/>
  <c r="G532" i="1" s="1"/>
  <c r="E213" i="9"/>
  <c r="I149" i="9"/>
  <c r="D373" i="9"/>
  <c r="F341" i="9"/>
  <c r="C518" i="1"/>
  <c r="G518" i="1" s="1"/>
  <c r="E341" i="9"/>
  <c r="F117" i="9"/>
  <c r="C540" i="1"/>
  <c r="G540" i="1" s="1"/>
  <c r="C521" i="1"/>
  <c r="G521" i="1" s="1"/>
  <c r="C542" i="1"/>
  <c r="C549" i="1"/>
  <c r="C546" i="1"/>
  <c r="G546" i="1" s="1"/>
  <c r="AF71" i="1"/>
  <c r="BK71" i="1"/>
  <c r="G273" i="9"/>
  <c r="C571" i="1"/>
  <c r="CA71" i="1"/>
  <c r="I337" i="9"/>
  <c r="G177" i="9"/>
  <c r="AP71" i="1"/>
  <c r="F17" i="9"/>
  <c r="F49" i="9"/>
  <c r="G305" i="9"/>
  <c r="C501" i="1"/>
  <c r="G501" i="1" s="1"/>
  <c r="C560" i="1"/>
  <c r="C113" i="9"/>
  <c r="H17" i="9"/>
  <c r="C569" i="1"/>
  <c r="R71" i="1"/>
  <c r="D81" i="9"/>
  <c r="E49" i="9"/>
  <c r="L71" i="1"/>
  <c r="H337" i="9"/>
  <c r="I17" i="9"/>
  <c r="I71" i="1"/>
  <c r="C117" i="9"/>
  <c r="G337" i="9"/>
  <c r="I145" i="9"/>
  <c r="G85" i="9"/>
  <c r="E277" i="9"/>
  <c r="C554" i="1"/>
  <c r="AV71" i="1"/>
  <c r="F209" i="9"/>
  <c r="AR71" i="1"/>
  <c r="I177" i="9"/>
  <c r="E71" i="1"/>
  <c r="E17" i="9"/>
  <c r="I53" i="9"/>
  <c r="C509" i="1"/>
  <c r="G509" i="1" s="1"/>
  <c r="C85" i="9"/>
  <c r="I309" i="9"/>
  <c r="I113" i="9"/>
  <c r="AQ71" i="1"/>
  <c r="H177" i="9"/>
  <c r="H273" i="9"/>
  <c r="BL71" i="1"/>
  <c r="BC71" i="1"/>
  <c r="F241" i="9"/>
  <c r="F145" i="9"/>
  <c r="AH71" i="1"/>
  <c r="C67" i="1"/>
  <c r="CE52" i="1"/>
  <c r="D273" i="9"/>
  <c r="BH71" i="1"/>
  <c r="BU71" i="1"/>
  <c r="C337" i="9"/>
  <c r="E149" i="9"/>
  <c r="C526" i="1"/>
  <c r="G526" i="1" s="1"/>
  <c r="H341" i="9"/>
  <c r="F181" i="9"/>
  <c r="C534" i="1"/>
  <c r="G534" i="1" s="1"/>
  <c r="G517" i="1"/>
  <c r="H517" i="1" s="1"/>
  <c r="C524" i="1"/>
  <c r="C149" i="9"/>
  <c r="C213" i="9"/>
  <c r="C538" i="1"/>
  <c r="G538" i="1" s="1"/>
  <c r="CE62" i="1"/>
  <c r="W71" i="1"/>
  <c r="I76" i="9"/>
  <c r="H520" i="1"/>
  <c r="H544" i="1"/>
  <c r="F522" i="1"/>
  <c r="H522" i="1"/>
  <c r="F510" i="1"/>
  <c r="H510" i="1" s="1"/>
  <c r="F513" i="1"/>
  <c r="H513" i="1"/>
  <c r="C142" i="8"/>
  <c r="D393" i="1"/>
  <c r="F538" i="1"/>
  <c r="H538" i="1"/>
  <c r="F496" i="1"/>
  <c r="F534" i="1"/>
  <c r="H534" i="1"/>
  <c r="F502" i="1"/>
  <c r="H504" i="1"/>
  <c r="F504" i="1"/>
  <c r="F530" i="1"/>
  <c r="H530" i="1" s="1"/>
  <c r="F512" i="1"/>
  <c r="H512" i="1"/>
  <c r="F526" i="1"/>
  <c r="F503" i="1"/>
  <c r="H503" i="1"/>
  <c r="H508" i="1"/>
  <c r="F508" i="1"/>
  <c r="F514" i="1"/>
  <c r="H514" i="1"/>
  <c r="H507" i="1"/>
  <c r="F507" i="1"/>
  <c r="F518" i="1"/>
  <c r="F546" i="1"/>
  <c r="F506" i="1"/>
  <c r="H506" i="1"/>
  <c r="H500" i="1"/>
  <c r="F500" i="1"/>
  <c r="F509" i="1"/>
  <c r="H509" i="1" l="1"/>
  <c r="H518" i="1"/>
  <c r="H528" i="1"/>
  <c r="E181" i="9"/>
  <c r="G53" i="9"/>
  <c r="C507" i="1"/>
  <c r="G507" i="1" s="1"/>
  <c r="E309" i="9"/>
  <c r="C561" i="1"/>
  <c r="E117" i="9"/>
  <c r="C519" i="1"/>
  <c r="G519" i="1" s="1"/>
  <c r="H546" i="1"/>
  <c r="G277" i="9"/>
  <c r="C556" i="1"/>
  <c r="D149" i="9"/>
  <c r="C525" i="1"/>
  <c r="G525" i="1" s="1"/>
  <c r="C541" i="1"/>
  <c r="F213" i="9"/>
  <c r="H526" i="1"/>
  <c r="E21" i="9"/>
  <c r="C498" i="1"/>
  <c r="C537" i="1"/>
  <c r="G537" i="1" s="1"/>
  <c r="I181" i="9"/>
  <c r="C505" i="1"/>
  <c r="G505" i="1" s="1"/>
  <c r="E53" i="9"/>
  <c r="D85" i="9"/>
  <c r="C511" i="1"/>
  <c r="C535" i="1"/>
  <c r="G535" i="1" s="1"/>
  <c r="G181" i="9"/>
  <c r="I341" i="9"/>
  <c r="C572" i="1"/>
  <c r="I21" i="9"/>
  <c r="C502" i="1"/>
  <c r="F149" i="9"/>
  <c r="C527" i="1"/>
  <c r="G527" i="1" s="1"/>
  <c r="F245" i="9"/>
  <c r="C548" i="1"/>
  <c r="C566" i="1"/>
  <c r="C341" i="9"/>
  <c r="H277" i="9"/>
  <c r="C557" i="1"/>
  <c r="C553" i="1"/>
  <c r="D277" i="9"/>
  <c r="C71" i="1"/>
  <c r="CE67" i="1"/>
  <c r="CE71" i="1" s="1"/>
  <c r="C17" i="9"/>
  <c r="C536" i="1"/>
  <c r="G536" i="1" s="1"/>
  <c r="H181" i="9"/>
  <c r="G524" i="1"/>
  <c r="H524" i="1" s="1"/>
  <c r="I85" i="9"/>
  <c r="C516" i="1"/>
  <c r="I364" i="9"/>
  <c r="C428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02" i="1" l="1"/>
  <c r="H502" i="1" s="1"/>
  <c r="G511" i="1"/>
  <c r="H511" i="1" s="1"/>
  <c r="G498" i="1"/>
  <c r="H498" i="1" s="1"/>
  <c r="C21" i="9"/>
  <c r="C496" i="1"/>
  <c r="C433" i="1"/>
  <c r="C441" i="1" s="1"/>
  <c r="I369" i="9"/>
  <c r="I373" i="9"/>
  <c r="G516" i="1"/>
  <c r="H516" i="1" s="1"/>
  <c r="G496" i="1" l="1"/>
  <c r="H496" i="1" s="1"/>
  <c r="I183" i="9" l="1"/>
  <c r="G55" i="9"/>
  <c r="F151" i="9"/>
  <c r="H23" i="9"/>
  <c r="I119" i="9"/>
  <c r="D55" i="9"/>
  <c r="H119" i="9"/>
  <c r="G183" i="9" l="1"/>
  <c r="D151" i="9"/>
  <c r="C183" i="9"/>
  <c r="G119" i="9"/>
  <c r="C119" i="9"/>
  <c r="E151" i="9"/>
  <c r="I23" i="9"/>
  <c r="I55" i="9"/>
  <c r="F119" i="9"/>
  <c r="H183" i="9"/>
  <c r="F55" i="9"/>
  <c r="H151" i="9"/>
  <c r="E215" i="9"/>
  <c r="F87" i="9"/>
  <c r="E183" i="9"/>
  <c r="F23" i="9"/>
  <c r="H55" i="9"/>
  <c r="F183" i="9"/>
  <c r="D23" i="9"/>
  <c r="E87" i="9"/>
  <c r="I151" i="9"/>
  <c r="I87" i="9"/>
  <c r="C87" i="9"/>
  <c r="C151" i="9"/>
  <c r="D183" i="9"/>
  <c r="D119" i="9"/>
  <c r="H87" i="9"/>
  <c r="E119" i="9"/>
  <c r="C23" i="9"/>
  <c r="C55" i="9" l="1"/>
  <c r="F215" i="9"/>
  <c r="D215" i="9"/>
  <c r="G87" i="9"/>
  <c r="G23" i="9"/>
  <c r="G151" i="9"/>
  <c r="E23" i="9"/>
  <c r="D87" i="9"/>
  <c r="C215" i="9"/>
  <c r="E55" i="9"/>
</calcChain>
</file>

<file path=xl/sharedStrings.xml><?xml version="1.0" encoding="utf-8"?>
<sst xmlns="http://schemas.openxmlformats.org/spreadsheetml/2006/main" count="4486" uniqueCount="1279">
  <si>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</si>
  <si>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</si>
  <si>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</si>
  <si>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</si>
  <si>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</si>
  <si>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</si>
  <si>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</si>
  <si>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</si>
  <si>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</si>
  <si>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</si>
  <si>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</si>
  <si>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</si>
  <si>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</si>
  <si>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</si>
  <si>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</si>
  <si>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</si>
  <si>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</si>
  <si>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</si>
  <si>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</si>
  <si>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</si>
  <si>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</si>
  <si>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</si>
  <si>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</si>
  <si>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</si>
  <si>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</si>
  <si>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</si>
  <si>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</si>
  <si>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</si>
  <si>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</si>
  <si>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</si>
  <si>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</si>
  <si>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</si>
  <si>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</si>
  <si>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</si>
  <si>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</si>
  <si>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</si>
  <si>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</si>
  <si>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</si>
  <si>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</si>
  <si>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</si>
  <si>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</si>
  <si>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</si>
  <si>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</si>
  <si>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</si>
  <si>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</si>
  <si>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</si>
  <si>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</si>
  <si>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</si>
  <si>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</si>
  <si>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</si>
  <si>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</si>
  <si>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</si>
  <si>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</si>
  <si>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</si>
  <si>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</si>
  <si>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</si>
  <si>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</si>
  <si>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</si>
  <si>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</si>
  <si>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</si>
  <si>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</si>
  <si>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</si>
  <si>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</si>
  <si>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</si>
  <si>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</si>
  <si>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</si>
  <si>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</si>
  <si>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</si>
  <si>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</si>
  <si>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</si>
  <si>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</si>
  <si>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</si>
  <si>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</si>
  <si>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</si>
  <si>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</si>
  <si>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</si>
  <si>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</si>
  <si>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</si>
  <si>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</si>
  <si>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</si>
  <si>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</si>
  <si>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</si>
  <si>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</si>
  <si>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</si>
  <si>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</si>
  <si>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</si>
  <si>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</si>
  <si>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</si>
  <si>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</si>
  <si>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</si>
  <si>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</si>
  <si>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</si>
  <si>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</si>
  <si>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</si>
  <si>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</si>
  <si>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</si>
  <si>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</si>
  <si>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</si>
  <si>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</si>
  <si>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</si>
  <si>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</si>
  <si>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</si>
  <si>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</si>
  <si>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</si>
  <si>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</si>
  <si>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</si>
  <si>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</si>
  <si>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</si>
  <si>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</si>
  <si>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</si>
  <si>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</si>
  <si>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</si>
  <si>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</si>
  <si>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</si>
  <si>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</si>
  <si>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</si>
  <si>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</si>
  <si>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</si>
  <si>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</si>
  <si>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</si>
  <si>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</si>
  <si>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</si>
  <si>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</si>
  <si>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</si>
  <si>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</si>
  <si>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</si>
  <si>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</si>
  <si>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</si>
  <si>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</si>
  <si>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</si>
  <si>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</si>
  <si>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</si>
  <si>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</si>
  <si>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</si>
  <si>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</si>
  <si>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</si>
  <si>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</si>
  <si>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</si>
  <si>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</si>
  <si>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</si>
  <si>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</si>
  <si>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</si>
  <si>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</si>
  <si>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</si>
  <si>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</si>
  <si>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</si>
  <si>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</si>
  <si>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</si>
  <si>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</si>
  <si>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</si>
  <si>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</si>
  <si>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</si>
  <si>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</si>
  <si>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</si>
  <si>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</si>
  <si>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</si>
  <si>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</si>
  <si>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</si>
  <si>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</si>
  <si>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</si>
  <si>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</si>
  <si>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</si>
  <si>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</si>
  <si>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</si>
  <si>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</si>
  <si>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</si>
  <si>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</si>
  <si>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</si>
  <si>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</si>
  <si>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</si>
  <si>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</si>
  <si>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</si>
  <si>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</si>
  <si>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</si>
  <si>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</si>
  <si>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</si>
  <si>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</si>
  <si>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</si>
  <si>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</si>
  <si>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</si>
  <si>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</si>
  <si>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</si>
  <si>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</si>
  <si>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</si>
  <si>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</si>
  <si>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</si>
  <si>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</si>
  <si>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</si>
  <si>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</si>
  <si>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</si>
  <si>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</si>
  <si>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</si>
  <si>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</si>
  <si>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</si>
  <si>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</si>
  <si>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</si>
  <si>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</si>
  <si>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</si>
  <si>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</si>
  <si>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</si>
  <si>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</si>
  <si>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</si>
  <si>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</si>
  <si>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</si>
  <si>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</si>
  <si>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</si>
  <si>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</si>
  <si>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</si>
  <si>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</si>
  <si>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</si>
  <si>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</si>
  <si>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</si>
  <si>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</si>
  <si>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</si>
  <si>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</si>
  <si>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</si>
  <si>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</si>
  <si>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</si>
  <si>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</si>
  <si>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</si>
  <si>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</si>
  <si>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</si>
  <si>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</si>
  <si>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</si>
  <si>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</si>
  <si>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</si>
  <si>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</si>
  <si>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</si>
  <si>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</si>
  <si>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</si>
  <si>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</si>
  <si>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</si>
  <si>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</si>
  <si>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</si>
  <si>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</si>
  <si>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</si>
  <si>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</si>
  <si>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</si>
  <si>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</si>
  <si>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</si>
  <si>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</si>
  <si>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</si>
  <si>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</si>
  <si>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</si>
  <si>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</si>
  <si>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</si>
  <si>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</si>
  <si>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</si>
  <si>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</si>
  <si>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</si>
  <si>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</si>
  <si>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</si>
  <si>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</si>
  <si>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</si>
  <si>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</si>
  <si>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</si>
  <si>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</si>
  <si>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</si>
  <si>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</si>
  <si>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</si>
  <si>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</si>
  <si>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</si>
  <si>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</si>
  <si>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</si>
  <si>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</si>
  <si>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</si>
  <si>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</si>
  <si>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</si>
  <si>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</si>
  <si>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</si>
  <si>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</si>
  <si>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</si>
  <si>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</si>
  <si>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</si>
  <si>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</si>
  <si>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</si>
  <si>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</si>
  <si>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</si>
  <si>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</si>
  <si>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</si>
  <si>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</si>
  <si>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</si>
  <si>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</si>
  <si>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</si>
  <si>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</si>
  <si>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</si>
  <si>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</si>
  <si>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</si>
  <si>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</si>
  <si>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</si>
  <si>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</si>
  <si>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</si>
  <si>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</si>
  <si>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</si>
  <si>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</si>
  <si>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</si>
  <si>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</si>
  <si>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</si>
  <si>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</si>
  <si>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</si>
  <si>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</si>
  <si>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</si>
  <si>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</si>
  <si>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</si>
  <si>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</si>
  <si>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</si>
  <si>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</si>
  <si>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</si>
  <si>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</si>
  <si>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</si>
  <si>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</si>
  <si>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</si>
  <si>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</si>
  <si>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</si>
  <si>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</si>
  <si>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</si>
  <si>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</si>
  <si>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</si>
  <si>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</si>
  <si>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</si>
  <si>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</si>
  <si>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</si>
  <si>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</si>
  <si>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</si>
  <si>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</si>
  <si>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</si>
  <si>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</si>
  <si>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</si>
  <si>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</si>
  <si>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</si>
  <si>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</si>
  <si>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</si>
  <si>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</si>
  <si>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</si>
  <si>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</si>
  <si>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</si>
  <si>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</si>
  <si>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</si>
  <si>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</si>
  <si>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</si>
  <si>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</si>
  <si>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</si>
  <si>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</si>
  <si>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</si>
  <si>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</si>
  <si>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</si>
  <si>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</si>
  <si>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</si>
  <si>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</si>
  <si>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</si>
  <si>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</si>
  <si>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</si>
  <si>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</si>
  <si>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</si>
  <si>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</si>
  <si>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</si>
  <si>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</si>
  <si>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</si>
  <si>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</si>
  <si>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</si>
  <si>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</si>
  <si>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</si>
  <si>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</si>
  <si>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</si>
  <si>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</si>
  <si>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</si>
  <si>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</si>
  <si>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</si>
  <si>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</si>
  <si>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</si>
  <si>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</si>
  <si>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</si>
  <si>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</si>
  <si>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</si>
  <si>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</si>
  <si>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</si>
  <si>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</si>
  <si>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</si>
  <si>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</si>
  <si>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</si>
  <si>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</si>
  <si>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</si>
  <si>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</si>
  <si>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</si>
  <si>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</si>
  <si>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</si>
  <si>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</si>
  <si>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</si>
  <si>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</si>
  <si>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</si>
  <si>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</si>
  <si>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</si>
  <si>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</si>
  <si>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</si>
  <si>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</si>
  <si>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</si>
  <si>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</si>
  <si>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</si>
  <si>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</si>
  <si>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</si>
  <si>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</si>
  <si>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</si>
  <si>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</si>
  <si>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</si>
  <si>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</si>
  <si>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</si>
  <si>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</si>
  <si>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</si>
  <si>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</si>
  <si>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</si>
  <si>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</si>
  <si>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</si>
  <si>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</si>
  <si>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</si>
  <si>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</si>
  <si>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</si>
  <si>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</si>
  <si>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</si>
  <si>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</si>
  <si>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</si>
  <si>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</si>
  <si>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</si>
  <si>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</si>
  <si>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</si>
  <si>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</si>
  <si>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</si>
  <si>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</si>
  <si>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</si>
  <si>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</si>
  <si>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</si>
  <si>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</si>
  <si>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</si>
  <si>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</si>
  <si>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</si>
  <si>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</si>
  <si>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</si>
  <si>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</si>
  <si>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</si>
  <si>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</si>
  <si>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</si>
  <si>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</si>
  <si>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</si>
  <si>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</si>
  <si>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</si>
  <si>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</si>
  <si>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</si>
  <si>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</si>
  <si>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</si>
  <si>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</si>
  <si>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</si>
  <si>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</si>
  <si>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</si>
  <si>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</si>
  <si>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</si>
  <si>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</si>
  <si>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</si>
  <si>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</si>
  <si>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</si>
  <si>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</si>
  <si>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</si>
  <si>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</si>
  <si>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</si>
  <si>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</si>
  <si>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</si>
  <si>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</si>
  <si>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</si>
  <si>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</si>
  <si>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</si>
  <si>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</si>
  <si>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</si>
  <si>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</si>
  <si>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</si>
  <si>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</si>
  <si>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</si>
  <si>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</si>
  <si>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</si>
  <si>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</si>
  <si>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</si>
  <si>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</si>
  <si>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</si>
  <si>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</si>
  <si>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</si>
  <si>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</si>
  <si>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</si>
  <si>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</si>
  <si>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</si>
  <si>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</si>
  <si>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</si>
  <si>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</si>
  <si>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</si>
  <si>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</si>
  <si>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</si>
  <si>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</si>
  <si>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</si>
  <si>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</si>
  <si>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</si>
  <si>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</si>
  <si>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</si>
  <si>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</si>
  <si>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</si>
  <si>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</si>
  <si>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</si>
  <si>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</si>
  <si>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</si>
  <si>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</si>
  <si>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</si>
  <si>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</si>
  <si>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</si>
  <si>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</si>
  <si>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</si>
  <si>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</si>
  <si>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</si>
  <si>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</si>
  <si>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</si>
  <si>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</si>
  <si>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</si>
  <si>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</si>
  <si>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</si>
  <si>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</si>
  <si>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</si>
  <si>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</si>
  <si>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</si>
  <si>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</si>
  <si>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</si>
  <si>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</si>
  <si>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</si>
  <si>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</si>
  <si>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</si>
  <si>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</si>
  <si>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</si>
  <si>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</si>
  <si>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</si>
  <si>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</si>
  <si>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</si>
  <si>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</si>
  <si>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</si>
  <si>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</si>
  <si>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</si>
  <si>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</si>
  <si>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</si>
  <si>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</si>
  <si>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</si>
  <si>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</si>
  <si>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</si>
  <si>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</si>
  <si>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</si>
  <si>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</si>
  <si>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</si>
  <si>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</si>
  <si>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</si>
  <si>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</si>
  <si>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</si>
  <si>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</si>
  <si>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</si>
  <si>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</si>
  <si>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</si>
  <si>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</si>
  <si>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</si>
  <si>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</si>
  <si>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</si>
  <si>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</si>
  <si>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</si>
  <si>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</si>
  <si>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</si>
  <si>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</si>
  <si>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</si>
  <si>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</si>
  <si>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</si>
  <si>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</si>
  <si>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</si>
  <si>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</si>
  <si>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</si>
  <si>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</si>
  <si>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</si>
  <si>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</si>
  <si>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</si>
  <si>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</si>
  <si>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</si>
  <si>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</si>
  <si>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</si>
  <si>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</si>
  <si>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</si>
  <si>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</si>
  <si>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</si>
  <si>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</si>
  <si>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</si>
  <si>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</si>
  <si>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</si>
  <si>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</si>
  <si>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</si>
  <si>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</si>
  <si>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</si>
  <si>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</si>
  <si>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</si>
  <si>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</si>
  <si>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</si>
  <si>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</si>
  <si>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</si>
  <si>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</si>
  <si>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</si>
  <si>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</si>
  <si>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</si>
  <si>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</si>
  <si>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</si>
  <si>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</si>
  <si>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</si>
  <si>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</si>
  <si>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</si>
  <si>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</si>
  <si>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</si>
  <si>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</si>
  <si>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</si>
  <si>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</si>
  <si>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</si>
  <si>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</si>
  <si>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</si>
  <si>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</si>
  <si>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</si>
  <si>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</si>
  <si>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</si>
  <si>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</si>
  <si>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</si>
  <si>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</si>
  <si>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</si>
  <si>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</si>
  <si>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</si>
  <si>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</si>
  <si>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</si>
  <si>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</si>
  <si>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</si>
  <si>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</si>
  <si>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</si>
  <si>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</si>
  <si>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</si>
  <si>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</si>
  <si>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</si>
  <si>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</si>
  <si>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</si>
  <si>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</si>
  <si>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</si>
  <si>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</si>
  <si>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</si>
  <si>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</si>
  <si>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</si>
  <si>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</si>
  <si>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</si>
  <si>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</si>
  <si>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</si>
  <si>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</si>
  <si>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</si>
  <si>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</si>
  <si>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</si>
  <si>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</si>
  <si>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</si>
  <si>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</si>
  <si>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</si>
  <si>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</si>
  <si>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</si>
  <si>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</si>
  <si>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</si>
  <si>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</si>
  <si>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</si>
  <si>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</si>
  <si>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</si>
  <si>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</si>
  <si>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</si>
  <si>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</si>
  <si>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</si>
  <si>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</si>
  <si>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</si>
  <si>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</si>
  <si>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</si>
  <si>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</si>
  <si>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</si>
  <si>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</si>
  <si>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</si>
  <si>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</si>
  <si>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</si>
  <si>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</si>
  <si>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</si>
  <si>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</si>
  <si>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</si>
  <si>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</si>
  <si>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</si>
  <si>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</si>
  <si>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</si>
  <si>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</si>
  <si>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</si>
  <si>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</si>
  <si>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</si>
  <si>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</si>
  <si>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</si>
  <si>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</si>
  <si>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</si>
  <si>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</si>
  <si>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</si>
  <si>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</si>
  <si>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</si>
  <si>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</si>
  <si>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</si>
  <si>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</si>
  <si>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</si>
  <si>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</si>
  <si>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</si>
  <si>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</si>
  <si>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</si>
  <si>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</si>
  <si>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</si>
  <si>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</si>
  <si>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</si>
  <si>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</si>
  <si>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</si>
  <si>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</si>
  <si>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</si>
  <si>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</si>
  <si>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</si>
  <si>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</si>
  <si>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</si>
  <si>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</si>
  <si>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</si>
  <si>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</si>
  <si>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</si>
  <si>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</si>
  <si>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</si>
  <si>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</si>
  <si>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</si>
  <si>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</si>
  <si>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</si>
  <si>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</si>
  <si>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</si>
  <si>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</si>
  <si>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</si>
  <si>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</si>
  <si>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</si>
  <si>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</si>
  <si>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</si>
  <si>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</si>
  <si>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</si>
  <si>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</si>
  <si>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</si>
  <si>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</si>
  <si>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</si>
  <si>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</si>
  <si>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</si>
  <si>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</si>
  <si>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</si>
  <si>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</si>
  <si>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</si>
  <si>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</si>
  <si>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</si>
  <si>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</si>
  <si>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</si>
  <si>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</si>
  <si>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</si>
  <si>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</si>
  <si>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</si>
  <si>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</si>
  <si>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</si>
  <si>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</si>
  <si>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</si>
  <si>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</si>
  <si>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</si>
  <si>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</si>
  <si>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</si>
  <si>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</si>
  <si>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</si>
  <si>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</si>
  <si>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</si>
  <si>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</si>
  <si>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</si>
  <si>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</si>
  <si>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</si>
  <si>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</si>
  <si>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</si>
  <si>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</si>
  <si>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</si>
  <si>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</si>
  <si>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</si>
  <si>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</si>
  <si>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</si>
  <si>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</si>
  <si>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</si>
  <si>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</si>
  <si>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</si>
  <si>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</si>
  <si>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</si>
  <si>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</si>
  <si>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</si>
  <si>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</si>
  <si>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</si>
  <si>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</si>
  <si>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</si>
  <si>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</si>
  <si>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</si>
  <si>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</si>
  <si>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</si>
  <si>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</si>
  <si>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</si>
  <si>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</si>
  <si>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</si>
  <si>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</si>
  <si>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</si>
  <si>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</si>
  <si>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</si>
  <si>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</si>
  <si>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</si>
  <si>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</si>
  <si>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</si>
  <si>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</si>
  <si>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</si>
  <si>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</si>
  <si>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</si>
  <si>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</si>
  <si>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</si>
  <si>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</si>
  <si>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</si>
  <si>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</si>
  <si>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</si>
  <si>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</si>
  <si>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</si>
  <si>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</si>
  <si>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</si>
  <si>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</si>
  <si>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</si>
  <si>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</si>
  <si>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</si>
  <si>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</si>
  <si>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</si>
  <si>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</si>
  <si>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</si>
  <si>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</si>
  <si>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</si>
  <si>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</si>
  <si>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</si>
  <si>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</si>
  <si>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</si>
  <si>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</si>
  <si>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</si>
  <si>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</si>
  <si>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</si>
  <si>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</si>
  <si>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</si>
  <si>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</si>
  <si>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</si>
  <si>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</si>
  <si>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</si>
  <si>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</si>
  <si>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</si>
  <si>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</si>
  <si>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</si>
  <si>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</si>
  <si>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</si>
  <si>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</si>
  <si>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</si>
  <si>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</si>
  <si>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</si>
  <si>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</si>
  <si>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</si>
  <si>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</si>
  <si>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</si>
  <si>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</si>
  <si>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</si>
  <si>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</si>
  <si>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</si>
  <si>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</si>
  <si>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</si>
  <si>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</si>
  <si>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</si>
  <si>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</si>
  <si>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</si>
  <si>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</si>
  <si>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</si>
  <si>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</si>
  <si>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</si>
  <si>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</si>
  <si>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</si>
  <si>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</si>
  <si>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</si>
  <si>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</si>
  <si>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</si>
  <si>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</si>
  <si>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</si>
  <si>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</si>
  <si>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</si>
  <si>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</si>
  <si>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</si>
  <si>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</si>
  <si>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</si>
  <si>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</si>
  <si>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</si>
  <si>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</si>
  <si>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</si>
  <si>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</si>
  <si>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</si>
  <si>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</si>
  <si>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</si>
  <si>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</si>
  <si>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</si>
  <si>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</si>
  <si>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</si>
  <si>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</si>
  <si>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</si>
  <si>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</si>
  <si>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</si>
  <si>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</si>
  <si>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</si>
  <si>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</si>
  <si>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</si>
  <si>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</si>
  <si>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</si>
  <si>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</si>
  <si>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</si>
  <si>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</si>
  <si>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</si>
  <si>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</si>
  <si>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</si>
  <si>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</si>
  <si>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</si>
  <si>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</si>
  <si>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</si>
  <si>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</si>
  <si>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</si>
  <si>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</si>
  <si>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</si>
  <si>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</si>
  <si>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</si>
  <si>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</si>
  <si>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</si>
  <si>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</si>
  <si>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</si>
  <si>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</si>
  <si>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</si>
  <si>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</si>
  <si>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</si>
  <si>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</si>
  <si>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</si>
  <si>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</si>
  <si>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</si>
  <si>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</si>
  <si>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</si>
  <si>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</si>
  <si>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</si>
  <si>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</si>
  <si>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</si>
  <si>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</si>
  <si>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</si>
  <si>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</si>
  <si>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</si>
  <si>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</si>
  <si>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</si>
  <si>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</si>
  <si>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</si>
  <si>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</si>
  <si>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</si>
  <si>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</si>
  <si>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</si>
  <si>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</si>
  <si>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</si>
  <si>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</si>
  <si>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</si>
  <si>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</si>
  <si>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</si>
  <si>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</si>
  <si>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</si>
  <si>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</si>
  <si>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</si>
  <si>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</si>
  <si>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</si>
  <si>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</si>
  <si>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</si>
  <si>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</si>
  <si>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</si>
  <si>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</si>
  <si>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</si>
  <si>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</si>
  <si>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</si>
  <si>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</si>
  <si>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</si>
  <si>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</si>
  <si>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</si>
  <si>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</si>
  <si>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</si>
  <si>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</si>
  <si>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</si>
  <si>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</si>
  <si>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</si>
  <si>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</si>
  <si>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</si>
  <si>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</si>
  <si>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</si>
  <si>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</si>
  <si>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</si>
  <si>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</si>
  <si>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</si>
  <si>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</si>
  <si>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</si>
  <si>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</si>
  <si>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</si>
  <si>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</si>
  <si>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</si>
  <si>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</si>
  <si>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</si>
  <si>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</si>
  <si>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</si>
  <si>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</si>
  <si>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</si>
  <si>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</si>
  <si>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</si>
  <si>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</si>
  <si>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</si>
  <si>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</si>
  <si>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</si>
  <si>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</si>
  <si>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</si>
  <si>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</si>
  <si>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</si>
  <si>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</si>
  <si>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</si>
  <si>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</si>
  <si>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</si>
  <si>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</si>
  <si>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</si>
  <si>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</si>
  <si>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</si>
  <si>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</si>
  <si>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</si>
  <si>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</si>
  <si>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</si>
  <si>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</si>
  <si>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</si>
  <si>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</si>
  <si>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</si>
  <si>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</si>
  <si>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</si>
  <si>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</si>
  <si>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</si>
  <si>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</si>
  <si>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</si>
  <si>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</si>
  <si>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</si>
  <si>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</si>
  <si>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</si>
  <si>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</si>
  <si>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</si>
  <si>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</si>
  <si>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</si>
  <si>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</si>
  <si>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</si>
  <si>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</si>
  <si>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</si>
  <si>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</si>
  <si>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</si>
  <si>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</si>
  <si>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</si>
  <si>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</si>
  <si>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</si>
  <si>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</si>
  <si>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</si>
  <si>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</si>
  <si>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</si>
  <si>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</si>
  <si>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</si>
  <si>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</si>
  <si>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</si>
  <si>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</si>
  <si>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</si>
  <si>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</si>
  <si>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</si>
  <si>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</si>
  <si>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</si>
  <si>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</si>
  <si>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</si>
  <si>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</si>
  <si>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</si>
  <si>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</si>
  <si>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</si>
  <si>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</si>
  <si>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</si>
  <si>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</si>
  <si>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</si>
  <si>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</si>
  <si>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</si>
  <si>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</si>
  <si>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</si>
  <si>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</si>
  <si>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</si>
  <si>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</si>
  <si>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</si>
  <si>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</si>
  <si>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</si>
  <si>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</si>
  <si>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</si>
  <si>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</si>
  <si>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</si>
  <si>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</si>
  <si>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</si>
  <si>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</si>
  <si>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</si>
  <si>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</si>
  <si>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</si>
  <si>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</si>
  <si>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</si>
  <si>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</si>
  <si>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</si>
  <si>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</si>
  <si>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</si>
  <si>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</si>
  <si>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</si>
  <si>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</si>
  <si>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</si>
  <si>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</si>
  <si>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</si>
  <si>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</si>
  <si>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</si>
  <si>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</si>
  <si>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</si>
  <si>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</si>
  <si>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</si>
  <si>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</si>
  <si>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</si>
  <si>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</si>
  <si>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</si>
  <si>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</si>
  <si>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</si>
  <si>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</si>
  <si>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</si>
  <si>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</si>
  <si>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</si>
  <si>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</si>
  <si>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</si>
  <si>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</si>
  <si>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</si>
  <si>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</si>
  <si>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</si>
  <si>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</si>
  <si>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</si>
  <si>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</si>
  <si>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</si>
  <si>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</si>
  <si>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</si>
  <si>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</si>
  <si>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</si>
  <si>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</si>
  <si>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</si>
  <si>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</si>
  <si>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</si>
  <si>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</si>
  <si>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</si>
  <si>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</si>
  <si>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</si>
  <si>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</si>
  <si>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</si>
  <si>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</si>
  <si>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</si>
  <si>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</si>
  <si>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</si>
  <si>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</si>
  <si>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</si>
  <si>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</si>
  <si>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</si>
  <si>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</si>
  <si>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</si>
  <si>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</si>
  <si>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</si>
  <si>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</si>
  <si>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</si>
  <si>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</si>
  <si>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</si>
  <si>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</si>
  <si>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</si>
  <si>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</si>
  <si>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</si>
  <si>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</si>
  <si>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</si>
  <si>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</si>
  <si>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</si>
  <si>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</si>
  <si>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</si>
  <si>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</si>
  <si>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</si>
  <si>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</si>
  <si>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</si>
  <si>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</si>
  <si>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</si>
  <si>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</si>
  <si>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</si>
  <si>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</si>
  <si>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</si>
  <si>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</si>
  <si>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</si>
  <si>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</si>
  <si>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</si>
  <si>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</si>
  <si>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</si>
  <si>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</si>
  <si>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</si>
  <si>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</si>
  <si>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</si>
  <si>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</si>
  <si>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</si>
  <si>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</si>
  <si>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</si>
  <si>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</si>
  <si>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</si>
  <si>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</si>
  <si>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</si>
  <si>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</si>
  <si>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</si>
  <si>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</si>
  <si>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</si>
  <si>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</si>
  <si>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</si>
  <si>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</si>
  <si>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</si>
  <si>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</si>
  <si>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</si>
  <si>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</si>
  <si>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</si>
  <si>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</si>
  <si>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</si>
  <si>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</si>
  <si>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</si>
  <si>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</si>
  <si>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</si>
  <si>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</si>
  <si>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</si>
  <si>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</si>
  <si>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</si>
  <si>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</si>
  <si>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</si>
  <si>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</si>
  <si>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</si>
  <si>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</si>
  <si>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</si>
  <si>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</si>
  <si>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</si>
  <si>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</si>
  <si>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</si>
  <si>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</si>
  <si>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</si>
  <si>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</si>
  <si>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</si>
  <si>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</si>
  <si>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</si>
  <si>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</si>
  <si>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</si>
  <si>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</si>
  <si>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</si>
  <si>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</si>
  <si>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</si>
  <si>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</si>
  <si>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</si>
  <si>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</si>
  <si>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</si>
  <si>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</si>
  <si>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</si>
  <si>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</si>
  <si>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</si>
  <si>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</si>
  <si>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</si>
  <si>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</si>
  <si>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</si>
  <si>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</si>
  <si>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</si>
  <si>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</si>
  <si>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</si>
  <si>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</si>
  <si>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</si>
  <si>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104</t>
  </si>
  <si>
    <t>EvergreenHealth Monroe</t>
  </si>
  <si>
    <t>14701 179th Ave SE</t>
  </si>
  <si>
    <t>Monroe, Wa, 98272</t>
  </si>
  <si>
    <t>Snohomish</t>
  </si>
  <si>
    <t>Renee Jensen</t>
  </si>
  <si>
    <t xml:space="preserve">John Green </t>
  </si>
  <si>
    <t>Tony Balk</t>
  </si>
  <si>
    <t>360-794-7497</t>
  </si>
  <si>
    <t>360-863-4672</t>
  </si>
  <si>
    <t xml:space="preserve">Alice Cabe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</si>
</sst>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0" fontId="5" fillId="0" borderId="0"/>
    <xf numFmtId="37" fontId="14" fillId="0" borderId="0"/>
  </cellStyleXfs>
  <cellXfs count="28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24">
    <cellStyle name="Comma" xfId="1" builtinId="3"/>
    <cellStyle name="Hyperlink" xfId="2" builtinId="8"/>
    <cellStyle name="Normal" xfId="0" builtinId="0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577"/>
  <sheetViews>
    <sheetView showGridLines="0" tabSelected="1" zoomScale="75" zoomScaleNormal="75" workbookViewId="0">
      <selection activeCell="A2" sqref="A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5230059</v>
      </c>
      <c r="C48" s="244">
        <f>ROUND(((B48/CE61)*C61),0)</f>
        <v>254676</v>
      </c>
      <c r="D48" s="244">
        <f>ROUND(((B48/CE61)*D61),0)</f>
        <v>0</v>
      </c>
      <c r="E48" s="195">
        <f>ROUND(((B48/CE61)*E61),0)</f>
        <v>519097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480970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224771</v>
      </c>
      <c r="Q48" s="195">
        <f>ROUND(((B48/CE61)*Q61),0)</f>
        <v>81688</v>
      </c>
      <c r="R48" s="195">
        <f>ROUND(((B48/CE61)*R61),0)</f>
        <v>0</v>
      </c>
      <c r="S48" s="195">
        <f>ROUND(((B48/CE61)*S61),0)</f>
        <v>32304</v>
      </c>
      <c r="T48" s="195">
        <f>ROUND(((B48/CE61)*T61),0)</f>
        <v>0</v>
      </c>
      <c r="U48" s="195">
        <f>ROUND(((B48/CE61)*U61),0)</f>
        <v>214382</v>
      </c>
      <c r="V48" s="195">
        <f>ROUND(((B48/CE61)*V61),0)</f>
        <v>0</v>
      </c>
      <c r="W48" s="195">
        <f>ROUND(((B48/CE61)*W61),0)</f>
        <v>48303</v>
      </c>
      <c r="X48" s="195">
        <f>ROUND(((B48/CE61)*X61),0)</f>
        <v>138871</v>
      </c>
      <c r="Y48" s="195">
        <f>ROUND(((B48/CE61)*Y61),0)</f>
        <v>56013</v>
      </c>
      <c r="Z48" s="195">
        <f>ROUND(((B48/CE61)*Z61),0)</f>
        <v>0</v>
      </c>
      <c r="AA48" s="195">
        <f>ROUND(((B48/CE61)*AA61),0)</f>
        <v>17565</v>
      </c>
      <c r="AB48" s="195">
        <f>ROUND(((B48/CE61)*AB61),0)</f>
        <v>163623</v>
      </c>
      <c r="AC48" s="195">
        <f>ROUND(((B48/CE61)*AC61),0)</f>
        <v>96756</v>
      </c>
      <c r="AD48" s="195">
        <f>ROUND(((B48/CE61)*AD61),0)</f>
        <v>0</v>
      </c>
      <c r="AE48" s="195">
        <f>ROUND(((B48/CE61)*AE61),0)</f>
        <v>84328</v>
      </c>
      <c r="AF48" s="195">
        <f>ROUND(((B48/CE61)*AF61),0)</f>
        <v>0</v>
      </c>
      <c r="AG48" s="195">
        <f>ROUND(((B48/CE61)*AG61),0)</f>
        <v>547329</v>
      </c>
      <c r="AH48" s="195">
        <f>ROUND(((B48/CE61)*AH61),0)</f>
        <v>24311</v>
      </c>
      <c r="AI48" s="195">
        <f>ROUND(((B48/CE61)*AI61),0)</f>
        <v>123000</v>
      </c>
      <c r="AJ48" s="195">
        <f>ROUND(((B48/CE61)*AJ61),0)</f>
        <v>0</v>
      </c>
      <c r="AK48" s="195">
        <f>ROUND(((B48/CE61)*AK61),0)</f>
        <v>33232</v>
      </c>
      <c r="AL48" s="195">
        <f>ROUND(((B48/CE61)*AL61),0)</f>
        <v>3174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622546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171013</v>
      </c>
      <c r="AZ48" s="195">
        <f>ROUND(((B48/CE61)*AZ61),0)</f>
        <v>18462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32499</v>
      </c>
      <c r="BE48" s="195">
        <f>ROUND(((B48/CE61)*BE61),0)</f>
        <v>93072</v>
      </c>
      <c r="BF48" s="195">
        <f>ROUND(((B48/CE61)*BF61),0)</f>
        <v>187563</v>
      </c>
      <c r="BG48" s="195">
        <f>ROUND(((B48/CE61)*BG61),0)</f>
        <v>0</v>
      </c>
      <c r="BH48" s="195">
        <f>ROUND(((B48/CE61)*BH61),0)</f>
        <v>109857</v>
      </c>
      <c r="BI48" s="195">
        <f>ROUND(((B48/CE61)*BI61),0)</f>
        <v>0</v>
      </c>
      <c r="BJ48" s="195">
        <f>ROUND(((B48/CE61)*BJ61),0)</f>
        <v>40677</v>
      </c>
      <c r="BK48" s="195">
        <f>ROUND(((B48/CE61)*BK61),0)</f>
        <v>121773</v>
      </c>
      <c r="BL48" s="195">
        <f>ROUND(((B48/CE61)*BL61),0)</f>
        <v>144410</v>
      </c>
      <c r="BM48" s="195">
        <f>ROUND(((B48/CE61)*BM61),0)</f>
        <v>0</v>
      </c>
      <c r="BN48" s="195">
        <f>ROUND(((B48/CE61)*BN61),0)</f>
        <v>174054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53431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96380</v>
      </c>
      <c r="BW48" s="195">
        <f>ROUND(((B48/CE61)*BW61),0)</f>
        <v>14928</v>
      </c>
      <c r="BX48" s="195">
        <f>ROUND(((B48/CE61)*BX61),0)</f>
        <v>69459</v>
      </c>
      <c r="BY48" s="195">
        <f>ROUND(((B48/CE61)*BY61),0)</f>
        <v>88063</v>
      </c>
      <c r="BZ48" s="195">
        <f>ROUND(((B48/CE61)*BZ61),0)</f>
        <v>0</v>
      </c>
      <c r="CA48" s="195">
        <f>ROUND(((B48/CE61)*CA61),0)</f>
        <v>11007</v>
      </c>
      <c r="CB48" s="195">
        <f>ROUND(((B48/CE61)*CB61),0)</f>
        <v>0</v>
      </c>
      <c r="CC48" s="195">
        <f>ROUND(((B48/CE61)*CC61),0)</f>
        <v>36472</v>
      </c>
      <c r="CD48" s="195"/>
      <c r="CE48" s="195">
        <f>SUM(C48:CD48)</f>
        <v>5230059</v>
      </c>
    </row>
    <row r="49" spans="1:84" ht="12.6" customHeight="1" x14ac:dyDescent="0.25">
      <c r="A49" s="175" t="s">
        <v>206</v>
      </c>
      <c r="B49" s="195">
        <f>B47+B48</f>
        <v>5230059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1953591</v>
      </c>
      <c r="C52" s="195">
        <f>ROUND((B52/(CE76+CF76)*C76),0)</f>
        <v>43308</v>
      </c>
      <c r="D52" s="195">
        <f>ROUND((B52/(CE76+CF76)*D76),0)</f>
        <v>0</v>
      </c>
      <c r="E52" s="195">
        <f>ROUND((B52/(CE76+CF76)*E76),0)</f>
        <v>181599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306858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106735</v>
      </c>
      <c r="Q52" s="195">
        <f>ROUND((B52/(CE76+CF76)*Q76),0)</f>
        <v>11811</v>
      </c>
      <c r="R52" s="195">
        <f>ROUND((B52/(CE76+CF76)*R76),0)</f>
        <v>3583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25197</v>
      </c>
      <c r="V52" s="195">
        <f>ROUND((B52/(CE76+CF76)*V76),0)</f>
        <v>0</v>
      </c>
      <c r="W52" s="195">
        <f>ROUND((B52/(CE76+CF76)*W76),0)</f>
        <v>9449</v>
      </c>
      <c r="X52" s="195">
        <f>ROUND((B52/(CE76+CF76)*X76),0)</f>
        <v>7973</v>
      </c>
      <c r="Y52" s="195">
        <f>ROUND((B52/(CE76+CF76)*Y76),0)</f>
        <v>50159</v>
      </c>
      <c r="Z52" s="195">
        <f>ROUND((B52/(CE76+CF76)*Z76),0)</f>
        <v>0</v>
      </c>
      <c r="AA52" s="195">
        <f>ROUND((B52/(CE76+CF76)*AA76),0)</f>
        <v>8406</v>
      </c>
      <c r="AB52" s="195">
        <f>ROUND((B52/(CE76+CF76)*AB76),0)</f>
        <v>15965</v>
      </c>
      <c r="AC52" s="195">
        <f>ROUND((B52/(CE76+CF76)*AC76),0)</f>
        <v>15059</v>
      </c>
      <c r="AD52" s="195">
        <f>ROUND((B52/(CE76+CF76)*AD76),0)</f>
        <v>0</v>
      </c>
      <c r="AE52" s="195">
        <f>ROUND((B52/(CE76+CF76)*AE76),0)</f>
        <v>5118</v>
      </c>
      <c r="AF52" s="195">
        <f>ROUND((B52/(CE76+CF76)*AF76),0)</f>
        <v>0</v>
      </c>
      <c r="AG52" s="195">
        <f>ROUND((B52/(CE76+CF76)*AG76),0)</f>
        <v>153547</v>
      </c>
      <c r="AH52" s="195">
        <f>ROUND((B52/(CE76+CF76)*AH76),0)</f>
        <v>0</v>
      </c>
      <c r="AI52" s="195">
        <f>ROUND((B52/(CE76+CF76)*AI76),0)</f>
        <v>11811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487236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509776</v>
      </c>
      <c r="CD52" s="195"/>
      <c r="CE52" s="195">
        <f>SUM(C52:CD52)</f>
        <v>1953590</v>
      </c>
    </row>
    <row r="53" spans="1:84" ht="12.6" customHeight="1" x14ac:dyDescent="0.25">
      <c r="A53" s="175" t="s">
        <v>206</v>
      </c>
      <c r="B53" s="195">
        <f>B51+B52</f>
        <v>1953591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851</v>
      </c>
      <c r="D59" s="184"/>
      <c r="E59" s="184">
        <v>3662</v>
      </c>
      <c r="F59" s="184"/>
      <c r="G59" s="184"/>
      <c r="H59" s="184"/>
      <c r="I59" s="184">
        <v>6809</v>
      </c>
      <c r="J59" s="184"/>
      <c r="K59" s="184"/>
      <c r="L59" s="184"/>
      <c r="M59" s="184"/>
      <c r="N59" s="184"/>
      <c r="O59" s="184"/>
      <c r="P59" s="185">
        <v>97300</v>
      </c>
      <c r="Q59" s="185">
        <v>109332</v>
      </c>
      <c r="R59" s="185">
        <v>97300</v>
      </c>
      <c r="S59" s="247"/>
      <c r="T59" s="247"/>
      <c r="U59" s="224">
        <f>147367+216</f>
        <v>147583</v>
      </c>
      <c r="V59" s="185"/>
      <c r="W59" s="185">
        <v>1200</v>
      </c>
      <c r="X59" s="185">
        <v>5595</v>
      </c>
      <c r="Y59" s="185">
        <v>9582</v>
      </c>
      <c r="Z59" s="185"/>
      <c r="AA59" s="185">
        <v>93</v>
      </c>
      <c r="AB59" s="247"/>
      <c r="AC59" s="185">
        <f>1724+3468</f>
        <v>5192</v>
      </c>
      <c r="AD59" s="185"/>
      <c r="AE59" s="185">
        <v>45666</v>
      </c>
      <c r="AF59" s="185"/>
      <c r="AG59" s="185">
        <v>15951</v>
      </c>
      <c r="AH59" s="185"/>
      <c r="AI59" s="185">
        <v>912</v>
      </c>
      <c r="AJ59" s="185"/>
      <c r="AK59" s="185">
        <v>8439</v>
      </c>
      <c r="AL59" s="185">
        <v>697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104684</v>
      </c>
      <c r="AZ59" s="185"/>
      <c r="BA59" s="247"/>
      <c r="BB59" s="247"/>
      <c r="BC59" s="247"/>
      <c r="BD59" s="247"/>
      <c r="BE59" s="185">
        <v>99240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6.7</v>
      </c>
      <c r="D60" s="187"/>
      <c r="E60" s="187">
        <v>25.6</v>
      </c>
      <c r="F60" s="223"/>
      <c r="G60" s="187"/>
      <c r="H60" s="187"/>
      <c r="I60" s="187">
        <v>29.79</v>
      </c>
      <c r="J60" s="223"/>
      <c r="K60" s="187"/>
      <c r="L60" s="187"/>
      <c r="M60" s="187"/>
      <c r="N60" s="187"/>
      <c r="O60" s="187"/>
      <c r="P60" s="221">
        <v>9.43</v>
      </c>
      <c r="Q60" s="221">
        <f>1.78+0.889</f>
        <v>2.669</v>
      </c>
      <c r="R60" s="221">
        <v>0</v>
      </c>
      <c r="S60" s="221"/>
      <c r="T60" s="221"/>
      <c r="U60" s="221">
        <v>13.45</v>
      </c>
      <c r="V60" s="221"/>
      <c r="W60" s="221">
        <v>2.23</v>
      </c>
      <c r="X60" s="221">
        <v>7.45</v>
      </c>
      <c r="Y60" s="221">
        <v>3.53</v>
      </c>
      <c r="Z60" s="221"/>
      <c r="AA60" s="221">
        <v>0.88</v>
      </c>
      <c r="AB60" s="221">
        <v>7.02</v>
      </c>
      <c r="AC60" s="221">
        <v>4.7300000000000004</v>
      </c>
      <c r="AD60" s="221"/>
      <c r="AE60" s="221">
        <v>4.7699999999999996</v>
      </c>
      <c r="AF60" s="221"/>
      <c r="AG60" s="221">
        <v>25.37</v>
      </c>
      <c r="AH60" s="221">
        <v>0.87</v>
      </c>
      <c r="AI60" s="221">
        <v>5.17</v>
      </c>
      <c r="AJ60" s="221"/>
      <c r="AK60" s="221">
        <v>1.48</v>
      </c>
      <c r="AL60" s="221">
        <v>0.12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f>2.68+1.48+1+2.04+2.83+3.93+0.27</f>
        <v>14.23</v>
      </c>
      <c r="AW60" s="221"/>
      <c r="AX60" s="221">
        <v>0.04</v>
      </c>
      <c r="AY60" s="221">
        <v>18.809999999999999</v>
      </c>
      <c r="AZ60" s="221"/>
      <c r="BA60" s="221"/>
      <c r="BB60" s="221"/>
      <c r="BC60" s="221"/>
      <c r="BD60" s="221">
        <v>3.02</v>
      </c>
      <c r="BE60" s="221">
        <v>7.46</v>
      </c>
      <c r="BF60" s="221">
        <v>20.010000000000002</v>
      </c>
      <c r="BG60" s="221"/>
      <c r="BH60" s="221">
        <v>5.75</v>
      </c>
      <c r="BI60" s="221"/>
      <c r="BJ60" s="221">
        <v>2.64</v>
      </c>
      <c r="BK60" s="221">
        <v>9.2899999999999991</v>
      </c>
      <c r="BL60" s="221">
        <v>14.46</v>
      </c>
      <c r="BM60" s="221"/>
      <c r="BN60" s="221">
        <f>3.11+0.45+1.22+1</f>
        <v>5.78</v>
      </c>
      <c r="BO60" s="221"/>
      <c r="BP60" s="221"/>
      <c r="BQ60" s="221"/>
      <c r="BR60" s="221">
        <v>2</v>
      </c>
      <c r="BS60" s="221"/>
      <c r="BT60" s="221"/>
      <c r="BU60" s="221"/>
      <c r="BV60" s="221">
        <v>8.08</v>
      </c>
      <c r="BW60" s="221">
        <v>1.19</v>
      </c>
      <c r="BX60" s="221">
        <v>3.51</v>
      </c>
      <c r="BY60" s="221"/>
      <c r="BZ60" s="221"/>
      <c r="CA60" s="221">
        <v>0.56000000000000005</v>
      </c>
      <c r="CB60" s="221"/>
      <c r="CC60" s="221">
        <f>3.2+0.89+0.6</f>
        <v>4.6899999999999995</v>
      </c>
      <c r="CD60" s="248" t="s">
        <v>221</v>
      </c>
      <c r="CE60" s="250">
        <f t="shared" ref="CE60:CE70" si="0">SUM(C60:CD60)</f>
        <v>272.77899999999994</v>
      </c>
    </row>
    <row r="61" spans="1:84" ht="12.6" customHeight="1" x14ac:dyDescent="0.25">
      <c r="A61" s="171" t="s">
        <v>235</v>
      </c>
      <c r="B61" s="175"/>
      <c r="C61" s="184">
        <v>1155340</v>
      </c>
      <c r="D61" s="184"/>
      <c r="E61" s="184">
        <v>2354885</v>
      </c>
      <c r="F61" s="185"/>
      <c r="G61" s="184"/>
      <c r="H61" s="184"/>
      <c r="I61" s="185">
        <v>2181924</v>
      </c>
      <c r="J61" s="185"/>
      <c r="K61" s="185"/>
      <c r="L61" s="185"/>
      <c r="M61" s="184"/>
      <c r="N61" s="184"/>
      <c r="O61" s="184"/>
      <c r="P61" s="185">
        <v>1019676</v>
      </c>
      <c r="Q61" s="185">
        <v>370579</v>
      </c>
      <c r="R61" s="185">
        <v>0</v>
      </c>
      <c r="S61" s="185">
        <v>146549</v>
      </c>
      <c r="T61" s="185"/>
      <c r="U61" s="185">
        <v>972547</v>
      </c>
      <c r="V61" s="185"/>
      <c r="W61" s="185">
        <v>219127</v>
      </c>
      <c r="X61" s="185">
        <v>629990</v>
      </c>
      <c r="Y61" s="185">
        <v>254102</v>
      </c>
      <c r="Z61" s="185"/>
      <c r="AA61" s="185">
        <v>79684</v>
      </c>
      <c r="AB61" s="185">
        <v>742276</v>
      </c>
      <c r="AC61" s="185">
        <v>438936</v>
      </c>
      <c r="AD61" s="185"/>
      <c r="AE61" s="185">
        <v>382553</v>
      </c>
      <c r="AF61" s="185"/>
      <c r="AG61" s="185">
        <v>2482960</v>
      </c>
      <c r="AH61" s="185">
        <v>110287</v>
      </c>
      <c r="AI61" s="185">
        <v>557989</v>
      </c>
      <c r="AJ61" s="185"/>
      <c r="AK61" s="185">
        <v>150757</v>
      </c>
      <c r="AL61" s="185">
        <v>14400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291968+227992+156691+399429+304601+31774+1411726</f>
        <v>2824181</v>
      </c>
      <c r="AW61" s="185"/>
      <c r="AX61" s="185">
        <v>0</v>
      </c>
      <c r="AY61" s="185">
        <v>775800</v>
      </c>
      <c r="AZ61" s="185">
        <v>83754</v>
      </c>
      <c r="BA61" s="185">
        <v>0</v>
      </c>
      <c r="BB61" s="185"/>
      <c r="BC61" s="185"/>
      <c r="BD61" s="185">
        <v>147430</v>
      </c>
      <c r="BE61" s="185">
        <v>422223</v>
      </c>
      <c r="BF61" s="185">
        <v>850879</v>
      </c>
      <c r="BG61" s="185">
        <v>0</v>
      </c>
      <c r="BH61" s="185">
        <v>498367</v>
      </c>
      <c r="BI61" s="185"/>
      <c r="BJ61" s="185">
        <v>184532</v>
      </c>
      <c r="BK61" s="185">
        <f>564151-11728</f>
        <v>552423</v>
      </c>
      <c r="BL61" s="185">
        <v>655118</v>
      </c>
      <c r="BM61" s="185"/>
      <c r="BN61" s="185">
        <f>909961-301002+29639+151000</f>
        <v>789598</v>
      </c>
      <c r="BO61" s="185"/>
      <c r="BP61" s="185"/>
      <c r="BQ61" s="185"/>
      <c r="BR61" s="185">
        <f>5148216-4905828</f>
        <v>242388</v>
      </c>
      <c r="BS61" s="185"/>
      <c r="BT61" s="185"/>
      <c r="BU61" s="185"/>
      <c r="BV61" s="185">
        <v>437228</v>
      </c>
      <c r="BW61" s="185">
        <v>67722</v>
      </c>
      <c r="BX61" s="185">
        <v>315099</v>
      </c>
      <c r="BY61" s="185">
        <v>399498</v>
      </c>
      <c r="BZ61" s="185"/>
      <c r="CA61" s="185">
        <v>49933</v>
      </c>
      <c r="CB61" s="185"/>
      <c r="CC61" s="185">
        <f>93606+60197+11651</f>
        <v>165454</v>
      </c>
      <c r="CD61" s="248" t="s">
        <v>221</v>
      </c>
      <c r="CE61" s="195">
        <f t="shared" si="0"/>
        <v>23726188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254676</v>
      </c>
      <c r="D62" s="195">
        <f t="shared" si="1"/>
        <v>0</v>
      </c>
      <c r="E62" s="195">
        <f t="shared" si="1"/>
        <v>519097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480970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224771</v>
      </c>
      <c r="Q62" s="195">
        <f t="shared" si="1"/>
        <v>81688</v>
      </c>
      <c r="R62" s="195">
        <f t="shared" si="1"/>
        <v>0</v>
      </c>
      <c r="S62" s="195">
        <f t="shared" si="1"/>
        <v>32304</v>
      </c>
      <c r="T62" s="195">
        <f t="shared" si="1"/>
        <v>0</v>
      </c>
      <c r="U62" s="195">
        <f t="shared" si="1"/>
        <v>214382</v>
      </c>
      <c r="V62" s="195">
        <f t="shared" si="1"/>
        <v>0</v>
      </c>
      <c r="W62" s="195">
        <f t="shared" si="1"/>
        <v>48303</v>
      </c>
      <c r="X62" s="195">
        <f t="shared" si="1"/>
        <v>138871</v>
      </c>
      <c r="Y62" s="195">
        <f t="shared" si="1"/>
        <v>56013</v>
      </c>
      <c r="Z62" s="195">
        <f t="shared" si="1"/>
        <v>0</v>
      </c>
      <c r="AA62" s="195">
        <f t="shared" si="1"/>
        <v>17565</v>
      </c>
      <c r="AB62" s="195">
        <f t="shared" si="1"/>
        <v>163623</v>
      </c>
      <c r="AC62" s="195">
        <f t="shared" si="1"/>
        <v>96756</v>
      </c>
      <c r="AD62" s="195">
        <f t="shared" si="1"/>
        <v>0</v>
      </c>
      <c r="AE62" s="195">
        <f t="shared" si="1"/>
        <v>84328</v>
      </c>
      <c r="AF62" s="195">
        <f t="shared" si="1"/>
        <v>0</v>
      </c>
      <c r="AG62" s="195">
        <f t="shared" si="1"/>
        <v>547329</v>
      </c>
      <c r="AH62" s="195">
        <f t="shared" si="1"/>
        <v>24311</v>
      </c>
      <c r="AI62" s="195">
        <f t="shared" si="1"/>
        <v>123000</v>
      </c>
      <c r="AJ62" s="195">
        <f t="shared" si="1"/>
        <v>0</v>
      </c>
      <c r="AK62" s="195">
        <f t="shared" si="1"/>
        <v>33232</v>
      </c>
      <c r="AL62" s="195">
        <f t="shared" si="1"/>
        <v>3174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622546</v>
      </c>
      <c r="AW62" s="195">
        <f t="shared" si="1"/>
        <v>0</v>
      </c>
      <c r="AX62" s="195">
        <f t="shared" si="1"/>
        <v>0</v>
      </c>
      <c r="AY62" s="195">
        <f>ROUND(AY47+AY48,0)</f>
        <v>171013</v>
      </c>
      <c r="AZ62" s="195">
        <f>ROUND(AZ47+AZ48,0)</f>
        <v>18462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32499</v>
      </c>
      <c r="BE62" s="195">
        <f t="shared" si="1"/>
        <v>93072</v>
      </c>
      <c r="BF62" s="195">
        <f t="shared" si="1"/>
        <v>187563</v>
      </c>
      <c r="BG62" s="195">
        <f t="shared" si="1"/>
        <v>0</v>
      </c>
      <c r="BH62" s="195">
        <f t="shared" si="1"/>
        <v>109857</v>
      </c>
      <c r="BI62" s="195">
        <f t="shared" si="1"/>
        <v>0</v>
      </c>
      <c r="BJ62" s="195">
        <f t="shared" si="1"/>
        <v>40677</v>
      </c>
      <c r="BK62" s="195">
        <f t="shared" si="1"/>
        <v>121773</v>
      </c>
      <c r="BL62" s="195">
        <f t="shared" si="1"/>
        <v>144410</v>
      </c>
      <c r="BM62" s="195">
        <f t="shared" si="1"/>
        <v>0</v>
      </c>
      <c r="BN62" s="195">
        <f t="shared" si="1"/>
        <v>174054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53431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96380</v>
      </c>
      <c r="BW62" s="195">
        <f t="shared" si="2"/>
        <v>14928</v>
      </c>
      <c r="BX62" s="195">
        <f t="shared" si="2"/>
        <v>69459</v>
      </c>
      <c r="BY62" s="195">
        <f t="shared" si="2"/>
        <v>88063</v>
      </c>
      <c r="BZ62" s="195">
        <f t="shared" si="2"/>
        <v>0</v>
      </c>
      <c r="CA62" s="195">
        <f t="shared" si="2"/>
        <v>11007</v>
      </c>
      <c r="CB62" s="195">
        <f t="shared" si="2"/>
        <v>0</v>
      </c>
      <c r="CC62" s="195">
        <f t="shared" si="2"/>
        <v>36472</v>
      </c>
      <c r="CD62" s="248" t="s">
        <v>221</v>
      </c>
      <c r="CE62" s="195">
        <f t="shared" si="0"/>
        <v>5230059</v>
      </c>
      <c r="CF62" s="251"/>
    </row>
    <row r="63" spans="1:84" ht="12.6" customHeight="1" x14ac:dyDescent="0.25">
      <c r="A63" s="171" t="s">
        <v>236</v>
      </c>
      <c r="B63" s="175"/>
      <c r="C63" s="184">
        <v>0</v>
      </c>
      <c r="D63" s="184"/>
      <c r="E63" s="184">
        <v>0</v>
      </c>
      <c r="F63" s="185"/>
      <c r="G63" s="184"/>
      <c r="H63" s="184"/>
      <c r="I63" s="185">
        <v>249562</v>
      </c>
      <c r="J63" s="185"/>
      <c r="K63" s="185"/>
      <c r="L63" s="185"/>
      <c r="M63" s="184"/>
      <c r="N63" s="184"/>
      <c r="O63" s="184"/>
      <c r="P63" s="185">
        <v>0</v>
      </c>
      <c r="Q63" s="185">
        <v>0</v>
      </c>
      <c r="R63" s="185">
        <v>408000</v>
      </c>
      <c r="S63" s="185">
        <v>0</v>
      </c>
      <c r="T63" s="185"/>
      <c r="U63" s="185">
        <v>0</v>
      </c>
      <c r="V63" s="185"/>
      <c r="W63" s="185">
        <v>0</v>
      </c>
      <c r="X63" s="185">
        <v>0</v>
      </c>
      <c r="Y63" s="185">
        <v>0</v>
      </c>
      <c r="Z63" s="185"/>
      <c r="AA63" s="185">
        <v>0</v>
      </c>
      <c r="AB63" s="185">
        <v>0</v>
      </c>
      <c r="AC63" s="185">
        <v>0</v>
      </c>
      <c r="AD63" s="185"/>
      <c r="AE63" s="185">
        <v>0</v>
      </c>
      <c r="AF63" s="185"/>
      <c r="AG63" s="185">
        <v>1263672</v>
      </c>
      <c r="AH63" s="185"/>
      <c r="AI63" s="185">
        <v>0</v>
      </c>
      <c r="AJ63" s="185"/>
      <c r="AK63" s="185">
        <v>0</v>
      </c>
      <c r="AL63" s="185">
        <v>0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33575</v>
      </c>
      <c r="AZ63" s="185">
        <v>0</v>
      </c>
      <c r="BA63" s="185">
        <v>0</v>
      </c>
      <c r="BB63" s="185"/>
      <c r="BC63" s="185"/>
      <c r="BD63" s="185">
        <v>0</v>
      </c>
      <c r="BE63" s="185">
        <v>0</v>
      </c>
      <c r="BF63" s="185">
        <v>3730</v>
      </c>
      <c r="BG63" s="185"/>
      <c r="BH63" s="185">
        <v>202406</v>
      </c>
      <c r="BI63" s="185"/>
      <c r="BJ63" s="185">
        <v>293817</v>
      </c>
      <c r="BK63" s="185">
        <v>117175</v>
      </c>
      <c r="BL63" s="185">
        <v>264</v>
      </c>
      <c r="BM63" s="185"/>
      <c r="BN63" s="185">
        <f>1402202</f>
        <v>1402202</v>
      </c>
      <c r="BO63" s="185"/>
      <c r="BP63" s="185"/>
      <c r="BQ63" s="185"/>
      <c r="BR63" s="185"/>
      <c r="BS63" s="185"/>
      <c r="BT63" s="185"/>
      <c r="BU63" s="185"/>
      <c r="BV63" s="185">
        <v>0</v>
      </c>
      <c r="BW63" s="185">
        <v>0</v>
      </c>
      <c r="BX63" s="185">
        <v>60643</v>
      </c>
      <c r="BY63" s="185">
        <v>0</v>
      </c>
      <c r="BZ63" s="185"/>
      <c r="CA63" s="185">
        <v>0</v>
      </c>
      <c r="CB63" s="185"/>
      <c r="CC63" s="185"/>
      <c r="CD63" s="248" t="s">
        <v>221</v>
      </c>
      <c r="CE63" s="195">
        <f t="shared" si="0"/>
        <v>4035046</v>
      </c>
      <c r="CF63" s="251"/>
    </row>
    <row r="64" spans="1:84" ht="12.6" customHeight="1" x14ac:dyDescent="0.25">
      <c r="A64" s="171" t="s">
        <v>237</v>
      </c>
      <c r="B64" s="175"/>
      <c r="C64" s="184">
        <v>30525</v>
      </c>
      <c r="D64" s="184"/>
      <c r="E64" s="185">
        <v>89782</v>
      </c>
      <c r="F64" s="185"/>
      <c r="G64" s="184"/>
      <c r="H64" s="184"/>
      <c r="I64" s="185">
        <v>43865</v>
      </c>
      <c r="J64" s="185"/>
      <c r="K64" s="185"/>
      <c r="L64" s="185"/>
      <c r="M64" s="184"/>
      <c r="N64" s="184"/>
      <c r="O64" s="184"/>
      <c r="P64" s="185">
        <v>515564</v>
      </c>
      <c r="Q64" s="185">
        <v>4940</v>
      </c>
      <c r="R64" s="185">
        <v>32784</v>
      </c>
      <c r="S64" s="185">
        <f>2298424+36802</f>
        <v>2335226</v>
      </c>
      <c r="T64" s="185"/>
      <c r="U64" s="185">
        <f>640793+30810</f>
        <v>671603</v>
      </c>
      <c r="V64" s="185"/>
      <c r="W64" s="185">
        <v>4699</v>
      </c>
      <c r="X64" s="185">
        <v>39914</v>
      </c>
      <c r="Y64" s="185">
        <v>8102</v>
      </c>
      <c r="Z64" s="185"/>
      <c r="AA64" s="185">
        <v>8859</v>
      </c>
      <c r="AB64" s="185">
        <v>972474</v>
      </c>
      <c r="AC64" s="185">
        <v>17613</v>
      </c>
      <c r="AD64" s="185"/>
      <c r="AE64" s="185">
        <v>3751</v>
      </c>
      <c r="AF64" s="185"/>
      <c r="AG64" s="185">
        <v>208237</v>
      </c>
      <c r="AH64" s="185"/>
      <c r="AI64" s="185">
        <v>85901</v>
      </c>
      <c r="AJ64" s="185"/>
      <c r="AK64" s="185">
        <v>4933</v>
      </c>
      <c r="AL64" s="185">
        <v>0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3326+7548+147+1295+159521+322+122+185231</f>
        <v>357512</v>
      </c>
      <c r="AW64" s="185"/>
      <c r="AX64" s="185">
        <v>31167</v>
      </c>
      <c r="AY64" s="185">
        <v>556882</v>
      </c>
      <c r="AZ64" s="185">
        <v>22</v>
      </c>
      <c r="BA64" s="185">
        <v>364</v>
      </c>
      <c r="BB64" s="185"/>
      <c r="BC64" s="185"/>
      <c r="BD64" s="185">
        <v>-163799</v>
      </c>
      <c r="BE64" s="185">
        <v>35768</v>
      </c>
      <c r="BF64" s="185">
        <v>75571</v>
      </c>
      <c r="BG64" s="185"/>
      <c r="BH64" s="185">
        <v>19513</v>
      </c>
      <c r="BI64" s="185"/>
      <c r="BJ64" s="185">
        <v>4353</v>
      </c>
      <c r="BK64" s="185">
        <v>2495</v>
      </c>
      <c r="BL64" s="185">
        <v>6691</v>
      </c>
      <c r="BM64" s="185"/>
      <c r="BN64" s="185">
        <f>4497</f>
        <v>4497</v>
      </c>
      <c r="BO64" s="185"/>
      <c r="BP64" s="185"/>
      <c r="BQ64" s="185"/>
      <c r="BR64" s="185">
        <v>1626</v>
      </c>
      <c r="BS64" s="185"/>
      <c r="BT64" s="185"/>
      <c r="BU64" s="185"/>
      <c r="BV64" s="185">
        <v>2353</v>
      </c>
      <c r="BW64" s="185">
        <v>501</v>
      </c>
      <c r="BX64" s="185">
        <v>112</v>
      </c>
      <c r="BY64" s="185">
        <v>37</v>
      </c>
      <c r="BZ64" s="185"/>
      <c r="CA64" s="185">
        <v>450</v>
      </c>
      <c r="CB64" s="185"/>
      <c r="CC64" s="185">
        <f>15362+31+112+34+190</f>
        <v>15729</v>
      </c>
      <c r="CD64" s="248" t="s">
        <v>221</v>
      </c>
      <c r="CE64" s="195">
        <f t="shared" si="0"/>
        <v>6030616</v>
      </c>
      <c r="CF64" s="251"/>
    </row>
    <row r="65" spans="1:84" ht="12.6" customHeight="1" x14ac:dyDescent="0.25">
      <c r="A65" s="171" t="s">
        <v>238</v>
      </c>
      <c r="B65" s="175"/>
      <c r="C65" s="184">
        <v>0</v>
      </c>
      <c r="D65" s="184"/>
      <c r="E65" s="184">
        <v>0</v>
      </c>
      <c r="F65" s="184"/>
      <c r="G65" s="184"/>
      <c r="H65" s="184"/>
      <c r="I65" s="185">
        <v>51180</v>
      </c>
      <c r="J65" s="184"/>
      <c r="K65" s="185"/>
      <c r="L65" s="185"/>
      <c r="M65" s="184"/>
      <c r="N65" s="184"/>
      <c r="O65" s="184"/>
      <c r="P65" s="185">
        <v>0</v>
      </c>
      <c r="Q65" s="185">
        <v>0</v>
      </c>
      <c r="R65" s="185">
        <v>0</v>
      </c>
      <c r="S65" s="185">
        <v>0</v>
      </c>
      <c r="T65" s="185"/>
      <c r="U65" s="185">
        <v>0</v>
      </c>
      <c r="V65" s="185"/>
      <c r="W65" s="185">
        <v>0</v>
      </c>
      <c r="X65" s="185">
        <v>0</v>
      </c>
      <c r="Y65" s="185">
        <v>0</v>
      </c>
      <c r="Z65" s="185"/>
      <c r="AA65" s="185">
        <v>0</v>
      </c>
      <c r="AB65" s="185">
        <v>0</v>
      </c>
      <c r="AC65" s="185">
        <v>0</v>
      </c>
      <c r="AD65" s="185"/>
      <c r="AE65" s="185">
        <v>0</v>
      </c>
      <c r="AF65" s="185"/>
      <c r="AG65" s="185">
        <v>0</v>
      </c>
      <c r="AH65" s="185"/>
      <c r="AI65" s="185">
        <v>0</v>
      </c>
      <c r="AJ65" s="185"/>
      <c r="AK65" s="185">
        <v>0</v>
      </c>
      <c r="AL65" s="185">
        <v>0</v>
      </c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0</v>
      </c>
      <c r="AZ65" s="185">
        <v>0</v>
      </c>
      <c r="BA65" s="185">
        <v>0</v>
      </c>
      <c r="BB65" s="185"/>
      <c r="BC65" s="185"/>
      <c r="BD65" s="185">
        <v>0</v>
      </c>
      <c r="BE65" s="185">
        <v>456077</v>
      </c>
      <c r="BF65" s="185">
        <v>0</v>
      </c>
      <c r="BG65" s="185">
        <v>100912</v>
      </c>
      <c r="BH65" s="185">
        <v>0</v>
      </c>
      <c r="BI65" s="185"/>
      <c r="BJ65" s="185">
        <v>0</v>
      </c>
      <c r="BK65" s="185">
        <v>0</v>
      </c>
      <c r="BL65" s="185">
        <v>0</v>
      </c>
      <c r="BM65" s="185"/>
      <c r="BN65" s="185">
        <f>595</f>
        <v>595</v>
      </c>
      <c r="BO65" s="185"/>
      <c r="BP65" s="185"/>
      <c r="BQ65" s="185"/>
      <c r="BR65" s="185"/>
      <c r="BS65" s="185"/>
      <c r="BT65" s="185"/>
      <c r="BU65" s="185"/>
      <c r="BV65" s="185">
        <v>0</v>
      </c>
      <c r="BW65" s="185">
        <v>0</v>
      </c>
      <c r="BX65" s="185">
        <v>0</v>
      </c>
      <c r="BY65" s="185">
        <v>0</v>
      </c>
      <c r="BZ65" s="185"/>
      <c r="CA65" s="185">
        <v>0</v>
      </c>
      <c r="CB65" s="185"/>
      <c r="CC65" s="185">
        <f>1740</f>
        <v>1740</v>
      </c>
      <c r="CD65" s="248" t="s">
        <v>221</v>
      </c>
      <c r="CE65" s="195">
        <f t="shared" si="0"/>
        <v>610504</v>
      </c>
      <c r="CF65" s="251"/>
    </row>
    <row r="66" spans="1:84" ht="12.6" customHeight="1" x14ac:dyDescent="0.25">
      <c r="A66" s="171" t="s">
        <v>239</v>
      </c>
      <c r="B66" s="175"/>
      <c r="C66" s="184">
        <v>0</v>
      </c>
      <c r="D66" s="184"/>
      <c r="E66" s="184">
        <v>25498</v>
      </c>
      <c r="F66" s="184"/>
      <c r="G66" s="184"/>
      <c r="H66" s="184"/>
      <c r="I66" s="184">
        <v>24015</v>
      </c>
      <c r="J66" s="184"/>
      <c r="K66" s="185"/>
      <c r="L66" s="185"/>
      <c r="M66" s="184"/>
      <c r="N66" s="184"/>
      <c r="O66" s="185"/>
      <c r="P66" s="185">
        <v>55582</v>
      </c>
      <c r="Q66" s="185">
        <v>0</v>
      </c>
      <c r="R66" s="185">
        <v>2539</v>
      </c>
      <c r="S66" s="184">
        <f>16857+5599</f>
        <v>22456</v>
      </c>
      <c r="T66" s="184"/>
      <c r="U66" s="185">
        <f>453227+78940</f>
        <v>532167</v>
      </c>
      <c r="V66" s="185"/>
      <c r="W66" s="185">
        <v>148496</v>
      </c>
      <c r="X66" s="185">
        <v>98862</v>
      </c>
      <c r="Y66" s="185">
        <v>69214</v>
      </c>
      <c r="Z66" s="185"/>
      <c r="AA66" s="185">
        <v>23031</v>
      </c>
      <c r="AB66" s="185">
        <v>178399</v>
      </c>
      <c r="AC66" s="185">
        <v>22051</v>
      </c>
      <c r="AD66" s="185"/>
      <c r="AE66" s="185">
        <v>0</v>
      </c>
      <c r="AF66" s="185"/>
      <c r="AG66" s="185">
        <v>16893</v>
      </c>
      <c r="AH66" s="185"/>
      <c r="AI66" s="185">
        <v>8306</v>
      </c>
      <c r="AJ66" s="185"/>
      <c r="AK66" s="185">
        <v>141</v>
      </c>
      <c r="AL66" s="185">
        <v>0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21457+5636+36494+222999.16+263687.81</f>
        <v>550273.97</v>
      </c>
      <c r="AW66" s="185"/>
      <c r="AX66" s="185"/>
      <c r="AY66" s="185">
        <v>7783</v>
      </c>
      <c r="AZ66" s="185">
        <v>0</v>
      </c>
      <c r="BA66" s="185">
        <v>261613</v>
      </c>
      <c r="BB66" s="185"/>
      <c r="BC66" s="185"/>
      <c r="BD66" s="185">
        <v>0</v>
      </c>
      <c r="BE66" s="185">
        <v>457684</v>
      </c>
      <c r="BF66" s="185">
        <v>66382</v>
      </c>
      <c r="BG66" s="185">
        <v>-417</v>
      </c>
      <c r="BH66" s="185">
        <v>926332</v>
      </c>
      <c r="BI66" s="185">
        <v>83944</v>
      </c>
      <c r="BJ66" s="185">
        <v>15683</v>
      </c>
      <c r="BK66" s="185">
        <v>239271</v>
      </c>
      <c r="BL66" s="185">
        <v>0</v>
      </c>
      <c r="BM66" s="185"/>
      <c r="BN66" s="185">
        <f>1258800</f>
        <v>1258800</v>
      </c>
      <c r="BO66" s="185"/>
      <c r="BP66" s="185"/>
      <c r="BQ66" s="185"/>
      <c r="BR66" s="185">
        <v>30971</v>
      </c>
      <c r="BS66" s="185"/>
      <c r="BT66" s="185"/>
      <c r="BU66" s="185"/>
      <c r="BV66" s="185">
        <v>188331</v>
      </c>
      <c r="BW66" s="185">
        <v>4559</v>
      </c>
      <c r="BX66" s="185">
        <v>26435</v>
      </c>
      <c r="BY66" s="185">
        <v>0</v>
      </c>
      <c r="BZ66" s="185"/>
      <c r="CA66" s="185">
        <v>2211</v>
      </c>
      <c r="CB66" s="185"/>
      <c r="CC66" s="185">
        <f>75565</f>
        <v>75565</v>
      </c>
      <c r="CD66" s="248" t="s">
        <v>221</v>
      </c>
      <c r="CE66" s="195">
        <f t="shared" si="0"/>
        <v>5423070.9699999997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43308</v>
      </c>
      <c r="D67" s="195">
        <f>ROUND(D51+D52,0)</f>
        <v>0</v>
      </c>
      <c r="E67" s="195">
        <f t="shared" ref="E67:BP67" si="3">ROUND(E51+E52,0)</f>
        <v>181599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306858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106735</v>
      </c>
      <c r="Q67" s="195">
        <f t="shared" si="3"/>
        <v>11811</v>
      </c>
      <c r="R67" s="195">
        <f t="shared" si="3"/>
        <v>3583</v>
      </c>
      <c r="S67" s="195">
        <f t="shared" si="3"/>
        <v>0</v>
      </c>
      <c r="T67" s="195">
        <f t="shared" si="3"/>
        <v>0</v>
      </c>
      <c r="U67" s="195">
        <f t="shared" si="3"/>
        <v>25197</v>
      </c>
      <c r="V67" s="195">
        <f t="shared" si="3"/>
        <v>0</v>
      </c>
      <c r="W67" s="195">
        <f t="shared" si="3"/>
        <v>9449</v>
      </c>
      <c r="X67" s="195">
        <f t="shared" si="3"/>
        <v>7973</v>
      </c>
      <c r="Y67" s="195">
        <f t="shared" si="3"/>
        <v>50159</v>
      </c>
      <c r="Z67" s="195">
        <f t="shared" si="3"/>
        <v>0</v>
      </c>
      <c r="AA67" s="195">
        <f t="shared" si="3"/>
        <v>8406</v>
      </c>
      <c r="AB67" s="195">
        <f t="shared" si="3"/>
        <v>15965</v>
      </c>
      <c r="AC67" s="195">
        <f t="shared" si="3"/>
        <v>15059</v>
      </c>
      <c r="AD67" s="195">
        <f t="shared" si="3"/>
        <v>0</v>
      </c>
      <c r="AE67" s="195">
        <f t="shared" si="3"/>
        <v>5118</v>
      </c>
      <c r="AF67" s="195">
        <f t="shared" si="3"/>
        <v>0</v>
      </c>
      <c r="AG67" s="195">
        <f t="shared" si="3"/>
        <v>153547</v>
      </c>
      <c r="AH67" s="195">
        <f t="shared" si="3"/>
        <v>0</v>
      </c>
      <c r="AI67" s="195">
        <f t="shared" si="3"/>
        <v>11811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487236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509776</v>
      </c>
      <c r="CD67" s="248" t="s">
        <v>221</v>
      </c>
      <c r="CE67" s="195">
        <f t="shared" si="0"/>
        <v>1953590</v>
      </c>
      <c r="CF67" s="251"/>
    </row>
    <row r="68" spans="1:84" ht="12.6" customHeight="1" x14ac:dyDescent="0.25">
      <c r="A68" s="171" t="s">
        <v>240</v>
      </c>
      <c r="B68" s="175"/>
      <c r="C68" s="184">
        <v>0</v>
      </c>
      <c r="D68" s="184"/>
      <c r="E68" s="184">
        <v>37140</v>
      </c>
      <c r="F68" s="184"/>
      <c r="G68" s="184"/>
      <c r="H68" s="184"/>
      <c r="I68" s="184">
        <v>450189</v>
      </c>
      <c r="J68" s="184"/>
      <c r="K68" s="185"/>
      <c r="L68" s="185"/>
      <c r="M68" s="184"/>
      <c r="N68" s="184"/>
      <c r="O68" s="184"/>
      <c r="P68" s="185"/>
      <c r="Q68" s="185">
        <v>0</v>
      </c>
      <c r="R68" s="185">
        <v>0</v>
      </c>
      <c r="S68" s="185">
        <v>0</v>
      </c>
      <c r="T68" s="185"/>
      <c r="U68" s="185">
        <v>58895</v>
      </c>
      <c r="V68" s="185"/>
      <c r="W68" s="185">
        <v>58042</v>
      </c>
      <c r="X68" s="185"/>
      <c r="Y68" s="185"/>
      <c r="Z68" s="185"/>
      <c r="AA68" s="185">
        <v>0</v>
      </c>
      <c r="AB68" s="185">
        <v>150859</v>
      </c>
      <c r="AC68" s="185">
        <v>0</v>
      </c>
      <c r="AD68" s="185"/>
      <c r="AE68" s="185">
        <v>102681</v>
      </c>
      <c r="AF68" s="185"/>
      <c r="AG68" s="185">
        <v>0</v>
      </c>
      <c r="AH68" s="185"/>
      <c r="AI68" s="185">
        <v>0</v>
      </c>
      <c r="AJ68" s="185"/>
      <c r="AK68" s="185">
        <v>0</v>
      </c>
      <c r="AL68" s="185">
        <v>0</v>
      </c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f>52431+52431</f>
        <v>104862</v>
      </c>
      <c r="AW68" s="185"/>
      <c r="AX68" s="185">
        <v>-4323</v>
      </c>
      <c r="AY68" s="185">
        <v>1304</v>
      </c>
      <c r="AZ68" s="185">
        <v>0</v>
      </c>
      <c r="BA68" s="185">
        <v>0</v>
      </c>
      <c r="BB68" s="185"/>
      <c r="BC68" s="185"/>
      <c r="BD68" s="185">
        <v>0</v>
      </c>
      <c r="BE68" s="185">
        <v>1104</v>
      </c>
      <c r="BF68" s="185">
        <v>0</v>
      </c>
      <c r="BG68" s="185"/>
      <c r="BH68" s="185">
        <v>4359</v>
      </c>
      <c r="BI68" s="185"/>
      <c r="BJ68" s="185">
        <v>0</v>
      </c>
      <c r="BK68" s="185">
        <v>727</v>
      </c>
      <c r="BL68" s="185">
        <v>0</v>
      </c>
      <c r="BM68" s="185"/>
      <c r="BN68" s="185"/>
      <c r="BO68" s="185"/>
      <c r="BP68" s="185"/>
      <c r="BQ68" s="185"/>
      <c r="BR68" s="185"/>
      <c r="BS68" s="185"/>
      <c r="BT68" s="185"/>
      <c r="BU68" s="185"/>
      <c r="BV68" s="185">
        <v>0</v>
      </c>
      <c r="BW68" s="185">
        <v>0</v>
      </c>
      <c r="BX68" s="185">
        <v>0</v>
      </c>
      <c r="BY68" s="185">
        <v>0</v>
      </c>
      <c r="BZ68" s="185"/>
      <c r="CA68" s="185">
        <v>0</v>
      </c>
      <c r="CB68" s="185"/>
      <c r="CC68" s="185">
        <f>102102</f>
        <v>102102</v>
      </c>
      <c r="CD68" s="248" t="s">
        <v>221</v>
      </c>
      <c r="CE68" s="195">
        <f t="shared" si="0"/>
        <v>1067941</v>
      </c>
      <c r="CF68" s="251"/>
    </row>
    <row r="69" spans="1:84" ht="12.6" customHeight="1" x14ac:dyDescent="0.25">
      <c r="A69" s="171" t="s">
        <v>241</v>
      </c>
      <c r="B69" s="175"/>
      <c r="C69" s="184">
        <v>8755</v>
      </c>
      <c r="D69" s="184"/>
      <c r="E69" s="185">
        <v>43606</v>
      </c>
      <c r="F69" s="185"/>
      <c r="G69" s="184"/>
      <c r="H69" s="184"/>
      <c r="I69" s="185">
        <f>109722</f>
        <v>109722</v>
      </c>
      <c r="J69" s="185"/>
      <c r="K69" s="185"/>
      <c r="L69" s="185"/>
      <c r="M69" s="184"/>
      <c r="N69" s="184"/>
      <c r="O69" s="184"/>
      <c r="P69" s="185">
        <f>1994</f>
        <v>1994</v>
      </c>
      <c r="Q69" s="185">
        <v>0</v>
      </c>
      <c r="R69" s="224">
        <v>0</v>
      </c>
      <c r="S69" s="185">
        <v>0</v>
      </c>
      <c r="T69" s="184"/>
      <c r="U69" s="185">
        <v>3454</v>
      </c>
      <c r="V69" s="185"/>
      <c r="W69" s="184">
        <v>0</v>
      </c>
      <c r="X69" s="185"/>
      <c r="Y69" s="185">
        <v>1409</v>
      </c>
      <c r="Z69" s="185"/>
      <c r="AA69" s="185">
        <v>9898</v>
      </c>
      <c r="AB69" s="185">
        <v>6583</v>
      </c>
      <c r="AC69" s="185">
        <v>53</v>
      </c>
      <c r="AD69" s="185"/>
      <c r="AE69" s="185">
        <v>425</v>
      </c>
      <c r="AF69" s="185"/>
      <c r="AG69" s="185">
        <v>22793</v>
      </c>
      <c r="AH69" s="185">
        <v>551</v>
      </c>
      <c r="AI69" s="185">
        <v>1488</v>
      </c>
      <c r="AJ69" s="185"/>
      <c r="AK69" s="185">
        <v>720</v>
      </c>
      <c r="AL69" s="185">
        <v>0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5796+370+221+9545</f>
        <v>15932</v>
      </c>
      <c r="AW69" s="185"/>
      <c r="AX69" s="185"/>
      <c r="AY69" s="185">
        <v>-182745</v>
      </c>
      <c r="AZ69" s="185">
        <v>0</v>
      </c>
      <c r="BA69" s="185">
        <v>0</v>
      </c>
      <c r="BB69" s="185"/>
      <c r="BC69" s="185"/>
      <c r="BD69" s="185">
        <v>1798</v>
      </c>
      <c r="BE69" s="185">
        <v>6447</v>
      </c>
      <c r="BF69" s="185">
        <v>310</v>
      </c>
      <c r="BG69" s="185"/>
      <c r="BH69" s="224">
        <v>4230</v>
      </c>
      <c r="BI69" s="185"/>
      <c r="BJ69" s="185">
        <v>1139</v>
      </c>
      <c r="BK69" s="185">
        <v>17554</v>
      </c>
      <c r="BL69" s="185">
        <v>307</v>
      </c>
      <c r="BM69" s="185"/>
      <c r="BN69" s="185">
        <f>160953+54419</f>
        <v>215372</v>
      </c>
      <c r="BO69" s="185"/>
      <c r="BP69" s="185"/>
      <c r="BQ69" s="185"/>
      <c r="BR69" s="185">
        <v>125182</v>
      </c>
      <c r="BS69" s="185"/>
      <c r="BT69" s="185"/>
      <c r="BU69" s="185"/>
      <c r="BV69" s="185">
        <v>593</v>
      </c>
      <c r="BW69" s="185">
        <v>3309</v>
      </c>
      <c r="BX69" s="185">
        <v>45877</v>
      </c>
      <c r="BY69" s="185">
        <v>45</v>
      </c>
      <c r="BZ69" s="185"/>
      <c r="CA69" s="185">
        <v>5889</v>
      </c>
      <c r="CB69" s="185"/>
      <c r="CC69" s="185">
        <f>1542+3888+1755+27436+479</f>
        <v>35100</v>
      </c>
      <c r="CD69" s="188">
        <f>1302327</f>
        <v>1302327</v>
      </c>
      <c r="CE69" s="195">
        <f t="shared" si="0"/>
        <v>1810117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0</v>
      </c>
      <c r="T70" s="184"/>
      <c r="U70" s="185">
        <v>0</v>
      </c>
      <c r="V70" s="184"/>
      <c r="W70" s="184">
        <v>0</v>
      </c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>
        <v>0</v>
      </c>
      <c r="BA70" s="185">
        <v>0</v>
      </c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1492604</v>
      </c>
      <c r="D71" s="195">
        <f t="shared" ref="D71:AI71" si="5">SUM(D61:D69)-D70</f>
        <v>0</v>
      </c>
      <c r="E71" s="195">
        <f t="shared" si="5"/>
        <v>3251607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3898285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1924322</v>
      </c>
      <c r="Q71" s="195">
        <f t="shared" si="5"/>
        <v>469018</v>
      </c>
      <c r="R71" s="195">
        <f t="shared" si="5"/>
        <v>446906</v>
      </c>
      <c r="S71" s="195">
        <f t="shared" si="5"/>
        <v>2536535</v>
      </c>
      <c r="T71" s="195">
        <f t="shared" si="5"/>
        <v>0</v>
      </c>
      <c r="U71" s="195">
        <f t="shared" si="5"/>
        <v>2478245</v>
      </c>
      <c r="V71" s="195">
        <f t="shared" si="5"/>
        <v>0</v>
      </c>
      <c r="W71" s="195">
        <f t="shared" si="5"/>
        <v>488116</v>
      </c>
      <c r="X71" s="195">
        <f t="shared" si="5"/>
        <v>915610</v>
      </c>
      <c r="Y71" s="195">
        <f t="shared" si="5"/>
        <v>438999</v>
      </c>
      <c r="Z71" s="195">
        <f t="shared" si="5"/>
        <v>0</v>
      </c>
      <c r="AA71" s="195">
        <f t="shared" si="5"/>
        <v>147443</v>
      </c>
      <c r="AB71" s="195">
        <f t="shared" si="5"/>
        <v>2230179</v>
      </c>
      <c r="AC71" s="195">
        <f t="shared" si="5"/>
        <v>590468</v>
      </c>
      <c r="AD71" s="195">
        <f t="shared" si="5"/>
        <v>0</v>
      </c>
      <c r="AE71" s="195">
        <f t="shared" si="5"/>
        <v>578856</v>
      </c>
      <c r="AF71" s="195">
        <f t="shared" si="5"/>
        <v>0</v>
      </c>
      <c r="AG71" s="195">
        <f t="shared" si="5"/>
        <v>4695431</v>
      </c>
      <c r="AH71" s="195">
        <f t="shared" si="5"/>
        <v>135149</v>
      </c>
      <c r="AI71" s="195">
        <f t="shared" si="5"/>
        <v>788495</v>
      </c>
      <c r="AJ71" s="195">
        <f t="shared" ref="AJ71:BO71" si="6">SUM(AJ61:AJ69)-AJ70</f>
        <v>0</v>
      </c>
      <c r="AK71" s="195">
        <f t="shared" si="6"/>
        <v>189783</v>
      </c>
      <c r="AL71" s="195">
        <f t="shared" si="6"/>
        <v>17574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4962542.97</v>
      </c>
      <c r="AW71" s="195">
        <f t="shared" si="6"/>
        <v>0</v>
      </c>
      <c r="AX71" s="195">
        <f t="shared" si="6"/>
        <v>26844</v>
      </c>
      <c r="AY71" s="195">
        <f t="shared" si="6"/>
        <v>1363612</v>
      </c>
      <c r="AZ71" s="195">
        <f t="shared" si="6"/>
        <v>102238</v>
      </c>
      <c r="BA71" s="195">
        <f t="shared" si="6"/>
        <v>261977</v>
      </c>
      <c r="BB71" s="195">
        <f t="shared" si="6"/>
        <v>0</v>
      </c>
      <c r="BC71" s="195">
        <f t="shared" si="6"/>
        <v>0</v>
      </c>
      <c r="BD71" s="195">
        <f t="shared" si="6"/>
        <v>17928</v>
      </c>
      <c r="BE71" s="195">
        <f t="shared" si="6"/>
        <v>1472375</v>
      </c>
      <c r="BF71" s="195">
        <f t="shared" si="6"/>
        <v>1184435</v>
      </c>
      <c r="BG71" s="195">
        <f t="shared" si="6"/>
        <v>100495</v>
      </c>
      <c r="BH71" s="195">
        <f t="shared" si="6"/>
        <v>1765064</v>
      </c>
      <c r="BI71" s="195">
        <f t="shared" si="6"/>
        <v>83944</v>
      </c>
      <c r="BJ71" s="195">
        <f t="shared" si="6"/>
        <v>540201</v>
      </c>
      <c r="BK71" s="195">
        <f t="shared" si="6"/>
        <v>1051418</v>
      </c>
      <c r="BL71" s="195">
        <f t="shared" si="6"/>
        <v>806790</v>
      </c>
      <c r="BM71" s="195">
        <f t="shared" si="6"/>
        <v>0</v>
      </c>
      <c r="BN71" s="195">
        <f t="shared" si="6"/>
        <v>3845118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453598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724885</v>
      </c>
      <c r="BW71" s="195">
        <f t="shared" si="7"/>
        <v>91019</v>
      </c>
      <c r="BX71" s="195">
        <f t="shared" si="7"/>
        <v>517625</v>
      </c>
      <c r="BY71" s="195">
        <f t="shared" si="7"/>
        <v>487643</v>
      </c>
      <c r="BZ71" s="195">
        <f t="shared" si="7"/>
        <v>0</v>
      </c>
      <c r="CA71" s="195">
        <f t="shared" si="7"/>
        <v>69490</v>
      </c>
      <c r="CB71" s="195">
        <f t="shared" si="7"/>
        <v>0</v>
      </c>
      <c r="CC71" s="195">
        <f t="shared" si="7"/>
        <v>941938</v>
      </c>
      <c r="CD71" s="244">
        <f>CD69-CD70</f>
        <v>1302327</v>
      </c>
      <c r="CE71" s="195">
        <f>SUM(CE61:CE69)-CE70</f>
        <v>49887131.969999999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4736049</v>
      </c>
      <c r="CF72" s="251"/>
    </row>
    <row r="73" spans="1:84" ht="12.6" customHeight="1" x14ac:dyDescent="0.25">
      <c r="A73" s="171" t="s">
        <v>245</v>
      </c>
      <c r="B73" s="175"/>
      <c r="C73" s="184">
        <v>2477642</v>
      </c>
      <c r="D73" s="184"/>
      <c r="E73" s="185">
        <v>5588834</v>
      </c>
      <c r="F73" s="185"/>
      <c r="G73" s="184"/>
      <c r="H73" s="184"/>
      <c r="I73" s="185">
        <v>5940384</v>
      </c>
      <c r="J73" s="185"/>
      <c r="K73" s="185"/>
      <c r="L73" s="185"/>
      <c r="M73" s="184"/>
      <c r="N73" s="184"/>
      <c r="O73" s="184"/>
      <c r="P73" s="185">
        <v>10205543</v>
      </c>
      <c r="Q73" s="185">
        <v>903125</v>
      </c>
      <c r="R73" s="185">
        <v>790723</v>
      </c>
      <c r="S73" s="185">
        <v>0</v>
      </c>
      <c r="T73" s="185"/>
      <c r="U73" s="185">
        <f>2654526+39735</f>
        <v>2694261</v>
      </c>
      <c r="V73" s="185"/>
      <c r="W73" s="185">
        <v>290210</v>
      </c>
      <c r="X73" s="185">
        <v>2275429</v>
      </c>
      <c r="Y73" s="185">
        <v>532915</v>
      </c>
      <c r="Z73" s="185"/>
      <c r="AA73" s="185">
        <v>44470</v>
      </c>
      <c r="AB73" s="185">
        <v>2788239</v>
      </c>
      <c r="AC73" s="185">
        <v>949861</v>
      </c>
      <c r="AD73" s="185"/>
      <c r="AE73" s="185">
        <v>392584</v>
      </c>
      <c r="AF73" s="185"/>
      <c r="AG73" s="185">
        <v>3534349</v>
      </c>
      <c r="AH73" s="185">
        <v>0</v>
      </c>
      <c r="AI73" s="185">
        <v>0</v>
      </c>
      <c r="AJ73" s="185"/>
      <c r="AK73" s="185">
        <v>263</v>
      </c>
      <c r="AL73" s="185">
        <v>0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153521+522876+9985+12518+1300.56</f>
        <v>700200.56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40109032.560000002</v>
      </c>
      <c r="CF73" s="251"/>
    </row>
    <row r="74" spans="1:84" ht="12.6" customHeight="1" x14ac:dyDescent="0.25">
      <c r="A74" s="171" t="s">
        <v>246</v>
      </c>
      <c r="B74" s="175"/>
      <c r="C74" s="184">
        <v>8584</v>
      </c>
      <c r="D74" s="184"/>
      <c r="E74" s="185">
        <v>1049380</v>
      </c>
      <c r="F74" s="185"/>
      <c r="G74" s="184"/>
      <c r="H74" s="184"/>
      <c r="I74" s="184">
        <v>516875</v>
      </c>
      <c r="J74" s="185"/>
      <c r="K74" s="185"/>
      <c r="L74" s="185"/>
      <c r="M74" s="184"/>
      <c r="N74" s="184"/>
      <c r="O74" s="184"/>
      <c r="P74" s="185">
        <v>11444831</v>
      </c>
      <c r="Q74" s="185">
        <v>1312848</v>
      </c>
      <c r="R74" s="185">
        <v>1137823</v>
      </c>
      <c r="S74" s="185">
        <v>0</v>
      </c>
      <c r="T74" s="185"/>
      <c r="U74" s="185">
        <f>8419262+49214</f>
        <v>8468476</v>
      </c>
      <c r="V74" s="185"/>
      <c r="W74" s="185">
        <v>3544535</v>
      </c>
      <c r="X74" s="185">
        <v>13106705</v>
      </c>
      <c r="Y74" s="185">
        <v>3187780</v>
      </c>
      <c r="Z74" s="185"/>
      <c r="AA74" s="185">
        <v>281027</v>
      </c>
      <c r="AB74" s="185">
        <v>3741192</v>
      </c>
      <c r="AC74" s="185">
        <v>1344519</v>
      </c>
      <c r="AD74" s="185"/>
      <c r="AE74" s="185">
        <v>1806410</v>
      </c>
      <c r="AF74" s="185"/>
      <c r="AG74" s="185">
        <v>31861636</v>
      </c>
      <c r="AH74" s="185">
        <v>0</v>
      </c>
      <c r="AI74" s="185">
        <v>2128589</v>
      </c>
      <c r="AJ74" s="185"/>
      <c r="AK74" s="185">
        <v>883657</v>
      </c>
      <c r="AL74" s="185">
        <v>0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287327+1764445+971162+1226221+123674+3809052+987586+617222+250602+480396</f>
        <v>10517687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96342554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2486226</v>
      </c>
      <c r="D75" s="195">
        <f t="shared" si="9"/>
        <v>0</v>
      </c>
      <c r="E75" s="195">
        <f t="shared" si="9"/>
        <v>6638214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6457259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21650374</v>
      </c>
      <c r="Q75" s="195">
        <f t="shared" si="9"/>
        <v>2215973</v>
      </c>
      <c r="R75" s="195">
        <f t="shared" si="9"/>
        <v>1928546</v>
      </c>
      <c r="S75" s="195">
        <f t="shared" si="9"/>
        <v>0</v>
      </c>
      <c r="T75" s="195">
        <f t="shared" si="9"/>
        <v>0</v>
      </c>
      <c r="U75" s="195">
        <f t="shared" si="9"/>
        <v>11162737</v>
      </c>
      <c r="V75" s="195">
        <f t="shared" si="9"/>
        <v>0</v>
      </c>
      <c r="W75" s="195">
        <f t="shared" si="9"/>
        <v>3834745</v>
      </c>
      <c r="X75" s="195">
        <f t="shared" si="9"/>
        <v>15382134</v>
      </c>
      <c r="Y75" s="195">
        <f t="shared" si="9"/>
        <v>3720695</v>
      </c>
      <c r="Z75" s="195">
        <f t="shared" si="9"/>
        <v>0</v>
      </c>
      <c r="AA75" s="195">
        <f t="shared" si="9"/>
        <v>325497</v>
      </c>
      <c r="AB75" s="195">
        <f t="shared" si="9"/>
        <v>6529431</v>
      </c>
      <c r="AC75" s="195">
        <f t="shared" si="9"/>
        <v>2294380</v>
      </c>
      <c r="AD75" s="195">
        <f t="shared" si="9"/>
        <v>0</v>
      </c>
      <c r="AE75" s="195">
        <f t="shared" si="9"/>
        <v>2198994</v>
      </c>
      <c r="AF75" s="195">
        <f t="shared" si="9"/>
        <v>0</v>
      </c>
      <c r="AG75" s="195">
        <f t="shared" si="9"/>
        <v>35395985</v>
      </c>
      <c r="AH75" s="195">
        <f t="shared" si="9"/>
        <v>0</v>
      </c>
      <c r="AI75" s="195">
        <f t="shared" si="9"/>
        <v>2128589</v>
      </c>
      <c r="AJ75" s="195">
        <f t="shared" si="9"/>
        <v>0</v>
      </c>
      <c r="AK75" s="195">
        <f t="shared" si="9"/>
        <v>883920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11217887.560000001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136451586.56</v>
      </c>
      <c r="CF75" s="251"/>
    </row>
    <row r="76" spans="1:84" ht="12.6" customHeight="1" x14ac:dyDescent="0.25">
      <c r="A76" s="171" t="s">
        <v>248</v>
      </c>
      <c r="B76" s="175"/>
      <c r="C76" s="184">
        <v>2200</v>
      </c>
      <c r="D76" s="184"/>
      <c r="E76" s="185">
        <v>9225</v>
      </c>
      <c r="F76" s="185"/>
      <c r="G76" s="184"/>
      <c r="H76" s="184"/>
      <c r="I76" s="185">
        <v>15588</v>
      </c>
      <c r="J76" s="185"/>
      <c r="K76" s="185"/>
      <c r="L76" s="185"/>
      <c r="M76" s="185"/>
      <c r="N76" s="185"/>
      <c r="O76" s="185"/>
      <c r="P76" s="185">
        <v>5422</v>
      </c>
      <c r="Q76" s="185">
        <v>600</v>
      </c>
      <c r="R76" s="185">
        <v>182</v>
      </c>
      <c r="S76" s="185"/>
      <c r="T76" s="185"/>
      <c r="U76" s="185">
        <v>1280</v>
      </c>
      <c r="V76" s="185"/>
      <c r="W76" s="185">
        <v>480</v>
      </c>
      <c r="X76" s="185">
        <v>405</v>
      </c>
      <c r="Y76" s="185">
        <v>2548</v>
      </c>
      <c r="Z76" s="185"/>
      <c r="AA76" s="185">
        <v>427</v>
      </c>
      <c r="AB76" s="185">
        <v>811</v>
      </c>
      <c r="AC76" s="185">
        <v>765</v>
      </c>
      <c r="AD76" s="185"/>
      <c r="AE76" s="185">
        <v>260</v>
      </c>
      <c r="AF76" s="185"/>
      <c r="AG76" s="185">
        <v>7800</v>
      </c>
      <c r="AH76" s="185"/>
      <c r="AI76" s="185">
        <v>600</v>
      </c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f>23821+930</f>
        <v>24751</v>
      </c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>
        <v>25896</v>
      </c>
      <c r="CD76" s="248" t="s">
        <v>221</v>
      </c>
      <c r="CE76" s="195">
        <f t="shared" si="8"/>
        <v>99240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2383</v>
      </c>
      <c r="D77" s="184"/>
      <c r="E77" s="184">
        <v>10506</v>
      </c>
      <c r="F77" s="184"/>
      <c r="G77" s="184"/>
      <c r="H77" s="184"/>
      <c r="I77" s="184">
        <f>14916+5511</f>
        <v>20427</v>
      </c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>
        <v>912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34228</v>
      </c>
      <c r="CF77" s="195">
        <f>AY59-CE77</f>
        <v>70456</v>
      </c>
    </row>
    <row r="78" spans="1:84" ht="12.6" customHeight="1" x14ac:dyDescent="0.25">
      <c r="A78" s="171" t="s">
        <v>250</v>
      </c>
      <c r="B78" s="175"/>
      <c r="C78" s="184">
        <v>1248</v>
      </c>
      <c r="D78" s="184"/>
      <c r="E78" s="184">
        <v>5235</v>
      </c>
      <c r="F78" s="184"/>
      <c r="G78" s="184"/>
      <c r="H78" s="184"/>
      <c r="I78" s="184">
        <v>8846</v>
      </c>
      <c r="J78" s="184"/>
      <c r="K78" s="184"/>
      <c r="L78" s="184"/>
      <c r="M78" s="184"/>
      <c r="N78" s="184"/>
      <c r="O78" s="184"/>
      <c r="P78" s="184">
        <v>3076</v>
      </c>
      <c r="Q78" s="184">
        <v>341</v>
      </c>
      <c r="R78" s="184">
        <v>103</v>
      </c>
      <c r="S78" s="184"/>
      <c r="T78" s="184"/>
      <c r="U78" s="184">
        <v>727</v>
      </c>
      <c r="V78" s="184"/>
      <c r="W78" s="184">
        <v>272</v>
      </c>
      <c r="X78" s="184">
        <v>228</v>
      </c>
      <c r="Y78" s="184">
        <v>1445</v>
      </c>
      <c r="Z78" s="184"/>
      <c r="AA78" s="184">
        <v>242</v>
      </c>
      <c r="AB78" s="184">
        <v>460</v>
      </c>
      <c r="AC78" s="184">
        <v>433</v>
      </c>
      <c r="AD78" s="184"/>
      <c r="AE78" s="184">
        <v>147</v>
      </c>
      <c r="AF78" s="184"/>
      <c r="AG78" s="184">
        <v>4426</v>
      </c>
      <c r="AH78" s="184"/>
      <c r="AI78" s="184">
        <v>341</v>
      </c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14054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41624</v>
      </c>
      <c r="CF78" s="195"/>
    </row>
    <row r="79" spans="1:84" ht="12.6" customHeight="1" x14ac:dyDescent="0.25">
      <c r="A79" s="171" t="s">
        <v>251</v>
      </c>
      <c r="B79" s="175"/>
      <c r="C79" s="225">
        <v>9927</v>
      </c>
      <c r="D79" s="225"/>
      <c r="E79" s="184">
        <v>69481</v>
      </c>
      <c r="F79" s="184"/>
      <c r="G79" s="184"/>
      <c r="H79" s="184"/>
      <c r="I79" s="184">
        <f>6912+3672</f>
        <v>10584</v>
      </c>
      <c r="J79" s="184"/>
      <c r="K79" s="184"/>
      <c r="L79" s="184"/>
      <c r="M79" s="184"/>
      <c r="N79" s="184"/>
      <c r="O79" s="184"/>
      <c r="P79" s="184">
        <v>39704</v>
      </c>
      <c r="Q79" s="184"/>
      <c r="R79" s="184"/>
      <c r="S79" s="184"/>
      <c r="T79" s="184"/>
      <c r="U79" s="184"/>
      <c r="V79" s="184"/>
      <c r="W79" s="184">
        <v>427</v>
      </c>
      <c r="X79" s="184"/>
      <c r="Y79" s="184"/>
      <c r="Z79" s="184"/>
      <c r="AA79" s="184"/>
      <c r="AB79" s="184"/>
      <c r="AC79" s="184"/>
      <c r="AD79" s="184"/>
      <c r="AE79" s="184">
        <f>6404+427</f>
        <v>6831</v>
      </c>
      <c r="AF79" s="184"/>
      <c r="AG79" s="184">
        <v>39704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40987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217645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6.67</v>
      </c>
      <c r="D80" s="187"/>
      <c r="E80" s="187">
        <v>22.09</v>
      </c>
      <c r="F80" s="187"/>
      <c r="G80" s="187"/>
      <c r="H80" s="187"/>
      <c r="I80" s="187">
        <v>11.01</v>
      </c>
      <c r="J80" s="187"/>
      <c r="K80" s="187"/>
      <c r="L80" s="187"/>
      <c r="M80" s="187"/>
      <c r="N80" s="187"/>
      <c r="O80" s="187"/>
      <c r="P80" s="187">
        <v>3.18</v>
      </c>
      <c r="Q80" s="187">
        <v>1.78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17.07</v>
      </c>
      <c r="AH80" s="187"/>
      <c r="AI80" s="187">
        <v>4.05</v>
      </c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2.15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68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1267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69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1278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84" t="s">
        <v>1277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1095</v>
      </c>
      <c r="D111" s="174">
        <f>3082+851</f>
        <v>3933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765</v>
      </c>
      <c r="D113" s="174">
        <v>6809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34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61</v>
      </c>
    </row>
    <row r="128" spans="1:5" ht="12.6" customHeight="1" x14ac:dyDescent="0.25">
      <c r="A128" s="173" t="s">
        <v>292</v>
      </c>
      <c r="B128" s="172" t="s">
        <v>256</v>
      </c>
      <c r="C128" s="189">
        <v>112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529</v>
      </c>
      <c r="C138" s="189">
        <v>210</v>
      </c>
      <c r="D138" s="174">
        <v>356</v>
      </c>
      <c r="E138" s="175">
        <f>SUM(B138:D138)</f>
        <v>1095</v>
      </c>
    </row>
    <row r="139" spans="1:6" ht="12.6" customHeight="1" x14ac:dyDescent="0.25">
      <c r="A139" s="173" t="s">
        <v>215</v>
      </c>
      <c r="B139" s="174">
        <v>2207</v>
      </c>
      <c r="C139" s="189">
        <v>949</v>
      </c>
      <c r="D139" s="174">
        <v>777</v>
      </c>
      <c r="E139" s="175">
        <f>SUM(B139:D139)</f>
        <v>3933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17055379</v>
      </c>
      <c r="C141" s="189">
        <v>6595731</v>
      </c>
      <c r="D141" s="174">
        <v>10517537</v>
      </c>
      <c r="E141" s="175">
        <f>SUM(B141:D141)</f>
        <v>34168647</v>
      </c>
      <c r="F141" s="199"/>
    </row>
    <row r="142" spans="1:6" ht="12.6" customHeight="1" x14ac:dyDescent="0.25">
      <c r="A142" s="173" t="s">
        <v>246</v>
      </c>
      <c r="B142" s="174">
        <v>28169408</v>
      </c>
      <c r="C142" s="189">
        <v>23827505</v>
      </c>
      <c r="D142" s="174">
        <v>43828765</v>
      </c>
      <c r="E142" s="175">
        <f>SUM(B142:D142)</f>
        <v>95825678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18</v>
      </c>
      <c r="C150" s="189">
        <v>50</v>
      </c>
      <c r="D150" s="174">
        <v>697</v>
      </c>
      <c r="E150" s="175">
        <f>SUM(B150:D150)</f>
        <v>765</v>
      </c>
    </row>
    <row r="151" spans="1:5" ht="12.6" customHeight="1" x14ac:dyDescent="0.25">
      <c r="A151" s="173" t="s">
        <v>215</v>
      </c>
      <c r="B151" s="174">
        <v>198</v>
      </c>
      <c r="C151" s="189">
        <v>649</v>
      </c>
      <c r="D151" s="174">
        <v>5962</v>
      </c>
      <c r="E151" s="175">
        <f>SUM(B151:D151)</f>
        <v>6809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>
        <v>167285</v>
      </c>
      <c r="C153" s="189">
        <v>978675</v>
      </c>
      <c r="D153" s="174">
        <v>4794425</v>
      </c>
      <c r="E153" s="175">
        <f>SUM(B153:D153)</f>
        <v>5940385</v>
      </c>
    </row>
    <row r="154" spans="1:5" ht="12.6" customHeight="1" x14ac:dyDescent="0.25">
      <c r="A154" s="173" t="s">
        <v>246</v>
      </c>
      <c r="B154" s="174">
        <v>17508</v>
      </c>
      <c r="C154" s="189">
        <v>0</v>
      </c>
      <c r="D154" s="174">
        <v>499366</v>
      </c>
      <c r="E154" s="175">
        <f>SUM(B154:D154)</f>
        <v>516874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3123715</v>
      </c>
      <c r="C157" s="174">
        <v>851491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1551753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8709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255831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60510+602721</f>
        <v>663231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11728+240493+6296+5439+2475079</f>
        <v>2739035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5218559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f>450189+21904+41590+37569+37569+73575+73160</f>
        <v>735556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1067943-C175</f>
        <v>332387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1067943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178075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120539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298614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38641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38641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26796+24042+917541</f>
        <v>968379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968379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1878610</v>
      </c>
      <c r="C195" s="189">
        <v>0</v>
      </c>
      <c r="D195" s="174">
        <v>0</v>
      </c>
      <c r="E195" s="175">
        <f t="shared" ref="E195:E203" si="10">SUM(B195:C195)-D195</f>
        <v>1878610</v>
      </c>
    </row>
    <row r="196" spans="1:8" ht="12.6" customHeight="1" x14ac:dyDescent="0.25">
      <c r="A196" s="173" t="s">
        <v>333</v>
      </c>
      <c r="B196" s="174">
        <v>1145661</v>
      </c>
      <c r="C196" s="189">
        <v>0</v>
      </c>
      <c r="D196" s="174">
        <v>0</v>
      </c>
      <c r="E196" s="175">
        <f t="shared" si="10"/>
        <v>1145661</v>
      </c>
    </row>
    <row r="197" spans="1:8" ht="12.6" customHeight="1" x14ac:dyDescent="0.25">
      <c r="A197" s="173" t="s">
        <v>334</v>
      </c>
      <c r="B197" s="174">
        <v>23222653</v>
      </c>
      <c r="C197" s="189">
        <v>559203</v>
      </c>
      <c r="D197" s="174">
        <v>0</v>
      </c>
      <c r="E197" s="175">
        <f t="shared" si="10"/>
        <v>23781856</v>
      </c>
    </row>
    <row r="198" spans="1:8" ht="12.6" customHeight="1" x14ac:dyDescent="0.25">
      <c r="A198" s="173" t="s">
        <v>335</v>
      </c>
      <c r="B198" s="174">
        <v>2474840</v>
      </c>
      <c r="C198" s="189">
        <v>126362</v>
      </c>
      <c r="D198" s="174">
        <v>0</v>
      </c>
      <c r="E198" s="175">
        <f t="shared" si="10"/>
        <v>2601202</v>
      </c>
    </row>
    <row r="199" spans="1:8" ht="12.6" customHeight="1" x14ac:dyDescent="0.25">
      <c r="A199" s="173" t="s">
        <v>336</v>
      </c>
      <c r="B199" s="174">
        <v>24382</v>
      </c>
      <c r="C199" s="189">
        <v>0</v>
      </c>
      <c r="D199" s="174">
        <v>0</v>
      </c>
      <c r="E199" s="175">
        <f t="shared" si="10"/>
        <v>24382</v>
      </c>
    </row>
    <row r="200" spans="1:8" ht="12.6" customHeight="1" x14ac:dyDescent="0.25">
      <c r="A200" s="173" t="s">
        <v>337</v>
      </c>
      <c r="B200" s="174">
        <v>18069327</v>
      </c>
      <c r="C200" s="189">
        <v>511978</v>
      </c>
      <c r="D200" s="174"/>
      <c r="E200" s="175">
        <f t="shared" si="10"/>
        <v>18581305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3051542</v>
      </c>
      <c r="C202" s="189">
        <v>46708</v>
      </c>
      <c r="D202" s="174"/>
      <c r="E202" s="175">
        <f t="shared" si="10"/>
        <v>3098250</v>
      </c>
    </row>
    <row r="203" spans="1:8" ht="12.6" customHeight="1" x14ac:dyDescent="0.25">
      <c r="A203" s="173" t="s">
        <v>340</v>
      </c>
      <c r="B203" s="174">
        <v>880167</v>
      </c>
      <c r="C203" s="189">
        <v>462136</v>
      </c>
      <c r="D203" s="174">
        <v>927889</v>
      </c>
      <c r="E203" s="175">
        <f t="shared" si="10"/>
        <v>414414</v>
      </c>
    </row>
    <row r="204" spans="1:8" ht="12.6" customHeight="1" x14ac:dyDescent="0.25">
      <c r="A204" s="173" t="s">
        <v>203</v>
      </c>
      <c r="B204" s="175">
        <f>SUM(B195:B203)</f>
        <v>50747182</v>
      </c>
      <c r="C204" s="191">
        <f>SUM(C195:C203)</f>
        <v>1706387</v>
      </c>
      <c r="D204" s="175">
        <f>SUM(D195:D203)</f>
        <v>927889</v>
      </c>
      <c r="E204" s="175">
        <f>SUM(E195:E203)</f>
        <v>51525680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766271</v>
      </c>
      <c r="C209" s="189">
        <v>55215</v>
      </c>
      <c r="D209" s="174"/>
      <c r="E209" s="175">
        <f t="shared" ref="E209:E216" si="11">SUM(B209:C209)-D209</f>
        <v>821486</v>
      </c>
      <c r="H209" s="258"/>
    </row>
    <row r="210" spans="1:8" ht="12.6" customHeight="1" x14ac:dyDescent="0.25">
      <c r="A210" s="173" t="s">
        <v>334</v>
      </c>
      <c r="B210" s="174">
        <f>1496144+15525281</f>
        <v>17021425</v>
      </c>
      <c r="C210" s="189">
        <f>21374+683366+17028</f>
        <v>721768</v>
      </c>
      <c r="D210" s="174"/>
      <c r="E210" s="175">
        <f t="shared" si="11"/>
        <v>17743193</v>
      </c>
      <c r="H210" s="258"/>
    </row>
    <row r="211" spans="1:8" ht="12.6" customHeight="1" x14ac:dyDescent="0.25">
      <c r="A211" s="173" t="s">
        <v>335</v>
      </c>
      <c r="B211" s="174">
        <v>1317938</v>
      </c>
      <c r="C211" s="189">
        <f>8313+45320</f>
        <v>53633</v>
      </c>
      <c r="D211" s="174"/>
      <c r="E211" s="175">
        <f t="shared" si="11"/>
        <v>1371571</v>
      </c>
      <c r="H211" s="258"/>
    </row>
    <row r="212" spans="1:8" ht="12.6" customHeight="1" x14ac:dyDescent="0.25">
      <c r="A212" s="173" t="s">
        <v>336</v>
      </c>
      <c r="B212" s="174">
        <v>925843</v>
      </c>
      <c r="C212" s="189">
        <v>40894</v>
      </c>
      <c r="D212" s="174"/>
      <c r="E212" s="175">
        <f t="shared" si="11"/>
        <v>966737</v>
      </c>
      <c r="H212" s="258"/>
    </row>
    <row r="213" spans="1:8" ht="12.6" customHeight="1" x14ac:dyDescent="0.25">
      <c r="A213" s="173" t="s">
        <v>337</v>
      </c>
      <c r="B213" s="174">
        <f>-1733011+16288686</f>
        <v>14555675</v>
      </c>
      <c r="C213" s="189">
        <f>58912+796462+84934</f>
        <v>940308</v>
      </c>
      <c r="D213" s="174"/>
      <c r="E213" s="175">
        <f t="shared" si="11"/>
        <v>15495983</v>
      </c>
      <c r="H213" s="258"/>
    </row>
    <row r="214" spans="1:8" ht="12.6" customHeight="1" x14ac:dyDescent="0.25">
      <c r="A214" s="173" t="s">
        <v>338</v>
      </c>
      <c r="B214" s="174">
        <f>7629+15282</f>
        <v>22911</v>
      </c>
      <c r="C214" s="189">
        <v>1471</v>
      </c>
      <c r="D214" s="174"/>
      <c r="E214" s="175">
        <f t="shared" si="11"/>
        <v>24382</v>
      </c>
      <c r="H214" s="258"/>
    </row>
    <row r="215" spans="1:8" ht="12.6" customHeight="1" x14ac:dyDescent="0.25">
      <c r="A215" s="173" t="s">
        <v>339</v>
      </c>
      <c r="B215" s="174">
        <v>1884091</v>
      </c>
      <c r="C215" s="189">
        <f>3123+137180</f>
        <v>140303</v>
      </c>
      <c r="D215" s="174"/>
      <c r="E215" s="175">
        <f t="shared" si="11"/>
        <v>2024394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36494154</v>
      </c>
      <c r="C217" s="191">
        <f>SUM(C208:C216)</f>
        <v>1953592</v>
      </c>
      <c r="D217" s="175">
        <f>SUM(D208:D216)</f>
        <v>0</v>
      </c>
      <c r="E217" s="175">
        <f>SUM(E208:E216)</f>
        <v>38447746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4790431</v>
      </c>
      <c r="D221" s="172">
        <f>C221</f>
        <v>4790431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31154093.920000002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26440222.760000002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1884645.28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1871736.11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22834629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84185327.070000008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797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146683.13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438410.63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585093.76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681689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156153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837842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90398693.830000013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4779198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18021038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11643314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60876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197726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1125006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353223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12893753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163320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163320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1878609.67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1145662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23781855.920000002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2601201.9900000002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18602634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3098250.39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414416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51522629.970000006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38444696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13077933.970000006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364924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364924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26499930.970000006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674685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2173989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2457635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75467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1290861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242209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6914846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f>20195988-C325-C326</f>
        <v>12794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16925000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3258194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6082811</f>
        <v>6082811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26278799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26278799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-4534546+253254-2589062+176640</f>
        <v>-6693714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26499931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26499930.970000006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40109032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96342552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136451584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4790430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84185327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585094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156153+681689</f>
        <v>837842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90398693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46052891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2261145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2261145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48314036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19331048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8624276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5630701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6030569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610505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4298727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1953591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1067943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178075+120539</f>
        <v>298614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38641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26796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1975721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49887132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-1573096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4736049-1007509</f>
        <v>3728540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2155444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249000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2404444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EvergreenHealth Monroe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1095</v>
      </c>
      <c r="C414" s="194">
        <f>E138</f>
        <v>1095</v>
      </c>
      <c r="D414" s="179"/>
    </row>
    <row r="415" spans="1:5" ht="12.6" customHeight="1" x14ac:dyDescent="0.25">
      <c r="A415" s="179" t="s">
        <v>464</v>
      </c>
      <c r="B415" s="179">
        <f>D111</f>
        <v>3933</v>
      </c>
      <c r="C415" s="179">
        <f>E139</f>
        <v>3933</v>
      </c>
      <c r="D415" s="194">
        <f>SUM(C59:H59)+N59</f>
        <v>4513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765</v>
      </c>
      <c r="C420" s="179">
        <f>E150</f>
        <v>765</v>
      </c>
      <c r="D420" s="179"/>
    </row>
    <row r="421" spans="1:7" ht="12.6" customHeight="1" x14ac:dyDescent="0.25">
      <c r="A421" s="179" t="s">
        <v>468</v>
      </c>
      <c r="B421" s="179">
        <f>D113</f>
        <v>6809</v>
      </c>
      <c r="C421" s="179">
        <f>E151</f>
        <v>6809</v>
      </c>
      <c r="D421" s="179">
        <f>I59</f>
        <v>6809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19331048</v>
      </c>
      <c r="C427" s="179">
        <f t="shared" ref="C427:C434" si="13">CE61</f>
        <v>23726188</v>
      </c>
      <c r="D427" s="179"/>
    </row>
    <row r="428" spans="1:7" ht="12.6" customHeight="1" x14ac:dyDescent="0.25">
      <c r="A428" s="179" t="s">
        <v>3</v>
      </c>
      <c r="B428" s="179">
        <f t="shared" si="12"/>
        <v>8624276</v>
      </c>
      <c r="C428" s="179">
        <f t="shared" si="13"/>
        <v>5230059</v>
      </c>
      <c r="D428" s="179">
        <f>D173</f>
        <v>5218559</v>
      </c>
    </row>
    <row r="429" spans="1:7" ht="12.6" customHeight="1" x14ac:dyDescent="0.25">
      <c r="A429" s="179" t="s">
        <v>236</v>
      </c>
      <c r="B429" s="179">
        <f t="shared" si="12"/>
        <v>5630701</v>
      </c>
      <c r="C429" s="179">
        <f t="shared" si="13"/>
        <v>4035046</v>
      </c>
      <c r="D429" s="179"/>
    </row>
    <row r="430" spans="1:7" ht="12.6" customHeight="1" x14ac:dyDescent="0.25">
      <c r="A430" s="179" t="s">
        <v>237</v>
      </c>
      <c r="B430" s="179">
        <f t="shared" si="12"/>
        <v>6030569</v>
      </c>
      <c r="C430" s="179">
        <f t="shared" si="13"/>
        <v>6030616</v>
      </c>
      <c r="D430" s="179"/>
    </row>
    <row r="431" spans="1:7" ht="12.6" customHeight="1" x14ac:dyDescent="0.25">
      <c r="A431" s="179" t="s">
        <v>444</v>
      </c>
      <c r="B431" s="179">
        <f t="shared" si="12"/>
        <v>610505</v>
      </c>
      <c r="C431" s="179">
        <f t="shared" si="13"/>
        <v>610504</v>
      </c>
      <c r="D431" s="179"/>
    </row>
    <row r="432" spans="1:7" ht="12.6" customHeight="1" x14ac:dyDescent="0.25">
      <c r="A432" s="179" t="s">
        <v>445</v>
      </c>
      <c r="B432" s="179">
        <f t="shared" si="12"/>
        <v>4298727</v>
      </c>
      <c r="C432" s="179">
        <f t="shared" si="13"/>
        <v>5423070.9699999997</v>
      </c>
      <c r="D432" s="179"/>
    </row>
    <row r="433" spans="1:7" ht="12.6" customHeight="1" x14ac:dyDescent="0.25">
      <c r="A433" s="179" t="s">
        <v>6</v>
      </c>
      <c r="B433" s="179">
        <f t="shared" si="12"/>
        <v>1953591</v>
      </c>
      <c r="C433" s="179">
        <f t="shared" si="13"/>
        <v>1953590</v>
      </c>
      <c r="D433" s="179">
        <f>C217</f>
        <v>1953592</v>
      </c>
    </row>
    <row r="434" spans="1:7" ht="12.6" customHeight="1" x14ac:dyDescent="0.25">
      <c r="A434" s="179" t="s">
        <v>474</v>
      </c>
      <c r="B434" s="179">
        <f t="shared" si="12"/>
        <v>1067943</v>
      </c>
      <c r="C434" s="179">
        <f t="shared" si="13"/>
        <v>1067941</v>
      </c>
      <c r="D434" s="179">
        <f>D177</f>
        <v>1067943</v>
      </c>
    </row>
    <row r="435" spans="1:7" ht="12.6" customHeight="1" x14ac:dyDescent="0.25">
      <c r="A435" s="179" t="s">
        <v>447</v>
      </c>
      <c r="B435" s="179">
        <f t="shared" si="12"/>
        <v>298614</v>
      </c>
      <c r="C435" s="179"/>
      <c r="D435" s="179">
        <f>D181</f>
        <v>298614</v>
      </c>
    </row>
    <row r="436" spans="1:7" ht="12.6" customHeight="1" x14ac:dyDescent="0.25">
      <c r="A436" s="179" t="s">
        <v>475</v>
      </c>
      <c r="B436" s="179">
        <f t="shared" si="12"/>
        <v>38641</v>
      </c>
      <c r="C436" s="179"/>
      <c r="D436" s="179">
        <f>D186</f>
        <v>38641</v>
      </c>
    </row>
    <row r="437" spans="1:7" ht="12.6" customHeight="1" x14ac:dyDescent="0.25">
      <c r="A437" s="194" t="s">
        <v>449</v>
      </c>
      <c r="B437" s="194">
        <f t="shared" si="12"/>
        <v>26796</v>
      </c>
      <c r="C437" s="194"/>
      <c r="D437" s="194">
        <f>D190</f>
        <v>968379</v>
      </c>
    </row>
    <row r="438" spans="1:7" ht="12.6" customHeight="1" x14ac:dyDescent="0.25">
      <c r="A438" s="194" t="s">
        <v>476</v>
      </c>
      <c r="B438" s="194">
        <f>C386+C387+C388</f>
        <v>364051</v>
      </c>
      <c r="C438" s="194">
        <f>CD69</f>
        <v>1302327</v>
      </c>
      <c r="D438" s="194">
        <f>D181+D186+D190</f>
        <v>1305634</v>
      </c>
    </row>
    <row r="439" spans="1:7" ht="12.6" customHeight="1" x14ac:dyDescent="0.25">
      <c r="A439" s="179" t="s">
        <v>451</v>
      </c>
      <c r="B439" s="194">
        <f>C389</f>
        <v>1975721</v>
      </c>
      <c r="C439" s="194">
        <f>SUM(C69:CC69)</f>
        <v>507790</v>
      </c>
      <c r="D439" s="179"/>
    </row>
    <row r="440" spans="1:7" ht="12.6" customHeight="1" x14ac:dyDescent="0.25">
      <c r="A440" s="179" t="s">
        <v>477</v>
      </c>
      <c r="B440" s="194">
        <f>B438+B439</f>
        <v>2339772</v>
      </c>
      <c r="C440" s="194">
        <f>CE69</f>
        <v>1810117</v>
      </c>
      <c r="D440" s="179"/>
    </row>
    <row r="441" spans="1:7" ht="12.6" customHeight="1" x14ac:dyDescent="0.25">
      <c r="A441" s="179" t="s">
        <v>478</v>
      </c>
      <c r="B441" s="179">
        <f>D390</f>
        <v>49887132</v>
      </c>
      <c r="C441" s="179">
        <f>SUM(C427:C437)+C440</f>
        <v>49887131.969999999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4790431</v>
      </c>
      <c r="C444" s="179">
        <f>C363</f>
        <v>4790430</v>
      </c>
      <c r="D444" s="179"/>
    </row>
    <row r="445" spans="1:7" ht="12.6" customHeight="1" x14ac:dyDescent="0.25">
      <c r="A445" s="179" t="s">
        <v>343</v>
      </c>
      <c r="B445" s="179">
        <f>D229</f>
        <v>84185327.070000008</v>
      </c>
      <c r="C445" s="179">
        <f>C364</f>
        <v>84185327</v>
      </c>
      <c r="D445" s="179"/>
    </row>
    <row r="446" spans="1:7" ht="12.6" customHeight="1" x14ac:dyDescent="0.25">
      <c r="A446" s="179" t="s">
        <v>351</v>
      </c>
      <c r="B446" s="179">
        <f>D236</f>
        <v>585093.76</v>
      </c>
      <c r="C446" s="179">
        <f>C365</f>
        <v>585094</v>
      </c>
      <c r="D446" s="179"/>
    </row>
    <row r="447" spans="1:7" ht="12.6" customHeight="1" x14ac:dyDescent="0.25">
      <c r="A447" s="179" t="s">
        <v>356</v>
      </c>
      <c r="B447" s="179">
        <f>D240</f>
        <v>837842</v>
      </c>
      <c r="C447" s="179">
        <f>C366</f>
        <v>837842</v>
      </c>
      <c r="D447" s="179"/>
    </row>
    <row r="448" spans="1:7" ht="12.6" customHeight="1" x14ac:dyDescent="0.25">
      <c r="A448" s="179" t="s">
        <v>358</v>
      </c>
      <c r="B448" s="179">
        <f>D242</f>
        <v>90398693.830000013</v>
      </c>
      <c r="C448" s="179">
        <f>D367</f>
        <v>90398693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797</v>
      </c>
    </row>
    <row r="454" spans="1:7" ht="12.6" customHeight="1" x14ac:dyDescent="0.25">
      <c r="A454" s="179" t="s">
        <v>168</v>
      </c>
      <c r="B454" s="179">
        <f>C233</f>
        <v>146683.13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438410.63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2261145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4736049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40109032</v>
      </c>
      <c r="C463" s="194">
        <f>CE73</f>
        <v>40109032.560000002</v>
      </c>
      <c r="D463" s="194">
        <f>E141+E147+E153</f>
        <v>40109032</v>
      </c>
    </row>
    <row r="464" spans="1:7" ht="12.6" customHeight="1" x14ac:dyDescent="0.25">
      <c r="A464" s="179" t="s">
        <v>246</v>
      </c>
      <c r="B464" s="194">
        <f>C360</f>
        <v>96342552</v>
      </c>
      <c r="C464" s="194">
        <f>CE74</f>
        <v>96342554</v>
      </c>
      <c r="D464" s="194">
        <f>E142+E148+E154</f>
        <v>96342552</v>
      </c>
    </row>
    <row r="465" spans="1:7" ht="12.6" customHeight="1" x14ac:dyDescent="0.25">
      <c r="A465" s="179" t="s">
        <v>247</v>
      </c>
      <c r="B465" s="194">
        <f>D361</f>
        <v>136451584</v>
      </c>
      <c r="C465" s="194">
        <f>CE75</f>
        <v>136451586.56</v>
      </c>
      <c r="D465" s="194">
        <f>D463+D464</f>
        <v>136451584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1878609.67</v>
      </c>
      <c r="C468" s="179">
        <f>E195</f>
        <v>1878610</v>
      </c>
      <c r="D468" s="179"/>
    </row>
    <row r="469" spans="1:7" ht="12.6" customHeight="1" x14ac:dyDescent="0.25">
      <c r="A469" s="179" t="s">
        <v>333</v>
      </c>
      <c r="B469" s="179">
        <f t="shared" si="14"/>
        <v>1145662</v>
      </c>
      <c r="C469" s="179">
        <f>E196</f>
        <v>1145661</v>
      </c>
      <c r="D469" s="179"/>
    </row>
    <row r="470" spans="1:7" ht="12.6" customHeight="1" x14ac:dyDescent="0.25">
      <c r="A470" s="179" t="s">
        <v>334</v>
      </c>
      <c r="B470" s="179">
        <f t="shared" si="14"/>
        <v>23781855.920000002</v>
      </c>
      <c r="C470" s="179">
        <f>E197</f>
        <v>23781856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2601202</v>
      </c>
      <c r="D471" s="179"/>
    </row>
    <row r="472" spans="1:7" ht="12.6" customHeight="1" x14ac:dyDescent="0.25">
      <c r="A472" s="179" t="s">
        <v>377</v>
      </c>
      <c r="B472" s="179">
        <f t="shared" si="14"/>
        <v>2601201.9900000002</v>
      </c>
      <c r="C472" s="179">
        <f>E199</f>
        <v>24382</v>
      </c>
      <c r="D472" s="179"/>
    </row>
    <row r="473" spans="1:7" ht="12.6" customHeight="1" x14ac:dyDescent="0.25">
      <c r="A473" s="179" t="s">
        <v>495</v>
      </c>
      <c r="B473" s="179">
        <f t="shared" si="14"/>
        <v>18602634</v>
      </c>
      <c r="C473" s="179">
        <f>SUM(E200:E201)</f>
        <v>18581305</v>
      </c>
      <c r="D473" s="179"/>
    </row>
    <row r="474" spans="1:7" ht="12.6" customHeight="1" x14ac:dyDescent="0.25">
      <c r="A474" s="179" t="s">
        <v>339</v>
      </c>
      <c r="B474" s="179">
        <f t="shared" si="14"/>
        <v>3098250.39</v>
      </c>
      <c r="C474" s="179">
        <f>E202</f>
        <v>3098250</v>
      </c>
      <c r="D474" s="179"/>
    </row>
    <row r="475" spans="1:7" ht="12.6" customHeight="1" x14ac:dyDescent="0.25">
      <c r="A475" s="179" t="s">
        <v>340</v>
      </c>
      <c r="B475" s="179">
        <f t="shared" si="14"/>
        <v>414416</v>
      </c>
      <c r="C475" s="179">
        <f>E203</f>
        <v>414414</v>
      </c>
      <c r="D475" s="179"/>
    </row>
    <row r="476" spans="1:7" ht="12.6" customHeight="1" x14ac:dyDescent="0.25">
      <c r="A476" s="179" t="s">
        <v>203</v>
      </c>
      <c r="B476" s="179">
        <f>D275</f>
        <v>51522629.970000006</v>
      </c>
      <c r="C476" s="179">
        <f>E204</f>
        <v>51525680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38444696</v>
      </c>
      <c r="C478" s="179">
        <f>E217</f>
        <v>38447746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26499930.970000006</v>
      </c>
    </row>
    <row r="482" spans="1:12" ht="12.6" customHeight="1" x14ac:dyDescent="0.25">
      <c r="A482" s="180" t="s">
        <v>499</v>
      </c>
      <c r="C482" s="180">
        <f>D339</f>
        <v>26499931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104</v>
      </c>
      <c r="B493" s="260" t="str">
        <f>RIGHT('Prior Year'!C82,4)</f>
        <v>2017</v>
      </c>
      <c r="C493" s="260" t="str">
        <f>RIGHT(C82,4)</f>
        <v>2018</v>
      </c>
      <c r="D493" s="260" t="str">
        <f>RIGHT('Prior Year'!C82,4)</f>
        <v>2017</v>
      </c>
      <c r="E493" s="260" t="str">
        <f>RIGHT(C82,4)</f>
        <v>2018</v>
      </c>
      <c r="F493" s="260" t="str">
        <f>RIGHT('Prior Year'!C82,4)</f>
        <v>2017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1064252</v>
      </c>
      <c r="C496" s="239">
        <f>C71</f>
        <v>1492604</v>
      </c>
      <c r="D496" s="239">
        <f>'Prior Year'!C59</f>
        <v>884</v>
      </c>
      <c r="E496" s="180">
        <f>C59</f>
        <v>851</v>
      </c>
      <c r="F496" s="262">
        <f t="shared" ref="F496:G511" si="15">IF(B496=0,"",IF(D496=0,"",B496/D496))</f>
        <v>1203.9049773755655</v>
      </c>
      <c r="G496" s="263">
        <f t="shared" si="15"/>
        <v>1753.9412455934196</v>
      </c>
      <c r="H496" s="264">
        <f>IF(B496=0,"",IF(C496=0,"",IF(D496=0,"",IF(E496=0,"",IF(G496/F496-1&lt;-0.25,G496/F496-1,IF(G496/F496-1&gt;0.25,G496/F496-1,""))))))</f>
        <v>0.45687681216909448</v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3032678</v>
      </c>
      <c r="C498" s="239">
        <f>E71</f>
        <v>3251607</v>
      </c>
      <c r="D498" s="239">
        <f>'Prior Year'!E59</f>
        <v>3743</v>
      </c>
      <c r="E498" s="180">
        <f>E59</f>
        <v>3662</v>
      </c>
      <c r="F498" s="262">
        <f t="shared" si="15"/>
        <v>810.22655623831156</v>
      </c>
      <c r="G498" s="262">
        <f t="shared" si="15"/>
        <v>887.93200436919722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3620527</v>
      </c>
      <c r="C502" s="239">
        <f>I71</f>
        <v>3898285</v>
      </c>
      <c r="D502" s="239">
        <f>'Prior Year'!I59</f>
        <v>6328</v>
      </c>
      <c r="E502" s="180">
        <f>I59</f>
        <v>6809</v>
      </c>
      <c r="F502" s="262">
        <f t="shared" si="15"/>
        <v>572.14396333754746</v>
      </c>
      <c r="G502" s="262">
        <f t="shared" si="15"/>
        <v>572.51945953884569</v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1548612</v>
      </c>
      <c r="C509" s="239">
        <f>P71</f>
        <v>1924322</v>
      </c>
      <c r="D509" s="239">
        <f>'Prior Year'!P59</f>
        <v>80829</v>
      </c>
      <c r="E509" s="180">
        <f>P59</f>
        <v>97300</v>
      </c>
      <c r="F509" s="262">
        <f t="shared" si="15"/>
        <v>19.159113684444939</v>
      </c>
      <c r="G509" s="262">
        <f t="shared" si="15"/>
        <v>19.777204522096607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401117</v>
      </c>
      <c r="C510" s="239">
        <f>Q71</f>
        <v>469018</v>
      </c>
      <c r="D510" s="239">
        <f>'Prior Year'!Q59</f>
        <v>96424</v>
      </c>
      <c r="E510" s="180">
        <f>Q59</f>
        <v>109332</v>
      </c>
      <c r="F510" s="262">
        <f t="shared" si="15"/>
        <v>4.1599290633037418</v>
      </c>
      <c r="G510" s="262">
        <f t="shared" si="15"/>
        <v>4.2898510957450702</v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511798</v>
      </c>
      <c r="C511" s="239">
        <f>R71</f>
        <v>446906</v>
      </c>
      <c r="D511" s="239">
        <f>'Prior Year'!R59</f>
        <v>80829</v>
      </c>
      <c r="E511" s="180">
        <f>R59</f>
        <v>97300</v>
      </c>
      <c r="F511" s="262">
        <f t="shared" si="15"/>
        <v>6.3318610894604657</v>
      </c>
      <c r="G511" s="262">
        <f t="shared" si="15"/>
        <v>4.5930729701952719</v>
      </c>
      <c r="H511" s="264">
        <f t="shared" si="16"/>
        <v>-0.27460932807882477</v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1797310.89</v>
      </c>
      <c r="C512" s="239">
        <f>S71</f>
        <v>2536535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2235566</v>
      </c>
      <c r="C514" s="239">
        <f>U71</f>
        <v>2478245</v>
      </c>
      <c r="D514" s="239">
        <f>'Prior Year'!U59</f>
        <v>87223</v>
      </c>
      <c r="E514" s="180">
        <f>U59</f>
        <v>147583</v>
      </c>
      <c r="F514" s="262">
        <f t="shared" si="17"/>
        <v>25.630464441718352</v>
      </c>
      <c r="G514" s="262">
        <f t="shared" si="17"/>
        <v>16.792211840117087</v>
      </c>
      <c r="H514" s="264">
        <f t="shared" si="16"/>
        <v>-0.34483388397813675</v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0</v>
      </c>
      <c r="C515" s="239">
        <f>V71</f>
        <v>0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523907</v>
      </c>
      <c r="C516" s="239">
        <f>W71</f>
        <v>488116</v>
      </c>
      <c r="D516" s="239">
        <f>'Prior Year'!W59</f>
        <v>933</v>
      </c>
      <c r="E516" s="180">
        <f>W59</f>
        <v>1200</v>
      </c>
      <c r="F516" s="262">
        <f t="shared" si="17"/>
        <v>561.52947481243302</v>
      </c>
      <c r="G516" s="262">
        <f t="shared" si="17"/>
        <v>406.76333333333332</v>
      </c>
      <c r="H516" s="264">
        <f t="shared" si="16"/>
        <v>-0.27561534776210284</v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909759</v>
      </c>
      <c r="C517" s="239">
        <f>X71</f>
        <v>915610</v>
      </c>
      <c r="D517" s="239">
        <f>'Prior Year'!X59</f>
        <v>4339</v>
      </c>
      <c r="E517" s="180">
        <f>X59</f>
        <v>5595</v>
      </c>
      <c r="F517" s="262">
        <f t="shared" si="17"/>
        <v>209.67020050702928</v>
      </c>
      <c r="G517" s="262">
        <f t="shared" si="17"/>
        <v>163.64789991063449</v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501925.4</v>
      </c>
      <c r="C518" s="239">
        <f>Y71</f>
        <v>438999</v>
      </c>
      <c r="D518" s="239">
        <f>'Prior Year'!Y59</f>
        <v>8117</v>
      </c>
      <c r="E518" s="180">
        <f>Y59</f>
        <v>9582</v>
      </c>
      <c r="F518" s="262">
        <f t="shared" si="17"/>
        <v>61.836318837008747</v>
      </c>
      <c r="G518" s="262">
        <f t="shared" si="17"/>
        <v>45.814965560425797</v>
      </c>
      <c r="H518" s="264">
        <f t="shared" si="16"/>
        <v>-0.25909293402171674</v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174468</v>
      </c>
      <c r="C520" s="239">
        <f>AA71</f>
        <v>147443</v>
      </c>
      <c r="D520" s="239">
        <f>'Prior Year'!AA59</f>
        <v>101</v>
      </c>
      <c r="E520" s="180">
        <f>AA59</f>
        <v>93</v>
      </c>
      <c r="F520" s="262">
        <f t="shared" si="17"/>
        <v>1727.4059405940593</v>
      </c>
      <c r="G520" s="262">
        <f t="shared" si="17"/>
        <v>1585.4086021505377</v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2545392</v>
      </c>
      <c r="C521" s="239">
        <f>AB71</f>
        <v>2230179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531667</v>
      </c>
      <c r="C522" s="239">
        <f>AC71</f>
        <v>590468</v>
      </c>
      <c r="D522" s="239">
        <f>'Prior Year'!AC59</f>
        <v>5787</v>
      </c>
      <c r="E522" s="180">
        <f>AC59</f>
        <v>5192</v>
      </c>
      <c r="F522" s="262">
        <f t="shared" si="17"/>
        <v>91.872645584931746</v>
      </c>
      <c r="G522" s="262">
        <f t="shared" si="17"/>
        <v>113.72650231124807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650048</v>
      </c>
      <c r="C524" s="239">
        <f>AE71</f>
        <v>578856</v>
      </c>
      <c r="D524" s="239">
        <f>'Prior Year'!AE59</f>
        <v>15380</v>
      </c>
      <c r="E524" s="180">
        <f>AE59</f>
        <v>45666</v>
      </c>
      <c r="F524" s="262">
        <f t="shared" si="17"/>
        <v>42.265799739921974</v>
      </c>
      <c r="G524" s="262">
        <f t="shared" si="17"/>
        <v>12.675863881224544</v>
      </c>
      <c r="H524" s="264">
        <f t="shared" si="16"/>
        <v>-0.70009170631517437</v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4537330</v>
      </c>
      <c r="C526" s="239">
        <f>AG71</f>
        <v>4695431</v>
      </c>
      <c r="D526" s="239">
        <f>'Prior Year'!AG59</f>
        <v>15996</v>
      </c>
      <c r="E526" s="180">
        <f>AG59</f>
        <v>15951</v>
      </c>
      <c r="F526" s="262">
        <f t="shared" si="17"/>
        <v>283.65403850962741</v>
      </c>
      <c r="G526" s="262">
        <f t="shared" si="17"/>
        <v>294.36593317033413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135149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654200</v>
      </c>
      <c r="C528" s="239">
        <f>AI71</f>
        <v>788495</v>
      </c>
      <c r="D528" s="239">
        <f>'Prior Year'!AI59</f>
        <v>1013</v>
      </c>
      <c r="E528" s="180">
        <f>AI59</f>
        <v>912</v>
      </c>
      <c r="F528" s="262">
        <f t="shared" ref="F528:G540" si="18">IF(B528=0,"",IF(D528=0,"",B528/D528))</f>
        <v>645.80454096742346</v>
      </c>
      <c r="G528" s="262">
        <f t="shared" si="18"/>
        <v>864.57785087719299</v>
      </c>
      <c r="H528" s="264">
        <f t="shared" si="16"/>
        <v>0.33876087272790656</v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0</v>
      </c>
      <c r="C529" s="239">
        <f>AJ71</f>
        <v>0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186246</v>
      </c>
      <c r="C530" s="239">
        <f>AK71</f>
        <v>189783</v>
      </c>
      <c r="D530" s="239">
        <f>'Prior Year'!AK59</f>
        <v>4598</v>
      </c>
      <c r="E530" s="180">
        <f>AK59</f>
        <v>8439</v>
      </c>
      <c r="F530" s="262">
        <f t="shared" si="18"/>
        <v>40.505872118312311</v>
      </c>
      <c r="G530" s="262">
        <f t="shared" si="18"/>
        <v>22.488801990757199</v>
      </c>
      <c r="H530" s="264">
        <f t="shared" si="16"/>
        <v>-0.44480143705904229</v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13984</v>
      </c>
      <c r="C531" s="239">
        <f>AL71</f>
        <v>17574</v>
      </c>
      <c r="D531" s="239">
        <f>'Prior Year'!AL59</f>
        <v>115</v>
      </c>
      <c r="E531" s="180">
        <f>AL59</f>
        <v>697</v>
      </c>
      <c r="F531" s="262">
        <f t="shared" si="18"/>
        <v>121.6</v>
      </c>
      <c r="G531" s="262">
        <f t="shared" si="18"/>
        <v>25.213773314203731</v>
      </c>
      <c r="H531" s="264">
        <f t="shared" si="16"/>
        <v>-0.79264989050819301</v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4998668</v>
      </c>
      <c r="C541" s="239">
        <f>AV71</f>
        <v>4962542.97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52554</v>
      </c>
      <c r="C543" s="239">
        <f>AX71</f>
        <v>26844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1474246</v>
      </c>
      <c r="C544" s="239">
        <f>AY71</f>
        <v>1363612</v>
      </c>
      <c r="D544" s="239">
        <f>'Prior Year'!AY59</f>
        <v>102725</v>
      </c>
      <c r="E544" s="180">
        <f>AY59</f>
        <v>104684</v>
      </c>
      <c r="F544" s="262">
        <f t="shared" ref="F544:G550" si="19">IF(B544=0,"",IF(D544=0,"",B544/D544))</f>
        <v>14.351384765149671</v>
      </c>
      <c r="G544" s="262">
        <f t="shared" si="19"/>
        <v>13.025982958236215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7431</v>
      </c>
      <c r="C545" s="239">
        <f>AZ71</f>
        <v>102238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288599</v>
      </c>
      <c r="C546" s="239">
        <f>BA71</f>
        <v>261977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229961</v>
      </c>
      <c r="C549" s="239">
        <f>BD71</f>
        <v>17928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1409565</v>
      </c>
      <c r="C550" s="239">
        <f>BE71</f>
        <v>1472375</v>
      </c>
      <c r="D550" s="239">
        <f>'Prior Year'!BE59</f>
        <v>99240</v>
      </c>
      <c r="E550" s="180">
        <f>BE59</f>
        <v>99240</v>
      </c>
      <c r="F550" s="262">
        <f t="shared" si="19"/>
        <v>14.203597339782347</v>
      </c>
      <c r="G550" s="262">
        <f t="shared" si="19"/>
        <v>14.836507456670697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1277449</v>
      </c>
      <c r="C551" s="239">
        <f>BF71</f>
        <v>1184435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109104</v>
      </c>
      <c r="C552" s="239">
        <f>BG71</f>
        <v>100495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1571575</v>
      </c>
      <c r="C553" s="239">
        <f>BH71</f>
        <v>1765064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83944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386692</v>
      </c>
      <c r="C555" s="239">
        <f>BJ71</f>
        <v>540201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911236</v>
      </c>
      <c r="C556" s="239">
        <f>BK71</f>
        <v>1051418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812529</v>
      </c>
      <c r="C557" s="239">
        <f>BL71</f>
        <v>806790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83545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3014980</v>
      </c>
      <c r="C559" s="239">
        <f>BN71</f>
        <v>3845118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272717</v>
      </c>
      <c r="C563" s="239">
        <f>BR71</f>
        <v>453598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733015</v>
      </c>
      <c r="C567" s="239">
        <f>BV71</f>
        <v>724885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96981</v>
      </c>
      <c r="C568" s="239">
        <f>BW71</f>
        <v>91019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576857</v>
      </c>
      <c r="C569" s="239">
        <f>BX71</f>
        <v>517625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402036</v>
      </c>
      <c r="C570" s="239">
        <f>BY71</f>
        <v>487643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5987</v>
      </c>
      <c r="C572" s="239">
        <f>CA71</f>
        <v>69490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1202239</v>
      </c>
      <c r="C574" s="239">
        <f>CC71</f>
        <v>941938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-2029765</v>
      </c>
      <c r="C575" s="239">
        <f>CD71</f>
        <v>1302327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1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1" transitionEvaluation="1" transitionEntry="1" codeName="Sheet10">
    <pageSetUpPr autoPageBreaks="0" fitToPage="1"/>
  </sheetPr>
  <dimension ref="A1:CF817"/>
  <sheetViews>
    <sheetView showGridLines="0" topLeftCell="A131" zoomScale="75" workbookViewId="0">
      <selection activeCell="CD70" sqref="CD7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4899549</v>
      </c>
      <c r="C48" s="244">
        <f>ROUND(((B48/CE61)*C61),0)</f>
        <v>180892</v>
      </c>
      <c r="D48" s="244">
        <f>ROUND(((B48/CE61)*D61),0)</f>
        <v>0</v>
      </c>
      <c r="E48" s="195">
        <f>ROUND(((B48/CE61)*E61),0)</f>
        <v>487771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447817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190813</v>
      </c>
      <c r="Q48" s="195">
        <f>ROUND(((B48/CE61)*Q61),0)</f>
        <v>70919</v>
      </c>
      <c r="R48" s="195">
        <f>ROUND(((B48/CE61)*R61),0)</f>
        <v>5780</v>
      </c>
      <c r="S48" s="195">
        <f>ROUND(((B48/CE61)*S61),0)</f>
        <v>1</v>
      </c>
      <c r="T48" s="195">
        <f>ROUND(((B48/CE61)*T61),0)</f>
        <v>0</v>
      </c>
      <c r="U48" s="195">
        <f>ROUND(((B48/CE61)*U61),0)</f>
        <v>188000</v>
      </c>
      <c r="V48" s="195">
        <f>ROUND(((B48/CE61)*V61),0)</f>
        <v>0</v>
      </c>
      <c r="W48" s="195">
        <f>ROUND(((B48/CE61)*W61),0)</f>
        <v>44102</v>
      </c>
      <c r="X48" s="195">
        <f>ROUND(((B48/CE61)*X61),0)</f>
        <v>138623</v>
      </c>
      <c r="Y48" s="195">
        <f>ROUND(((B48/CE61)*Y61),0)</f>
        <v>58582</v>
      </c>
      <c r="Z48" s="195">
        <f>ROUND(((B48/CE61)*Z61),0)</f>
        <v>0</v>
      </c>
      <c r="AA48" s="195">
        <f>ROUND(((B48/CE61)*AA61),0)</f>
        <v>21620</v>
      </c>
      <c r="AB48" s="195">
        <f>ROUND(((B48/CE61)*AB61),0)</f>
        <v>159893</v>
      </c>
      <c r="AC48" s="195">
        <f>ROUND(((B48/CE61)*AC61),0)</f>
        <v>89687</v>
      </c>
      <c r="AD48" s="195">
        <f>ROUND(((B48/CE61)*AD61),0)</f>
        <v>0</v>
      </c>
      <c r="AE48" s="195">
        <f>ROUND(((B48/CE61)*AE61),0)</f>
        <v>98937</v>
      </c>
      <c r="AF48" s="195">
        <f>ROUND(((B48/CE61)*AF61),0)</f>
        <v>0</v>
      </c>
      <c r="AG48" s="195">
        <f>ROUND(((B48/CE61)*AG61),0)</f>
        <v>522860</v>
      </c>
      <c r="AH48" s="195">
        <f>ROUND(((B48/CE61)*AH61),0)</f>
        <v>0</v>
      </c>
      <c r="AI48" s="195">
        <f>ROUND(((B48/CE61)*AI61),0)</f>
        <v>101634</v>
      </c>
      <c r="AJ48" s="195">
        <f>ROUND(((B48/CE61)*AJ61),0)</f>
        <v>0</v>
      </c>
      <c r="AK48" s="195">
        <f>ROUND(((B48/CE61)*AK61),0)</f>
        <v>33484</v>
      </c>
      <c r="AL48" s="195">
        <f>ROUND(((B48/CE61)*AL61),0)</f>
        <v>2575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650382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155283</v>
      </c>
      <c r="AZ48" s="195">
        <f>ROUND(((B48/CE61)*AZ61),0)</f>
        <v>1300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35020</v>
      </c>
      <c r="BE48" s="195">
        <f>ROUND(((B48/CE61)*BE61),0)</f>
        <v>77167</v>
      </c>
      <c r="BF48" s="195">
        <f>ROUND(((B48/CE61)*BF61),0)</f>
        <v>191011</v>
      </c>
      <c r="BG48" s="195">
        <f>ROUND(((B48/CE61)*BG61),0)</f>
        <v>0</v>
      </c>
      <c r="BH48" s="195">
        <f>ROUND(((B48/CE61)*BH61),0)</f>
        <v>107517</v>
      </c>
      <c r="BI48" s="195">
        <f>ROUND(((B48/CE61)*BI61),0)</f>
        <v>0</v>
      </c>
      <c r="BJ48" s="195">
        <f>ROUND(((B48/CE61)*BJ61),0)</f>
        <v>47972</v>
      </c>
      <c r="BK48" s="195">
        <f>ROUND(((B48/CE61)*BK61),0)</f>
        <v>129166</v>
      </c>
      <c r="BL48" s="195">
        <f>ROUND(((B48/CE61)*BL61),0)</f>
        <v>146837</v>
      </c>
      <c r="BM48" s="195">
        <f>ROUND(((B48/CE61)*BM61),0)</f>
        <v>0</v>
      </c>
      <c r="BN48" s="195">
        <f>ROUND(((B48/CE61)*BN61),0)</f>
        <v>155100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37488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103212</v>
      </c>
      <c r="BW48" s="195">
        <f>ROUND(((B48/CE61)*BW61),0)</f>
        <v>13551</v>
      </c>
      <c r="BX48" s="195">
        <f>ROUND(((B48/CE61)*BX61),0)</f>
        <v>87067</v>
      </c>
      <c r="BY48" s="195">
        <f>ROUND(((B48/CE61)*BY61),0)</f>
        <v>74040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43448</v>
      </c>
      <c r="CD48" s="195"/>
      <c r="CE48" s="195">
        <f>SUM(C48:CD48)</f>
        <v>4899551</v>
      </c>
    </row>
    <row r="49" spans="1:84" ht="12.6" customHeight="1" x14ac:dyDescent="0.25">
      <c r="A49" s="175" t="s">
        <v>206</v>
      </c>
      <c r="B49" s="195">
        <f>B47+B48</f>
        <v>4899549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2007160</v>
      </c>
      <c r="C52" s="195">
        <f>ROUND((B52/(CE76+CF76)*C76),0)</f>
        <v>44496</v>
      </c>
      <c r="D52" s="195">
        <f>ROUND((B52/(CE76+CF76)*D76),0)</f>
        <v>0</v>
      </c>
      <c r="E52" s="195">
        <f>ROUND((B52/(CE76+CF76)*E76),0)</f>
        <v>186579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315272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109662</v>
      </c>
      <c r="Q52" s="195">
        <f>ROUND((B52/(CE76+CF76)*Q76),0)</f>
        <v>12135</v>
      </c>
      <c r="R52" s="195">
        <f>ROUND((B52/(CE76+CF76)*R76),0)</f>
        <v>3681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25888</v>
      </c>
      <c r="V52" s="195">
        <f>ROUND((B52/(CE76+CF76)*V76),0)</f>
        <v>0</v>
      </c>
      <c r="W52" s="195">
        <f>ROUND((B52/(CE76+CF76)*W76),0)</f>
        <v>9708</v>
      </c>
      <c r="X52" s="195">
        <f>ROUND((B52/(CE76+CF76)*X76),0)</f>
        <v>8191</v>
      </c>
      <c r="Y52" s="195">
        <f>ROUND((B52/(CE76+CF76)*Y76),0)</f>
        <v>51534</v>
      </c>
      <c r="Z52" s="195">
        <f>ROUND((B52/(CE76+CF76)*Z76),0)</f>
        <v>0</v>
      </c>
      <c r="AA52" s="195">
        <f>ROUND((B52/(CE76+CF76)*AA76),0)</f>
        <v>8636</v>
      </c>
      <c r="AB52" s="195">
        <f>ROUND((B52/(CE76+CF76)*AB76),0)</f>
        <v>16403</v>
      </c>
      <c r="AC52" s="195">
        <f>ROUND((B52/(CE76+CF76)*AC76),0)</f>
        <v>15472</v>
      </c>
      <c r="AD52" s="195">
        <f>ROUND((B52/(CE76+CF76)*AD76),0)</f>
        <v>0</v>
      </c>
      <c r="AE52" s="195">
        <f>ROUND((B52/(CE76+CF76)*AE76),0)</f>
        <v>5259</v>
      </c>
      <c r="AF52" s="195">
        <f>ROUND((B52/(CE76+CF76)*AF76),0)</f>
        <v>0</v>
      </c>
      <c r="AG52" s="195">
        <f>ROUND((B52/(CE76+CF76)*AG76),0)</f>
        <v>157757</v>
      </c>
      <c r="AH52" s="195">
        <f>ROUND((B52/(CE76+CF76)*AH76),0)</f>
        <v>0</v>
      </c>
      <c r="AI52" s="195">
        <f>ROUND((B52/(CE76+CF76)*AI76),0)</f>
        <v>12135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500597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523755</v>
      </c>
      <c r="CD52" s="195"/>
      <c r="CE52" s="195">
        <f>SUM(C52:CD52)</f>
        <v>2007160</v>
      </c>
    </row>
    <row r="53" spans="1:84" ht="12.6" customHeight="1" x14ac:dyDescent="0.25">
      <c r="A53" s="175" t="s">
        <v>206</v>
      </c>
      <c r="B53" s="195">
        <f>B51+B52</f>
        <v>2007160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884</v>
      </c>
      <c r="D59" s="184"/>
      <c r="E59" s="184">
        <v>3743</v>
      </c>
      <c r="F59" s="184"/>
      <c r="G59" s="184"/>
      <c r="H59" s="184"/>
      <c r="I59" s="184">
        <v>6328</v>
      </c>
      <c r="J59" s="184"/>
      <c r="K59" s="184"/>
      <c r="L59" s="184"/>
      <c r="M59" s="184"/>
      <c r="N59" s="184"/>
      <c r="O59" s="184"/>
      <c r="P59" s="185">
        <v>80829</v>
      </c>
      <c r="Q59" s="185">
        <v>96424</v>
      </c>
      <c r="R59" s="185">
        <v>80829</v>
      </c>
      <c r="S59" s="247"/>
      <c r="T59" s="247"/>
      <c r="U59" s="224">
        <v>87223</v>
      </c>
      <c r="V59" s="185"/>
      <c r="W59" s="185">
        <v>933</v>
      </c>
      <c r="X59" s="185">
        <v>4339</v>
      </c>
      <c r="Y59" s="185">
        <v>8117</v>
      </c>
      <c r="Z59" s="185"/>
      <c r="AA59" s="185">
        <f>8+93</f>
        <v>101</v>
      </c>
      <c r="AB59" s="247"/>
      <c r="AC59" s="185">
        <f>4524+1263</f>
        <v>5787</v>
      </c>
      <c r="AD59" s="185"/>
      <c r="AE59" s="185">
        <f>1877+13503</f>
        <v>15380</v>
      </c>
      <c r="AF59" s="185"/>
      <c r="AG59" s="185">
        <v>15996</v>
      </c>
      <c r="AH59" s="185"/>
      <c r="AI59" s="185">
        <v>1013</v>
      </c>
      <c r="AJ59" s="185"/>
      <c r="AK59" s="185">
        <v>4598</v>
      </c>
      <c r="AL59" s="185">
        <v>115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102725</v>
      </c>
      <c r="AZ59" s="185"/>
      <c r="BA59" s="247"/>
      <c r="BB59" s="247"/>
      <c r="BC59" s="247"/>
      <c r="BD59" s="247"/>
      <c r="BE59" s="185">
        <v>99240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7.15</v>
      </c>
      <c r="D60" s="187"/>
      <c r="E60" s="187">
        <v>26.31</v>
      </c>
      <c r="F60" s="223"/>
      <c r="G60" s="187"/>
      <c r="H60" s="187"/>
      <c r="I60" s="187">
        <v>26.61</v>
      </c>
      <c r="J60" s="223"/>
      <c r="K60" s="187"/>
      <c r="L60" s="187"/>
      <c r="M60" s="187"/>
      <c r="N60" s="187"/>
      <c r="O60" s="187"/>
      <c r="P60" s="221">
        <v>8.9600000000000009</v>
      </c>
      <c r="Q60" s="221">
        <f>1.72+0.8</f>
        <v>2.52</v>
      </c>
      <c r="R60" s="221">
        <v>0.45</v>
      </c>
      <c r="S60" s="221"/>
      <c r="T60" s="221"/>
      <c r="U60" s="221">
        <v>12.33</v>
      </c>
      <c r="V60" s="221"/>
      <c r="W60" s="221">
        <v>1.97</v>
      </c>
      <c r="X60" s="221">
        <v>6.87</v>
      </c>
      <c r="Y60" s="221">
        <v>3.29</v>
      </c>
      <c r="Z60" s="221"/>
      <c r="AA60" s="221">
        <v>0.86</v>
      </c>
      <c r="AB60" s="221">
        <v>6.56</v>
      </c>
      <c r="AC60" s="221">
        <v>4.7699999999999996</v>
      </c>
      <c r="AD60" s="221"/>
      <c r="AE60" s="221">
        <v>5.39</v>
      </c>
      <c r="AF60" s="221"/>
      <c r="AG60" s="221">
        <v>25.05</v>
      </c>
      <c r="AH60" s="221"/>
      <c r="AI60" s="221">
        <v>4.7300000000000004</v>
      </c>
      <c r="AJ60" s="221"/>
      <c r="AK60" s="221">
        <v>1.38</v>
      </c>
      <c r="AL60" s="221">
        <v>7.0000000000000007E-2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13.48</v>
      </c>
      <c r="AW60" s="221"/>
      <c r="AX60" s="221">
        <v>0.04</v>
      </c>
      <c r="AY60" s="221">
        <v>16.64</v>
      </c>
      <c r="AZ60" s="221"/>
      <c r="BA60" s="221"/>
      <c r="BB60" s="221"/>
      <c r="BC60" s="221"/>
      <c r="BD60" s="221">
        <v>2.89</v>
      </c>
      <c r="BE60" s="221">
        <v>7</v>
      </c>
      <c r="BF60" s="221">
        <v>19.059999999999999</v>
      </c>
      <c r="BG60" s="221"/>
      <c r="BH60" s="221">
        <v>5.37</v>
      </c>
      <c r="BI60" s="221"/>
      <c r="BJ60" s="221">
        <v>2.5</v>
      </c>
      <c r="BK60" s="221">
        <v>9.1</v>
      </c>
      <c r="BL60" s="221">
        <v>13.26</v>
      </c>
      <c r="BM60" s="221"/>
      <c r="BN60" s="221">
        <f>2.22+0.43+1.17+0.93</f>
        <v>4.75</v>
      </c>
      <c r="BO60" s="221"/>
      <c r="BP60" s="221"/>
      <c r="BQ60" s="221"/>
      <c r="BR60" s="221">
        <v>1.99</v>
      </c>
      <c r="BS60" s="221"/>
      <c r="BT60" s="221"/>
      <c r="BU60" s="221"/>
      <c r="BV60" s="221">
        <v>8.02</v>
      </c>
      <c r="BW60" s="221">
        <v>0.96</v>
      </c>
      <c r="BX60" s="221">
        <v>3.64</v>
      </c>
      <c r="BY60" s="221"/>
      <c r="BZ60" s="221"/>
      <c r="CA60" s="221">
        <v>0.14000000000000001</v>
      </c>
      <c r="CB60" s="221"/>
      <c r="CC60" s="221">
        <v>4.17</v>
      </c>
      <c r="CD60" s="248" t="s">
        <v>221</v>
      </c>
      <c r="CE60" s="250">
        <f t="shared" ref="CE60:CE70" si="0">SUM(C60:CD60)</f>
        <v>258.27999999999992</v>
      </c>
    </row>
    <row r="61" spans="1:84" ht="12.6" customHeight="1" x14ac:dyDescent="0.25">
      <c r="A61" s="171" t="s">
        <v>235</v>
      </c>
      <c r="B61" s="175"/>
      <c r="C61" s="184">
        <f>1245530-444179</f>
        <v>801351</v>
      </c>
      <c r="D61" s="184"/>
      <c r="E61" s="184">
        <f>2424724-263897</f>
        <v>2160827</v>
      </c>
      <c r="F61" s="185"/>
      <c r="G61" s="184"/>
      <c r="H61" s="184"/>
      <c r="I61" s="185">
        <v>1983829</v>
      </c>
      <c r="J61" s="185"/>
      <c r="K61" s="185"/>
      <c r="L61" s="185"/>
      <c r="M61" s="184"/>
      <c r="N61" s="184"/>
      <c r="O61" s="184"/>
      <c r="P61" s="185">
        <f>846324-1020</f>
        <v>845304</v>
      </c>
      <c r="Q61" s="185">
        <v>314171</v>
      </c>
      <c r="R61" s="185">
        <v>25605</v>
      </c>
      <c r="S61" s="185">
        <v>2.89</v>
      </c>
      <c r="T61" s="185"/>
      <c r="U61" s="185">
        <f>1015855-183015</f>
        <v>832840</v>
      </c>
      <c r="V61" s="185"/>
      <c r="W61" s="185">
        <v>195370</v>
      </c>
      <c r="X61" s="185">
        <v>614101</v>
      </c>
      <c r="Y61" s="185">
        <v>259517.4</v>
      </c>
      <c r="Z61" s="185"/>
      <c r="AA61" s="185">
        <v>95778</v>
      </c>
      <c r="AB61" s="185">
        <v>708328</v>
      </c>
      <c r="AC61" s="185">
        <f>439182-41868</f>
        <v>397314</v>
      </c>
      <c r="AD61" s="185"/>
      <c r="AE61" s="185">
        <f>438618-328</f>
        <v>438290</v>
      </c>
      <c r="AF61" s="185"/>
      <c r="AG61" s="185">
        <f>2405220-88949</f>
        <v>2316271</v>
      </c>
      <c r="AH61" s="185"/>
      <c r="AI61" s="185">
        <v>450237</v>
      </c>
      <c r="AJ61" s="185"/>
      <c r="AK61" s="185">
        <v>148334</v>
      </c>
      <c r="AL61" s="185">
        <v>11409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315460+271579+165093+375952+260391+1492717</f>
        <v>2881192</v>
      </c>
      <c r="AW61" s="185"/>
      <c r="AX61" s="185">
        <v>0</v>
      </c>
      <c r="AY61" s="185">
        <v>687905</v>
      </c>
      <c r="AZ61" s="185">
        <v>5758</v>
      </c>
      <c r="BA61" s="185">
        <v>0</v>
      </c>
      <c r="BB61" s="185">
        <v>0</v>
      </c>
      <c r="BC61" s="185"/>
      <c r="BD61" s="185">
        <v>155138</v>
      </c>
      <c r="BE61" s="185">
        <v>341851</v>
      </c>
      <c r="BF61" s="185">
        <v>846177</v>
      </c>
      <c r="BG61" s="185">
        <v>0</v>
      </c>
      <c r="BH61" s="185">
        <v>476302</v>
      </c>
      <c r="BI61" s="185"/>
      <c r="BJ61" s="185">
        <v>212514</v>
      </c>
      <c r="BK61" s="185">
        <f>518248+53959</f>
        <v>572207</v>
      </c>
      <c r="BL61" s="185">
        <v>650486</v>
      </c>
      <c r="BM61" s="185"/>
      <c r="BN61" s="185">
        <f>473003+245756-31664</f>
        <v>687095</v>
      </c>
      <c r="BO61" s="185"/>
      <c r="BP61" s="185"/>
      <c r="BQ61" s="185"/>
      <c r="BR61" s="185">
        <f>143806+22266</f>
        <v>166072</v>
      </c>
      <c r="BS61" s="185"/>
      <c r="BT61" s="185"/>
      <c r="BU61" s="185"/>
      <c r="BV61" s="185">
        <v>457228</v>
      </c>
      <c r="BW61" s="185">
        <v>60029</v>
      </c>
      <c r="BX61" s="185">
        <v>385707</v>
      </c>
      <c r="BY61" s="185">
        <f>16167+311829</f>
        <v>327996</v>
      </c>
      <c r="BZ61" s="185"/>
      <c r="CA61" s="185">
        <v>0</v>
      </c>
      <c r="CB61" s="185"/>
      <c r="CC61" s="185">
        <f>86201+91542+14730</f>
        <v>192473</v>
      </c>
      <c r="CD61" s="248" t="s">
        <v>221</v>
      </c>
      <c r="CE61" s="195">
        <f t="shared" si="0"/>
        <v>21705009.289999999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180892</v>
      </c>
      <c r="D62" s="195">
        <f t="shared" si="1"/>
        <v>0</v>
      </c>
      <c r="E62" s="195">
        <f t="shared" si="1"/>
        <v>487771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447817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190813</v>
      </c>
      <c r="Q62" s="195">
        <f t="shared" si="1"/>
        <v>70919</v>
      </c>
      <c r="R62" s="195">
        <f t="shared" si="1"/>
        <v>5780</v>
      </c>
      <c r="S62" s="195">
        <f t="shared" si="1"/>
        <v>1</v>
      </c>
      <c r="T62" s="195">
        <f t="shared" si="1"/>
        <v>0</v>
      </c>
      <c r="U62" s="195">
        <f t="shared" si="1"/>
        <v>188000</v>
      </c>
      <c r="V62" s="195">
        <f t="shared" si="1"/>
        <v>0</v>
      </c>
      <c r="W62" s="195">
        <f t="shared" si="1"/>
        <v>44102</v>
      </c>
      <c r="X62" s="195">
        <f t="shared" si="1"/>
        <v>138623</v>
      </c>
      <c r="Y62" s="195">
        <f t="shared" si="1"/>
        <v>58582</v>
      </c>
      <c r="Z62" s="195">
        <f t="shared" si="1"/>
        <v>0</v>
      </c>
      <c r="AA62" s="195">
        <f t="shared" si="1"/>
        <v>21620</v>
      </c>
      <c r="AB62" s="195">
        <f t="shared" si="1"/>
        <v>159893</v>
      </c>
      <c r="AC62" s="195">
        <f t="shared" si="1"/>
        <v>89687</v>
      </c>
      <c r="AD62" s="195">
        <f t="shared" si="1"/>
        <v>0</v>
      </c>
      <c r="AE62" s="195">
        <f t="shared" si="1"/>
        <v>98937</v>
      </c>
      <c r="AF62" s="195">
        <f t="shared" si="1"/>
        <v>0</v>
      </c>
      <c r="AG62" s="195">
        <f t="shared" si="1"/>
        <v>522860</v>
      </c>
      <c r="AH62" s="195">
        <f t="shared" si="1"/>
        <v>0</v>
      </c>
      <c r="AI62" s="195">
        <f t="shared" si="1"/>
        <v>101634</v>
      </c>
      <c r="AJ62" s="195">
        <f t="shared" si="1"/>
        <v>0</v>
      </c>
      <c r="AK62" s="195">
        <f t="shared" si="1"/>
        <v>33484</v>
      </c>
      <c r="AL62" s="195">
        <f t="shared" si="1"/>
        <v>2575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650382</v>
      </c>
      <c r="AW62" s="195">
        <f t="shared" si="1"/>
        <v>0</v>
      </c>
      <c r="AX62" s="195">
        <f t="shared" si="1"/>
        <v>0</v>
      </c>
      <c r="AY62" s="195">
        <f>ROUND(AY47+AY48,0)</f>
        <v>155283</v>
      </c>
      <c r="AZ62" s="195">
        <f>ROUND(AZ47+AZ48,0)</f>
        <v>1300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35020</v>
      </c>
      <c r="BE62" s="195">
        <f t="shared" si="1"/>
        <v>77167</v>
      </c>
      <c r="BF62" s="195">
        <f t="shared" si="1"/>
        <v>191011</v>
      </c>
      <c r="BG62" s="195">
        <f t="shared" si="1"/>
        <v>0</v>
      </c>
      <c r="BH62" s="195">
        <f t="shared" si="1"/>
        <v>107517</v>
      </c>
      <c r="BI62" s="195">
        <f t="shared" si="1"/>
        <v>0</v>
      </c>
      <c r="BJ62" s="195">
        <f t="shared" si="1"/>
        <v>47972</v>
      </c>
      <c r="BK62" s="195">
        <f t="shared" si="1"/>
        <v>129166</v>
      </c>
      <c r="BL62" s="195">
        <f t="shared" si="1"/>
        <v>146837</v>
      </c>
      <c r="BM62" s="195">
        <f t="shared" si="1"/>
        <v>0</v>
      </c>
      <c r="BN62" s="195">
        <f t="shared" si="1"/>
        <v>155100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37488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103212</v>
      </c>
      <c r="BW62" s="195">
        <f t="shared" si="2"/>
        <v>13551</v>
      </c>
      <c r="BX62" s="195">
        <f t="shared" si="2"/>
        <v>87067</v>
      </c>
      <c r="BY62" s="195">
        <f t="shared" si="2"/>
        <v>74040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43448</v>
      </c>
      <c r="CD62" s="248" t="s">
        <v>221</v>
      </c>
      <c r="CE62" s="195">
        <f t="shared" si="0"/>
        <v>4899551</v>
      </c>
      <c r="CF62" s="251"/>
    </row>
    <row r="63" spans="1:84" ht="12.6" customHeight="1" x14ac:dyDescent="0.25">
      <c r="A63" s="171" t="s">
        <v>236</v>
      </c>
      <c r="B63" s="175"/>
      <c r="C63" s="184">
        <v>0</v>
      </c>
      <c r="D63" s="184"/>
      <c r="E63" s="184">
        <v>39330</v>
      </c>
      <c r="F63" s="185"/>
      <c r="G63" s="184"/>
      <c r="H63" s="184"/>
      <c r="I63" s="185">
        <v>267839</v>
      </c>
      <c r="J63" s="185"/>
      <c r="K63" s="185"/>
      <c r="L63" s="185"/>
      <c r="M63" s="184"/>
      <c r="N63" s="184"/>
      <c r="O63" s="184"/>
      <c r="P63" s="185">
        <v>0</v>
      </c>
      <c r="Q63" s="185">
        <v>0</v>
      </c>
      <c r="R63" s="185">
        <v>450501</v>
      </c>
      <c r="S63" s="185">
        <v>0</v>
      </c>
      <c r="T63" s="185"/>
      <c r="U63" s="185">
        <v>0</v>
      </c>
      <c r="V63" s="185"/>
      <c r="W63" s="185">
        <v>0</v>
      </c>
      <c r="X63" s="185">
        <v>0</v>
      </c>
      <c r="Y63" s="185">
        <v>0</v>
      </c>
      <c r="Z63" s="185"/>
      <c r="AA63" s="185">
        <v>0</v>
      </c>
      <c r="AB63" s="185">
        <v>0</v>
      </c>
      <c r="AC63" s="185">
        <v>0</v>
      </c>
      <c r="AD63" s="185"/>
      <c r="AE63" s="185">
        <v>0</v>
      </c>
      <c r="AF63" s="185"/>
      <c r="AG63" s="185">
        <v>1290101</v>
      </c>
      <c r="AH63" s="185"/>
      <c r="AI63" s="185">
        <v>0</v>
      </c>
      <c r="AJ63" s="185"/>
      <c r="AK63" s="185">
        <v>0</v>
      </c>
      <c r="AL63" s="185">
        <v>0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f>10876</f>
        <v>10876</v>
      </c>
      <c r="AW63" s="185"/>
      <c r="AX63" s="185">
        <v>0</v>
      </c>
      <c r="AY63" s="185">
        <v>230943</v>
      </c>
      <c r="AZ63" s="185">
        <v>0</v>
      </c>
      <c r="BA63" s="185">
        <v>0</v>
      </c>
      <c r="BB63" s="185">
        <v>0</v>
      </c>
      <c r="BC63" s="185"/>
      <c r="BD63" s="185">
        <v>0</v>
      </c>
      <c r="BE63" s="185">
        <v>0</v>
      </c>
      <c r="BF63" s="185">
        <v>87773</v>
      </c>
      <c r="BG63" s="185">
        <v>0</v>
      </c>
      <c r="BH63" s="185">
        <v>225677</v>
      </c>
      <c r="BI63" s="185"/>
      <c r="BJ63" s="185">
        <v>116842</v>
      </c>
      <c r="BK63" s="185">
        <v>18086</v>
      </c>
      <c r="BL63" s="185">
        <v>8096</v>
      </c>
      <c r="BM63" s="185"/>
      <c r="BN63" s="185">
        <f>1027135</f>
        <v>1027135</v>
      </c>
      <c r="BO63" s="185"/>
      <c r="BP63" s="185"/>
      <c r="BQ63" s="185"/>
      <c r="BR63" s="185">
        <v>0</v>
      </c>
      <c r="BS63" s="185"/>
      <c r="BT63" s="185"/>
      <c r="BU63" s="185"/>
      <c r="BV63" s="185">
        <v>0</v>
      </c>
      <c r="BW63" s="185">
        <v>0</v>
      </c>
      <c r="BX63" s="185">
        <v>32755</v>
      </c>
      <c r="BY63" s="185">
        <v>0</v>
      </c>
      <c r="BZ63" s="185"/>
      <c r="CA63" s="185">
        <v>0</v>
      </c>
      <c r="CB63" s="185"/>
      <c r="CC63" s="185">
        <v>0</v>
      </c>
      <c r="CD63" s="248" t="s">
        <v>221</v>
      </c>
      <c r="CE63" s="195">
        <f t="shared" si="0"/>
        <v>3805954</v>
      </c>
      <c r="CF63" s="251"/>
    </row>
    <row r="64" spans="1:84" ht="12.6" customHeight="1" x14ac:dyDescent="0.25">
      <c r="A64" s="171" t="s">
        <v>237</v>
      </c>
      <c r="B64" s="175"/>
      <c r="C64" s="184">
        <v>34080</v>
      </c>
      <c r="D64" s="184"/>
      <c r="E64" s="185">
        <v>94413</v>
      </c>
      <c r="F64" s="185"/>
      <c r="G64" s="184"/>
      <c r="H64" s="184"/>
      <c r="I64" s="185">
        <v>45550</v>
      </c>
      <c r="J64" s="185"/>
      <c r="K64" s="185"/>
      <c r="L64" s="185"/>
      <c r="M64" s="184"/>
      <c r="N64" s="184"/>
      <c r="O64" s="184"/>
      <c r="P64" s="185">
        <v>379776</v>
      </c>
      <c r="Q64" s="185">
        <v>3736</v>
      </c>
      <c r="R64" s="185">
        <v>24701</v>
      </c>
      <c r="S64" s="185">
        <f>1753054+30535</f>
        <v>1783589</v>
      </c>
      <c r="T64" s="185"/>
      <c r="U64" s="185">
        <f>629871+28768</f>
        <v>658639</v>
      </c>
      <c r="V64" s="185"/>
      <c r="W64" s="185">
        <v>4723</v>
      </c>
      <c r="X64" s="185">
        <v>44765</v>
      </c>
      <c r="Y64" s="185">
        <v>9655</v>
      </c>
      <c r="Z64" s="185"/>
      <c r="AA64" s="185">
        <v>11037</v>
      </c>
      <c r="AB64" s="185">
        <v>1374641</v>
      </c>
      <c r="AC64" s="185">
        <v>21802</v>
      </c>
      <c r="AD64" s="185"/>
      <c r="AE64" s="185">
        <v>6785</v>
      </c>
      <c r="AF64" s="185"/>
      <c r="AG64" s="185">
        <v>215268</v>
      </c>
      <c r="AH64" s="185"/>
      <c r="AI64" s="185">
        <v>61284</v>
      </c>
      <c r="AJ64" s="185"/>
      <c r="AK64" s="185">
        <v>3728</v>
      </c>
      <c r="AL64" s="185">
        <v>0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5390+6424+792+2058+205363+353+121</f>
        <v>220501</v>
      </c>
      <c r="AW64" s="185"/>
      <c r="AX64" s="185">
        <v>27133</v>
      </c>
      <c r="AY64" s="185">
        <v>494819</v>
      </c>
      <c r="AZ64" s="185">
        <v>0</v>
      </c>
      <c r="BA64" s="185">
        <v>1669</v>
      </c>
      <c r="BB64" s="185">
        <v>0</v>
      </c>
      <c r="BC64" s="185"/>
      <c r="BD64" s="185">
        <v>37038</v>
      </c>
      <c r="BE64" s="185">
        <v>55049</v>
      </c>
      <c r="BF64" s="185">
        <v>83259</v>
      </c>
      <c r="BG64" s="185">
        <v>0</v>
      </c>
      <c r="BH64" s="185">
        <v>13156</v>
      </c>
      <c r="BI64" s="185"/>
      <c r="BJ64" s="185">
        <v>3773</v>
      </c>
      <c r="BK64" s="185">
        <v>2942</v>
      </c>
      <c r="BL64" s="185">
        <v>7058</v>
      </c>
      <c r="BM64" s="185"/>
      <c r="BN64" s="185">
        <f>22143</f>
        <v>22143</v>
      </c>
      <c r="BO64" s="185"/>
      <c r="BP64" s="185"/>
      <c r="BQ64" s="185"/>
      <c r="BR64" s="185">
        <v>943</v>
      </c>
      <c r="BS64" s="185"/>
      <c r="BT64" s="185"/>
      <c r="BU64" s="185"/>
      <c r="BV64" s="185">
        <v>2715</v>
      </c>
      <c r="BW64" s="185">
        <v>895</v>
      </c>
      <c r="BX64" s="185">
        <v>415</v>
      </c>
      <c r="BY64" s="185">
        <v>0</v>
      </c>
      <c r="BZ64" s="185"/>
      <c r="CA64" s="185">
        <v>226</v>
      </c>
      <c r="CB64" s="185"/>
      <c r="CC64" s="185">
        <f>38+9607+466+608</f>
        <v>10719</v>
      </c>
      <c r="CD64" s="248" t="s">
        <v>221</v>
      </c>
      <c r="CE64" s="195">
        <f t="shared" si="0"/>
        <v>5762625</v>
      </c>
      <c r="CF64" s="251"/>
    </row>
    <row r="65" spans="1:84" ht="12.6" customHeight="1" x14ac:dyDescent="0.25">
      <c r="A65" s="171" t="s">
        <v>238</v>
      </c>
      <c r="B65" s="175"/>
      <c r="C65" s="184">
        <v>0</v>
      </c>
      <c r="D65" s="184"/>
      <c r="E65" s="184">
        <v>0</v>
      </c>
      <c r="F65" s="184"/>
      <c r="G65" s="184"/>
      <c r="H65" s="184"/>
      <c r="I65" s="185">
        <v>44955</v>
      </c>
      <c r="J65" s="184"/>
      <c r="K65" s="185"/>
      <c r="L65" s="185"/>
      <c r="M65" s="184"/>
      <c r="N65" s="184"/>
      <c r="O65" s="184"/>
      <c r="P65" s="185">
        <v>0</v>
      </c>
      <c r="Q65" s="185">
        <v>0</v>
      </c>
      <c r="R65" s="185">
        <v>0</v>
      </c>
      <c r="S65" s="185">
        <v>0</v>
      </c>
      <c r="T65" s="185"/>
      <c r="U65" s="185">
        <v>0</v>
      </c>
      <c r="V65" s="185"/>
      <c r="W65" s="185">
        <v>0</v>
      </c>
      <c r="X65" s="185">
        <v>0</v>
      </c>
      <c r="Y65" s="185">
        <v>0</v>
      </c>
      <c r="Z65" s="185"/>
      <c r="AA65" s="185">
        <v>0</v>
      </c>
      <c r="AB65" s="185">
        <v>0</v>
      </c>
      <c r="AC65" s="185">
        <v>0</v>
      </c>
      <c r="AD65" s="185"/>
      <c r="AE65" s="185">
        <v>0</v>
      </c>
      <c r="AF65" s="185"/>
      <c r="AG65" s="185">
        <v>0</v>
      </c>
      <c r="AH65" s="185"/>
      <c r="AI65" s="185">
        <v>0</v>
      </c>
      <c r="AJ65" s="185"/>
      <c r="AK65" s="185">
        <v>0</v>
      </c>
      <c r="AL65" s="185">
        <v>0</v>
      </c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/>
      <c r="BD65" s="185">
        <v>0</v>
      </c>
      <c r="BE65" s="185">
        <v>509729</v>
      </c>
      <c r="BF65" s="185">
        <v>0</v>
      </c>
      <c r="BG65" s="185">
        <v>102176</v>
      </c>
      <c r="BH65" s="185">
        <v>0</v>
      </c>
      <c r="BI65" s="185"/>
      <c r="BJ65" s="185">
        <v>0</v>
      </c>
      <c r="BK65" s="185">
        <v>0</v>
      </c>
      <c r="BL65" s="185">
        <v>0</v>
      </c>
      <c r="BM65" s="185"/>
      <c r="BN65" s="185">
        <f>873</f>
        <v>873</v>
      </c>
      <c r="BO65" s="185"/>
      <c r="BP65" s="185"/>
      <c r="BQ65" s="185"/>
      <c r="BR65" s="185">
        <v>0</v>
      </c>
      <c r="BS65" s="185"/>
      <c r="BT65" s="185"/>
      <c r="BU65" s="185"/>
      <c r="BV65" s="185">
        <v>0</v>
      </c>
      <c r="BW65" s="185">
        <v>0</v>
      </c>
      <c r="BX65" s="185">
        <v>0</v>
      </c>
      <c r="BY65" s="185">
        <v>0</v>
      </c>
      <c r="BZ65" s="185"/>
      <c r="CA65" s="185">
        <v>0</v>
      </c>
      <c r="CB65" s="185"/>
      <c r="CC65" s="185">
        <f>1074</f>
        <v>1074</v>
      </c>
      <c r="CD65" s="248" t="s">
        <v>221</v>
      </c>
      <c r="CE65" s="195">
        <f t="shared" si="0"/>
        <v>658807</v>
      </c>
      <c r="CF65" s="251"/>
    </row>
    <row r="66" spans="1:84" ht="12.6" customHeight="1" x14ac:dyDescent="0.25">
      <c r="A66" s="171" t="s">
        <v>239</v>
      </c>
      <c r="B66" s="175"/>
      <c r="C66" s="184">
        <v>425</v>
      </c>
      <c r="D66" s="184"/>
      <c r="E66" s="184">
        <v>5699</v>
      </c>
      <c r="F66" s="184"/>
      <c r="G66" s="184"/>
      <c r="H66" s="184"/>
      <c r="I66" s="184">
        <v>19226</v>
      </c>
      <c r="J66" s="184"/>
      <c r="K66" s="185"/>
      <c r="L66" s="185"/>
      <c r="M66" s="184"/>
      <c r="N66" s="184"/>
      <c r="O66" s="185"/>
      <c r="P66" s="185">
        <v>31171</v>
      </c>
      <c r="Q66" s="185">
        <v>0</v>
      </c>
      <c r="R66" s="185">
        <v>1530</v>
      </c>
      <c r="S66" s="184">
        <f>11883+1796</f>
        <v>13679</v>
      </c>
      <c r="T66" s="184"/>
      <c r="U66" s="185">
        <f>360163+90969</f>
        <v>451132</v>
      </c>
      <c r="V66" s="185"/>
      <c r="W66" s="185">
        <v>216611</v>
      </c>
      <c r="X66" s="185">
        <v>104042</v>
      </c>
      <c r="Y66" s="185">
        <v>118375</v>
      </c>
      <c r="Z66" s="185"/>
      <c r="AA66" s="185">
        <v>28449</v>
      </c>
      <c r="AB66" s="185">
        <v>153659</v>
      </c>
      <c r="AC66" s="185">
        <v>7082</v>
      </c>
      <c r="AD66" s="185"/>
      <c r="AE66" s="185">
        <v>0</v>
      </c>
      <c r="AF66" s="185"/>
      <c r="AG66" s="185">
        <v>11790</v>
      </c>
      <c r="AH66" s="185"/>
      <c r="AI66" s="185">
        <v>27659</v>
      </c>
      <c r="AJ66" s="185"/>
      <c r="AK66" s="185">
        <v>0</v>
      </c>
      <c r="AL66" s="185">
        <v>0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36727+16926+53073+237998+263734</f>
        <v>608458</v>
      </c>
      <c r="AW66" s="185"/>
      <c r="AX66" s="185">
        <v>0</v>
      </c>
      <c r="AY66" s="185">
        <v>0</v>
      </c>
      <c r="AZ66" s="185">
        <v>0</v>
      </c>
      <c r="BA66" s="185">
        <v>286930</v>
      </c>
      <c r="BB66" s="185">
        <v>0</v>
      </c>
      <c r="BC66" s="185"/>
      <c r="BD66" s="185">
        <v>1357</v>
      </c>
      <c r="BE66" s="185">
        <v>424081</v>
      </c>
      <c r="BF66" s="185">
        <v>67970</v>
      </c>
      <c r="BG66" s="185">
        <v>6928</v>
      </c>
      <c r="BH66" s="185">
        <v>737930</v>
      </c>
      <c r="BI66" s="185"/>
      <c r="BJ66" s="185">
        <v>683</v>
      </c>
      <c r="BK66" s="185">
        <v>170448</v>
      </c>
      <c r="BL66" s="185">
        <v>0</v>
      </c>
      <c r="BM66" s="185">
        <f>83545</f>
        <v>83545</v>
      </c>
      <c r="BN66" s="185">
        <f>1012050</f>
        <v>1012050</v>
      </c>
      <c r="BO66" s="185"/>
      <c r="BP66" s="185"/>
      <c r="BQ66" s="185"/>
      <c r="BR66" s="185">
        <v>34003</v>
      </c>
      <c r="BS66" s="185"/>
      <c r="BT66" s="185"/>
      <c r="BU66" s="185"/>
      <c r="BV66" s="185">
        <v>168621</v>
      </c>
      <c r="BW66" s="185">
        <v>14259</v>
      </c>
      <c r="BX66" s="185">
        <v>25413</v>
      </c>
      <c r="BY66" s="185">
        <v>0</v>
      </c>
      <c r="BZ66" s="185"/>
      <c r="CA66" s="185">
        <v>4961</v>
      </c>
      <c r="CB66" s="185"/>
      <c r="CC66" s="185">
        <f>99554+2000</f>
        <v>101554</v>
      </c>
      <c r="CD66" s="248" t="s">
        <v>221</v>
      </c>
      <c r="CE66" s="195">
        <f t="shared" si="0"/>
        <v>4939720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44496</v>
      </c>
      <c r="D67" s="195">
        <f>ROUND(D51+D52,0)</f>
        <v>0</v>
      </c>
      <c r="E67" s="195">
        <f t="shared" ref="E67:BP67" si="3">ROUND(E51+E52,0)</f>
        <v>186579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315272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109662</v>
      </c>
      <c r="Q67" s="195">
        <f t="shared" si="3"/>
        <v>12135</v>
      </c>
      <c r="R67" s="195">
        <f t="shared" si="3"/>
        <v>3681</v>
      </c>
      <c r="S67" s="195">
        <f t="shared" si="3"/>
        <v>0</v>
      </c>
      <c r="T67" s="195">
        <f t="shared" si="3"/>
        <v>0</v>
      </c>
      <c r="U67" s="195">
        <f t="shared" si="3"/>
        <v>25888</v>
      </c>
      <c r="V67" s="195">
        <f t="shared" si="3"/>
        <v>0</v>
      </c>
      <c r="W67" s="195">
        <f t="shared" si="3"/>
        <v>9708</v>
      </c>
      <c r="X67" s="195">
        <f t="shared" si="3"/>
        <v>8191</v>
      </c>
      <c r="Y67" s="195">
        <f t="shared" si="3"/>
        <v>51534</v>
      </c>
      <c r="Z67" s="195">
        <f t="shared" si="3"/>
        <v>0</v>
      </c>
      <c r="AA67" s="195">
        <f t="shared" si="3"/>
        <v>8636</v>
      </c>
      <c r="AB67" s="195">
        <f t="shared" si="3"/>
        <v>16403</v>
      </c>
      <c r="AC67" s="195">
        <f t="shared" si="3"/>
        <v>15472</v>
      </c>
      <c r="AD67" s="195">
        <f t="shared" si="3"/>
        <v>0</v>
      </c>
      <c r="AE67" s="195">
        <f t="shared" si="3"/>
        <v>5259</v>
      </c>
      <c r="AF67" s="195">
        <f t="shared" si="3"/>
        <v>0</v>
      </c>
      <c r="AG67" s="195">
        <f t="shared" si="3"/>
        <v>157757</v>
      </c>
      <c r="AH67" s="195">
        <f t="shared" si="3"/>
        <v>0</v>
      </c>
      <c r="AI67" s="195">
        <f t="shared" si="3"/>
        <v>12135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500597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523755</v>
      </c>
      <c r="CD67" s="248" t="s">
        <v>221</v>
      </c>
      <c r="CE67" s="195">
        <f t="shared" si="0"/>
        <v>2007160</v>
      </c>
      <c r="CF67" s="251"/>
    </row>
    <row r="68" spans="1:84" ht="12.6" customHeight="1" x14ac:dyDescent="0.25">
      <c r="A68" s="171" t="s">
        <v>240</v>
      </c>
      <c r="B68" s="175"/>
      <c r="C68" s="184">
        <v>0</v>
      </c>
      <c r="D68" s="184"/>
      <c r="E68" s="184">
        <v>39448</v>
      </c>
      <c r="F68" s="184"/>
      <c r="G68" s="184"/>
      <c r="H68" s="184"/>
      <c r="I68" s="184">
        <v>427370</v>
      </c>
      <c r="J68" s="184"/>
      <c r="K68" s="185"/>
      <c r="L68" s="185"/>
      <c r="M68" s="184"/>
      <c r="N68" s="184"/>
      <c r="O68" s="184"/>
      <c r="P68" s="185">
        <v>-8253</v>
      </c>
      <c r="Q68" s="185">
        <v>0</v>
      </c>
      <c r="R68" s="185">
        <v>0</v>
      </c>
      <c r="S68" s="185">
        <v>0</v>
      </c>
      <c r="T68" s="185"/>
      <c r="U68" s="185">
        <f>70568</f>
        <v>70568</v>
      </c>
      <c r="V68" s="185"/>
      <c r="W68" s="185">
        <v>53393</v>
      </c>
      <c r="X68" s="185">
        <v>0</v>
      </c>
      <c r="Y68" s="185">
        <v>0</v>
      </c>
      <c r="Z68" s="185"/>
      <c r="AA68" s="185">
        <v>0</v>
      </c>
      <c r="AB68" s="185">
        <v>126001</v>
      </c>
      <c r="AC68" s="185">
        <v>0</v>
      </c>
      <c r="AD68" s="185"/>
      <c r="AE68" s="185">
        <v>99238</v>
      </c>
      <c r="AF68" s="185"/>
      <c r="AG68" s="185">
        <v>0</v>
      </c>
      <c r="AH68" s="185"/>
      <c r="AI68" s="185">
        <v>0</v>
      </c>
      <c r="AJ68" s="185"/>
      <c r="AK68" s="185">
        <v>0</v>
      </c>
      <c r="AL68" s="185">
        <v>0</v>
      </c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f>48232+48232</f>
        <v>96464</v>
      </c>
      <c r="AW68" s="185"/>
      <c r="AX68" s="185">
        <v>25421</v>
      </c>
      <c r="AY68" s="185">
        <v>840</v>
      </c>
      <c r="AZ68" s="185">
        <v>0</v>
      </c>
      <c r="BA68" s="185">
        <v>0</v>
      </c>
      <c r="BB68" s="185">
        <v>0</v>
      </c>
      <c r="BC68" s="185"/>
      <c r="BD68" s="185">
        <v>0</v>
      </c>
      <c r="BE68" s="185">
        <v>0</v>
      </c>
      <c r="BF68" s="185">
        <v>0</v>
      </c>
      <c r="BG68" s="185">
        <v>0</v>
      </c>
      <c r="BH68" s="185">
        <v>8449</v>
      </c>
      <c r="BI68" s="185"/>
      <c r="BJ68" s="185">
        <v>0</v>
      </c>
      <c r="BK68" s="185">
        <v>759</v>
      </c>
      <c r="BL68" s="185">
        <v>0</v>
      </c>
      <c r="BM68" s="185"/>
      <c r="BN68" s="185"/>
      <c r="BO68" s="185"/>
      <c r="BP68" s="185"/>
      <c r="BQ68" s="185"/>
      <c r="BR68" s="185">
        <v>0</v>
      </c>
      <c r="BS68" s="185"/>
      <c r="BT68" s="185"/>
      <c r="BU68" s="185"/>
      <c r="BV68" s="185">
        <v>0</v>
      </c>
      <c r="BW68" s="185">
        <v>0</v>
      </c>
      <c r="BX68" s="185">
        <v>0</v>
      </c>
      <c r="BY68" s="185">
        <v>0</v>
      </c>
      <c r="BZ68" s="185"/>
      <c r="CA68" s="185">
        <v>0</v>
      </c>
      <c r="CB68" s="185"/>
      <c r="CC68" s="185">
        <f>230631</f>
        <v>230631</v>
      </c>
      <c r="CD68" s="248" t="s">
        <v>221</v>
      </c>
      <c r="CE68" s="195">
        <f t="shared" si="0"/>
        <v>1170329</v>
      </c>
      <c r="CF68" s="251"/>
    </row>
    <row r="69" spans="1:84" ht="12.6" customHeight="1" x14ac:dyDescent="0.25">
      <c r="A69" s="171" t="s">
        <v>241</v>
      </c>
      <c r="B69" s="175"/>
      <c r="C69" s="184">
        <v>3008</v>
      </c>
      <c r="D69" s="184"/>
      <c r="E69" s="185">
        <v>18611</v>
      </c>
      <c r="F69" s="185"/>
      <c r="G69" s="184"/>
      <c r="H69" s="184"/>
      <c r="I69" s="185">
        <v>68669</v>
      </c>
      <c r="J69" s="185"/>
      <c r="K69" s="185"/>
      <c r="L69" s="185"/>
      <c r="M69" s="184"/>
      <c r="N69" s="184"/>
      <c r="O69" s="184"/>
      <c r="P69" s="185">
        <v>139</v>
      </c>
      <c r="Q69" s="185">
        <v>156</v>
      </c>
      <c r="R69" s="224">
        <v>0</v>
      </c>
      <c r="S69" s="185">
        <v>39</v>
      </c>
      <c r="T69" s="184"/>
      <c r="U69" s="185">
        <f>8499</f>
        <v>8499</v>
      </c>
      <c r="V69" s="185"/>
      <c r="W69" s="184">
        <v>0</v>
      </c>
      <c r="X69" s="185">
        <v>37</v>
      </c>
      <c r="Y69" s="185">
        <f>3862+400</f>
        <v>4262</v>
      </c>
      <c r="Z69" s="185"/>
      <c r="AA69" s="185">
        <v>8948</v>
      </c>
      <c r="AB69" s="185">
        <v>6467</v>
      </c>
      <c r="AC69" s="185">
        <v>310</v>
      </c>
      <c r="AD69" s="185"/>
      <c r="AE69" s="185">
        <v>1539</v>
      </c>
      <c r="AF69" s="185"/>
      <c r="AG69" s="185">
        <v>23283</v>
      </c>
      <c r="AH69" s="185"/>
      <c r="AI69" s="185">
        <v>1251</v>
      </c>
      <c r="AJ69" s="185"/>
      <c r="AK69" s="185">
        <v>700</v>
      </c>
      <c r="AL69" s="185">
        <v>0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165+11486+4230+941+13376</f>
        <v>30198</v>
      </c>
      <c r="AW69" s="185"/>
      <c r="AX69" s="185">
        <v>0</v>
      </c>
      <c r="AY69" s="185">
        <v>-95544</v>
      </c>
      <c r="AZ69" s="185">
        <v>373</v>
      </c>
      <c r="BA69" s="185">
        <v>0</v>
      </c>
      <c r="BB69" s="185">
        <v>0</v>
      </c>
      <c r="BC69" s="185"/>
      <c r="BD69" s="185">
        <v>1408</v>
      </c>
      <c r="BE69" s="185">
        <v>1688</v>
      </c>
      <c r="BF69" s="185">
        <v>1259</v>
      </c>
      <c r="BG69" s="185">
        <v>0</v>
      </c>
      <c r="BH69" s="224">
        <v>2544</v>
      </c>
      <c r="BI69" s="185"/>
      <c r="BJ69" s="185">
        <v>4908</v>
      </c>
      <c r="BK69" s="185">
        <v>17628</v>
      </c>
      <c r="BL69" s="185">
        <v>52</v>
      </c>
      <c r="BM69" s="185"/>
      <c r="BN69" s="185">
        <f>159388-48804</f>
        <v>110584</v>
      </c>
      <c r="BO69" s="185"/>
      <c r="BP69" s="185"/>
      <c r="BQ69" s="185"/>
      <c r="BR69" s="185">
        <v>34211</v>
      </c>
      <c r="BS69" s="185"/>
      <c r="BT69" s="185"/>
      <c r="BU69" s="185"/>
      <c r="BV69" s="185">
        <v>1239</v>
      </c>
      <c r="BW69" s="185">
        <v>8247</v>
      </c>
      <c r="BX69" s="185">
        <v>45500</v>
      </c>
      <c r="BY69" s="185">
        <v>0</v>
      </c>
      <c r="BZ69" s="185"/>
      <c r="CA69" s="185">
        <v>800</v>
      </c>
      <c r="CB69" s="185"/>
      <c r="CC69" s="185">
        <f>1351+6518+87847-5658+8527</f>
        <v>98585</v>
      </c>
      <c r="CD69" s="188"/>
      <c r="CE69" s="195">
        <f t="shared" si="0"/>
        <v>409598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2029765</v>
      </c>
      <c r="CE70" s="195">
        <f t="shared" si="0"/>
        <v>2029765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1064252</v>
      </c>
      <c r="D71" s="195">
        <f t="shared" ref="D71:AI71" si="5">SUM(D61:D69)-D70</f>
        <v>0</v>
      </c>
      <c r="E71" s="195">
        <f t="shared" si="5"/>
        <v>3032678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3620527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1548612</v>
      </c>
      <c r="Q71" s="195">
        <f t="shared" si="5"/>
        <v>401117</v>
      </c>
      <c r="R71" s="195">
        <f t="shared" si="5"/>
        <v>511798</v>
      </c>
      <c r="S71" s="195">
        <f t="shared" si="5"/>
        <v>1797310.89</v>
      </c>
      <c r="T71" s="195">
        <f t="shared" si="5"/>
        <v>0</v>
      </c>
      <c r="U71" s="195">
        <f t="shared" si="5"/>
        <v>2235566</v>
      </c>
      <c r="V71" s="195">
        <f t="shared" si="5"/>
        <v>0</v>
      </c>
      <c r="W71" s="195">
        <f t="shared" si="5"/>
        <v>523907</v>
      </c>
      <c r="X71" s="195">
        <f t="shared" si="5"/>
        <v>909759</v>
      </c>
      <c r="Y71" s="195">
        <f t="shared" si="5"/>
        <v>501925.4</v>
      </c>
      <c r="Z71" s="195">
        <f t="shared" si="5"/>
        <v>0</v>
      </c>
      <c r="AA71" s="195">
        <f t="shared" si="5"/>
        <v>174468</v>
      </c>
      <c r="AB71" s="195">
        <f t="shared" si="5"/>
        <v>2545392</v>
      </c>
      <c r="AC71" s="195">
        <f t="shared" si="5"/>
        <v>531667</v>
      </c>
      <c r="AD71" s="195">
        <f t="shared" si="5"/>
        <v>0</v>
      </c>
      <c r="AE71" s="195">
        <f t="shared" si="5"/>
        <v>650048</v>
      </c>
      <c r="AF71" s="195">
        <f t="shared" si="5"/>
        <v>0</v>
      </c>
      <c r="AG71" s="195">
        <f t="shared" si="5"/>
        <v>4537330</v>
      </c>
      <c r="AH71" s="195">
        <f t="shared" si="5"/>
        <v>0</v>
      </c>
      <c r="AI71" s="195">
        <f t="shared" si="5"/>
        <v>654200</v>
      </c>
      <c r="AJ71" s="195">
        <f t="shared" ref="AJ71:BO71" si="6">SUM(AJ61:AJ69)-AJ70</f>
        <v>0</v>
      </c>
      <c r="AK71" s="195">
        <f t="shared" si="6"/>
        <v>186246</v>
      </c>
      <c r="AL71" s="195">
        <f t="shared" si="6"/>
        <v>13984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4998668</v>
      </c>
      <c r="AW71" s="195">
        <f t="shared" si="6"/>
        <v>0</v>
      </c>
      <c r="AX71" s="195">
        <f t="shared" si="6"/>
        <v>52554</v>
      </c>
      <c r="AY71" s="195">
        <f t="shared" si="6"/>
        <v>1474246</v>
      </c>
      <c r="AZ71" s="195">
        <f t="shared" si="6"/>
        <v>7431</v>
      </c>
      <c r="BA71" s="195">
        <f t="shared" si="6"/>
        <v>288599</v>
      </c>
      <c r="BB71" s="195">
        <f t="shared" si="6"/>
        <v>0</v>
      </c>
      <c r="BC71" s="195">
        <f t="shared" si="6"/>
        <v>0</v>
      </c>
      <c r="BD71" s="195">
        <f t="shared" si="6"/>
        <v>229961</v>
      </c>
      <c r="BE71" s="195">
        <f t="shared" si="6"/>
        <v>1409565</v>
      </c>
      <c r="BF71" s="195">
        <f t="shared" si="6"/>
        <v>1277449</v>
      </c>
      <c r="BG71" s="195">
        <f t="shared" si="6"/>
        <v>109104</v>
      </c>
      <c r="BH71" s="195">
        <f t="shared" si="6"/>
        <v>1571575</v>
      </c>
      <c r="BI71" s="195">
        <f t="shared" si="6"/>
        <v>0</v>
      </c>
      <c r="BJ71" s="195">
        <f t="shared" si="6"/>
        <v>386692</v>
      </c>
      <c r="BK71" s="195">
        <f t="shared" si="6"/>
        <v>911236</v>
      </c>
      <c r="BL71" s="195">
        <f t="shared" si="6"/>
        <v>812529</v>
      </c>
      <c r="BM71" s="195">
        <f t="shared" si="6"/>
        <v>83545</v>
      </c>
      <c r="BN71" s="195">
        <f t="shared" si="6"/>
        <v>3014980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272717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733015</v>
      </c>
      <c r="BW71" s="195">
        <f t="shared" si="7"/>
        <v>96981</v>
      </c>
      <c r="BX71" s="195">
        <f t="shared" si="7"/>
        <v>576857</v>
      </c>
      <c r="BY71" s="195">
        <f t="shared" si="7"/>
        <v>402036</v>
      </c>
      <c r="BZ71" s="195">
        <f t="shared" si="7"/>
        <v>0</v>
      </c>
      <c r="CA71" s="195">
        <f t="shared" si="7"/>
        <v>5987</v>
      </c>
      <c r="CB71" s="195">
        <f t="shared" si="7"/>
        <v>0</v>
      </c>
      <c r="CC71" s="195">
        <f t="shared" si="7"/>
        <v>1202239</v>
      </c>
      <c r="CD71" s="244">
        <f>CD69-CD70</f>
        <v>-2029765</v>
      </c>
      <c r="CE71" s="195">
        <f>SUM(CE61:CE69)-CE70</f>
        <v>43328988.289999999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v>2485832</v>
      </c>
      <c r="D73" s="184"/>
      <c r="E73" s="185">
        <v>6054462</v>
      </c>
      <c r="F73" s="185"/>
      <c r="G73" s="184"/>
      <c r="H73" s="184"/>
      <c r="I73" s="185">
        <v>5615188</v>
      </c>
      <c r="J73" s="185"/>
      <c r="K73" s="185"/>
      <c r="L73" s="185"/>
      <c r="M73" s="184"/>
      <c r="N73" s="184"/>
      <c r="O73" s="184"/>
      <c r="P73" s="185">
        <v>7473978</v>
      </c>
      <c r="Q73" s="185">
        <v>745616</v>
      </c>
      <c r="R73" s="185">
        <v>592632</v>
      </c>
      <c r="S73" s="185">
        <v>0</v>
      </c>
      <c r="T73" s="185"/>
      <c r="U73" s="185">
        <f>2773887+62010</f>
        <v>2835897</v>
      </c>
      <c r="V73" s="185"/>
      <c r="W73" s="185">
        <v>323390</v>
      </c>
      <c r="X73" s="185">
        <v>2099254</v>
      </c>
      <c r="Y73" s="185">
        <v>559618</v>
      </c>
      <c r="Z73" s="185"/>
      <c r="AA73" s="185">
        <v>31394</v>
      </c>
      <c r="AB73" s="185">
        <v>3015843</v>
      </c>
      <c r="AC73" s="185">
        <v>1075082</v>
      </c>
      <c r="AD73" s="185"/>
      <c r="AE73" s="185">
        <v>373148</v>
      </c>
      <c r="AF73" s="185"/>
      <c r="AG73" s="185">
        <v>3564159</v>
      </c>
      <c r="AH73" s="185"/>
      <c r="AI73" s="185">
        <v>0</v>
      </c>
      <c r="AJ73" s="185"/>
      <c r="AK73" s="185">
        <v>18363</v>
      </c>
      <c r="AL73" s="185">
        <v>0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170043+626155+3433+45713</f>
        <v>845344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37709200</v>
      </c>
      <c r="CF73" s="251"/>
    </row>
    <row r="74" spans="1:84" ht="12.6" customHeight="1" x14ac:dyDescent="0.25">
      <c r="A74" s="171" t="s">
        <v>246</v>
      </c>
      <c r="B74" s="175"/>
      <c r="C74" s="184">
        <v>4494</v>
      </c>
      <c r="D74" s="184"/>
      <c r="E74" s="185">
        <v>993597</v>
      </c>
      <c r="F74" s="185"/>
      <c r="G74" s="184"/>
      <c r="H74" s="184"/>
      <c r="I74" s="184">
        <v>366525</v>
      </c>
      <c r="J74" s="185"/>
      <c r="K74" s="185"/>
      <c r="L74" s="185"/>
      <c r="M74" s="184"/>
      <c r="N74" s="184"/>
      <c r="O74" s="184"/>
      <c r="P74" s="185">
        <v>8302522</v>
      </c>
      <c r="Q74" s="185">
        <v>1102766</v>
      </c>
      <c r="R74" s="185">
        <v>868315</v>
      </c>
      <c r="S74" s="185">
        <v>0</v>
      </c>
      <c r="T74" s="185"/>
      <c r="U74" s="185">
        <f>7560872+48388</f>
        <v>7609260</v>
      </c>
      <c r="V74" s="185"/>
      <c r="W74" s="185">
        <v>3015961</v>
      </c>
      <c r="X74" s="185">
        <v>11128748</v>
      </c>
      <c r="Y74" s="185">
        <v>3065195</v>
      </c>
      <c r="Z74" s="185"/>
      <c r="AA74" s="185">
        <v>298636</v>
      </c>
      <c r="AB74" s="185">
        <v>4273991</v>
      </c>
      <c r="AC74" s="185">
        <v>1199583</v>
      </c>
      <c r="AD74" s="185"/>
      <c r="AE74" s="185">
        <v>2099744</v>
      </c>
      <c r="AF74" s="185"/>
      <c r="AG74" s="185">
        <v>25461598</v>
      </c>
      <c r="AH74" s="185"/>
      <c r="AI74" s="185">
        <v>1826246</v>
      </c>
      <c r="AJ74" s="185"/>
      <c r="AK74" s="185">
        <v>764972</v>
      </c>
      <c r="AL74" s="185">
        <v>0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355626+1605976+820881+961756+115159+459733+3925077+1092493+741390+245851</f>
        <v>10323942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82706095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2490326</v>
      </c>
      <c r="D75" s="195">
        <f t="shared" si="9"/>
        <v>0</v>
      </c>
      <c r="E75" s="195">
        <f t="shared" si="9"/>
        <v>7048059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5981713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15776500</v>
      </c>
      <c r="Q75" s="195">
        <f t="shared" si="9"/>
        <v>1848382</v>
      </c>
      <c r="R75" s="195">
        <f t="shared" si="9"/>
        <v>1460947</v>
      </c>
      <c r="S75" s="195">
        <f t="shared" si="9"/>
        <v>0</v>
      </c>
      <c r="T75" s="195">
        <f t="shared" si="9"/>
        <v>0</v>
      </c>
      <c r="U75" s="195">
        <f t="shared" si="9"/>
        <v>10445157</v>
      </c>
      <c r="V75" s="195">
        <f t="shared" si="9"/>
        <v>0</v>
      </c>
      <c r="W75" s="195">
        <f t="shared" si="9"/>
        <v>3339351</v>
      </c>
      <c r="X75" s="195">
        <f t="shared" si="9"/>
        <v>13228002</v>
      </c>
      <c r="Y75" s="195">
        <f t="shared" si="9"/>
        <v>3624813</v>
      </c>
      <c r="Z75" s="195">
        <f t="shared" si="9"/>
        <v>0</v>
      </c>
      <c r="AA75" s="195">
        <f t="shared" si="9"/>
        <v>330030</v>
      </c>
      <c r="AB75" s="195">
        <f t="shared" si="9"/>
        <v>7289834</v>
      </c>
      <c r="AC75" s="195">
        <f t="shared" si="9"/>
        <v>2274665</v>
      </c>
      <c r="AD75" s="195">
        <f t="shared" si="9"/>
        <v>0</v>
      </c>
      <c r="AE75" s="195">
        <f t="shared" si="9"/>
        <v>2472892</v>
      </c>
      <c r="AF75" s="195">
        <f t="shared" si="9"/>
        <v>0</v>
      </c>
      <c r="AG75" s="195">
        <f t="shared" si="9"/>
        <v>29025757</v>
      </c>
      <c r="AH75" s="195">
        <f t="shared" si="9"/>
        <v>0</v>
      </c>
      <c r="AI75" s="195">
        <f t="shared" si="9"/>
        <v>1826246</v>
      </c>
      <c r="AJ75" s="195">
        <f t="shared" si="9"/>
        <v>0</v>
      </c>
      <c r="AK75" s="195">
        <f t="shared" si="9"/>
        <v>783335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11169286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120415295</v>
      </c>
      <c r="CF75" s="251"/>
    </row>
    <row r="76" spans="1:84" ht="12.6" customHeight="1" x14ac:dyDescent="0.25">
      <c r="A76" s="171" t="s">
        <v>248</v>
      </c>
      <c r="B76" s="175"/>
      <c r="C76" s="184">
        <v>2200</v>
      </c>
      <c r="D76" s="184"/>
      <c r="E76" s="185">
        <v>9225</v>
      </c>
      <c r="F76" s="185"/>
      <c r="G76" s="184"/>
      <c r="H76" s="184"/>
      <c r="I76" s="185">
        <v>15588</v>
      </c>
      <c r="J76" s="185"/>
      <c r="K76" s="185"/>
      <c r="L76" s="185"/>
      <c r="M76" s="185"/>
      <c r="N76" s="185"/>
      <c r="O76" s="185"/>
      <c r="P76" s="185">
        <v>5422</v>
      </c>
      <c r="Q76" s="185">
        <v>600</v>
      </c>
      <c r="R76" s="185">
        <v>182</v>
      </c>
      <c r="S76" s="185"/>
      <c r="T76" s="185"/>
      <c r="U76" s="185">
        <v>1280</v>
      </c>
      <c r="V76" s="185"/>
      <c r="W76" s="185">
        <v>480</v>
      </c>
      <c r="X76" s="185">
        <v>405</v>
      </c>
      <c r="Y76" s="185">
        <v>2548</v>
      </c>
      <c r="Z76" s="185"/>
      <c r="AA76" s="185">
        <v>427</v>
      </c>
      <c r="AB76" s="185">
        <v>811</v>
      </c>
      <c r="AC76" s="185">
        <v>765</v>
      </c>
      <c r="AD76" s="185"/>
      <c r="AE76" s="185">
        <v>260</v>
      </c>
      <c r="AF76" s="185"/>
      <c r="AG76" s="185">
        <v>7800</v>
      </c>
      <c r="AH76" s="185"/>
      <c r="AI76" s="185">
        <v>600</v>
      </c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f>23821+930</f>
        <v>24751</v>
      </c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>
        <v>25896</v>
      </c>
      <c r="CD76" s="248" t="s">
        <v>221</v>
      </c>
      <c r="CE76" s="195">
        <f t="shared" si="8"/>
        <v>99240</v>
      </c>
      <c r="CF76" s="195">
        <f>BE59-CE76</f>
        <v>0</v>
      </c>
    </row>
    <row r="77" spans="1:84" ht="13.8" x14ac:dyDescent="0.25">
      <c r="A77" s="171" t="s">
        <v>249</v>
      </c>
      <c r="B77" s="175"/>
      <c r="C77" s="184">
        <v>2532</v>
      </c>
      <c r="D77" s="184"/>
      <c r="E77" s="184">
        <f>9601+423</f>
        <v>10024</v>
      </c>
      <c r="F77" s="184"/>
      <c r="G77" s="184"/>
      <c r="H77" s="184"/>
      <c r="I77" s="184">
        <v>19315</v>
      </c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232</v>
      </c>
      <c r="AH77" s="184"/>
      <c r="AI77" s="184">
        <v>27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32130</v>
      </c>
      <c r="CF77" s="195">
        <f>AY59-CE77</f>
        <v>70595</v>
      </c>
    </row>
    <row r="78" spans="1:84" ht="12.6" customHeight="1" x14ac:dyDescent="0.25">
      <c r="A78" s="171" t="s">
        <v>250</v>
      </c>
      <c r="B78" s="175"/>
      <c r="C78" s="184">
        <v>1267</v>
      </c>
      <c r="D78" s="184"/>
      <c r="E78" s="184">
        <v>5315</v>
      </c>
      <c r="F78" s="184"/>
      <c r="G78" s="184"/>
      <c r="H78" s="184"/>
      <c r="I78" s="184">
        <v>8982</v>
      </c>
      <c r="J78" s="184"/>
      <c r="K78" s="184"/>
      <c r="L78" s="184"/>
      <c r="M78" s="184"/>
      <c r="N78" s="184"/>
      <c r="O78" s="184"/>
      <c r="P78" s="184">
        <v>3123</v>
      </c>
      <c r="Q78" s="184">
        <v>346</v>
      </c>
      <c r="R78" s="184">
        <v>105</v>
      </c>
      <c r="S78" s="184"/>
      <c r="T78" s="184"/>
      <c r="U78" s="184">
        <v>738</v>
      </c>
      <c r="V78" s="184"/>
      <c r="W78" s="184">
        <v>276</v>
      </c>
      <c r="X78" s="184">
        <v>232</v>
      </c>
      <c r="Y78" s="184">
        <v>1467</v>
      </c>
      <c r="Z78" s="184"/>
      <c r="AA78" s="184">
        <v>246</v>
      </c>
      <c r="AB78" s="184">
        <v>467</v>
      </c>
      <c r="AC78" s="184">
        <v>440</v>
      </c>
      <c r="AD78" s="184"/>
      <c r="AE78" s="184">
        <v>149</v>
      </c>
      <c r="AF78" s="184"/>
      <c r="AG78" s="184">
        <v>4494</v>
      </c>
      <c r="AH78" s="184"/>
      <c r="AI78" s="184">
        <v>346</v>
      </c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14269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42262</v>
      </c>
      <c r="CF78" s="195"/>
    </row>
    <row r="79" spans="1:84" ht="12.6" customHeight="1" x14ac:dyDescent="0.25">
      <c r="A79" s="171" t="s">
        <v>251</v>
      </c>
      <c r="B79" s="175"/>
      <c r="C79" s="225">
        <v>9926</v>
      </c>
      <c r="D79" s="225"/>
      <c r="E79" s="184">
        <v>69481</v>
      </c>
      <c r="F79" s="184"/>
      <c r="G79" s="184"/>
      <c r="H79" s="184"/>
      <c r="I79" s="184">
        <v>10585</v>
      </c>
      <c r="J79" s="184"/>
      <c r="K79" s="184"/>
      <c r="L79" s="184"/>
      <c r="M79" s="184"/>
      <c r="N79" s="184"/>
      <c r="O79" s="184"/>
      <c r="P79" s="184">
        <v>49630</v>
      </c>
      <c r="Q79" s="184"/>
      <c r="R79" s="184"/>
      <c r="S79" s="184"/>
      <c r="T79" s="184"/>
      <c r="U79" s="184"/>
      <c r="V79" s="184"/>
      <c r="W79" s="184">
        <v>427</v>
      </c>
      <c r="X79" s="184"/>
      <c r="Y79" s="184"/>
      <c r="Z79" s="184"/>
      <c r="AA79" s="184"/>
      <c r="AB79" s="184"/>
      <c r="AC79" s="184"/>
      <c r="AD79" s="184"/>
      <c r="AE79" s="184">
        <v>6832</v>
      </c>
      <c r="AF79" s="184"/>
      <c r="AG79" s="184">
        <v>39704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31060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217645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7.11</v>
      </c>
      <c r="D80" s="187"/>
      <c r="E80" s="187">
        <v>23.92</v>
      </c>
      <c r="F80" s="187"/>
      <c r="G80" s="187"/>
      <c r="H80" s="187"/>
      <c r="I80" s="187">
        <v>9.66</v>
      </c>
      <c r="J80" s="187"/>
      <c r="K80" s="187"/>
      <c r="L80" s="187"/>
      <c r="M80" s="187"/>
      <c r="N80" s="187"/>
      <c r="O80" s="187"/>
      <c r="P80" s="187">
        <v>2.92</v>
      </c>
      <c r="Q80" s="187">
        <v>1.86</v>
      </c>
      <c r="R80" s="187">
        <v>0</v>
      </c>
      <c r="S80" s="187"/>
      <c r="T80" s="187"/>
      <c r="U80" s="187">
        <v>0</v>
      </c>
      <c r="V80" s="187"/>
      <c r="W80" s="187">
        <v>0</v>
      </c>
      <c r="X80" s="187">
        <v>0</v>
      </c>
      <c r="Y80" s="187">
        <v>0</v>
      </c>
      <c r="Z80" s="187"/>
      <c r="AA80" s="187">
        <v>0</v>
      </c>
      <c r="AB80" s="187"/>
      <c r="AC80" s="187"/>
      <c r="AD80" s="187"/>
      <c r="AE80" s="187"/>
      <c r="AF80" s="187"/>
      <c r="AG80" s="187">
        <v>18.489999999999998</v>
      </c>
      <c r="AH80" s="187"/>
      <c r="AI80" s="187">
        <v>4.01</v>
      </c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1.84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69.81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69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84" t="s">
        <v>1277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1074</v>
      </c>
      <c r="D111" s="174">
        <f>3174+884</f>
        <v>4058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734</v>
      </c>
      <c r="D113" s="174">
        <v>6328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34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61</v>
      </c>
    </row>
    <row r="128" spans="1:5" ht="12.6" customHeight="1" x14ac:dyDescent="0.25">
      <c r="A128" s="173" t="s">
        <v>292</v>
      </c>
      <c r="B128" s="172" t="s">
        <v>256</v>
      </c>
      <c r="C128" s="189">
        <v>112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549</v>
      </c>
      <c r="C138" s="189">
        <v>224</v>
      </c>
      <c r="D138" s="174">
        <v>301</v>
      </c>
      <c r="E138" s="175">
        <f>SUM(B138:D138)</f>
        <v>1074</v>
      </c>
    </row>
    <row r="139" spans="1:6" ht="12.6" customHeight="1" x14ac:dyDescent="0.25">
      <c r="A139" s="173" t="s">
        <v>215</v>
      </c>
      <c r="B139" s="174">
        <v>2260</v>
      </c>
      <c r="C139" s="189">
        <v>912</v>
      </c>
      <c r="D139" s="174">
        <v>886</v>
      </c>
      <c r="E139" s="175">
        <f>SUM(B139:D139)</f>
        <v>4058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15806333</v>
      </c>
      <c r="C141" s="189">
        <v>6673818</v>
      </c>
      <c r="D141" s="174">
        <v>9613860</v>
      </c>
      <c r="E141" s="175">
        <f>SUM(B141:D141)</f>
        <v>32094011</v>
      </c>
      <c r="F141" s="199"/>
    </row>
    <row r="142" spans="1:6" ht="12.6" customHeight="1" x14ac:dyDescent="0.25">
      <c r="A142" s="173" t="s">
        <v>246</v>
      </c>
      <c r="B142" s="174">
        <v>24979023</v>
      </c>
      <c r="C142" s="189">
        <v>22327467</v>
      </c>
      <c r="D142" s="174">
        <v>35033078</v>
      </c>
      <c r="E142" s="175">
        <f>SUM(B142:D142)</f>
        <v>82339568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17</v>
      </c>
      <c r="C150" s="189">
        <v>73</v>
      </c>
      <c r="D150" s="174">
        <v>644</v>
      </c>
      <c r="E150" s="175">
        <f>SUM(B150:D150)</f>
        <v>734</v>
      </c>
    </row>
    <row r="151" spans="1:5" ht="12.6" customHeight="1" x14ac:dyDescent="0.25">
      <c r="A151" s="173" t="s">
        <v>215</v>
      </c>
      <c r="B151" s="174">
        <v>200</v>
      </c>
      <c r="C151" s="189">
        <v>881</v>
      </c>
      <c r="D151" s="174">
        <v>5247</v>
      </c>
      <c r="E151" s="175">
        <f>SUM(B151:D151)</f>
        <v>6328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>
        <v>141559</v>
      </c>
      <c r="C153" s="189">
        <v>1036927</v>
      </c>
      <c r="D153" s="174">
        <v>4436702</v>
      </c>
      <c r="E153" s="175">
        <f>SUM(B153:D153)</f>
        <v>5615188</v>
      </c>
    </row>
    <row r="154" spans="1:5" ht="12.6" customHeight="1" x14ac:dyDescent="0.25">
      <c r="A154" s="173" t="s">
        <v>246</v>
      </c>
      <c r="B154" s="174"/>
      <c r="C154" s="189">
        <v>344</v>
      </c>
      <c r="D154" s="174">
        <v>366180</v>
      </c>
      <c r="E154" s="175">
        <f>SUM(B154:D154)</f>
        <v>366524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3058792</v>
      </c>
      <c r="C157" s="174">
        <v>1301090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1554058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91799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240283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50587+449308</f>
        <v>499895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11728+6064+8164+2487667-109</f>
        <v>2513514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4899549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f>427370+21492+40808+36863+36863+72192+166266</f>
        <v>801854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1170328-C175</f>
        <v>368474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1170328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164452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144788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309240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37412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37412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67223+46261+917541</f>
        <v>1031025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1031025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1878610</v>
      </c>
      <c r="C195" s="189"/>
      <c r="D195" s="174"/>
      <c r="E195" s="175">
        <f t="shared" ref="E195:E203" si="10">SUM(B195:C195)-D195</f>
        <v>1878610</v>
      </c>
    </row>
    <row r="196" spans="1:8" ht="12.6" customHeight="1" x14ac:dyDescent="0.25">
      <c r="A196" s="173" t="s">
        <v>333</v>
      </c>
      <c r="B196" s="174">
        <v>1145661</v>
      </c>
      <c r="C196" s="189"/>
      <c r="D196" s="174"/>
      <c r="E196" s="175">
        <f t="shared" si="10"/>
        <v>1145661</v>
      </c>
    </row>
    <row r="197" spans="1:8" ht="12.6" customHeight="1" x14ac:dyDescent="0.25">
      <c r="A197" s="173" t="s">
        <v>334</v>
      </c>
      <c r="B197" s="174">
        <v>22237141</v>
      </c>
      <c r="C197" s="189">
        <v>985512</v>
      </c>
      <c r="D197" s="174"/>
      <c r="E197" s="175">
        <f t="shared" si="10"/>
        <v>23222653</v>
      </c>
    </row>
    <row r="198" spans="1:8" ht="12.6" customHeight="1" x14ac:dyDescent="0.25">
      <c r="A198" s="173" t="s">
        <v>335</v>
      </c>
      <c r="B198" s="174">
        <v>2446962</v>
      </c>
      <c r="C198" s="189">
        <v>27878</v>
      </c>
      <c r="D198" s="174"/>
      <c r="E198" s="175">
        <f t="shared" si="10"/>
        <v>2474840</v>
      </c>
    </row>
    <row r="199" spans="1:8" ht="12.6" customHeight="1" x14ac:dyDescent="0.25">
      <c r="A199" s="173" t="s">
        <v>336</v>
      </c>
      <c r="B199" s="174">
        <v>24382</v>
      </c>
      <c r="C199" s="189"/>
      <c r="D199" s="174"/>
      <c r="E199" s="175">
        <f t="shared" si="10"/>
        <v>24382</v>
      </c>
    </row>
    <row r="200" spans="1:8" ht="12.6" customHeight="1" x14ac:dyDescent="0.25">
      <c r="A200" s="173" t="s">
        <v>337</v>
      </c>
      <c r="B200" s="174">
        <v>16921950</v>
      </c>
      <c r="C200" s="189">
        <v>1624876</v>
      </c>
      <c r="D200" s="174">
        <v>477499</v>
      </c>
      <c r="E200" s="175">
        <f t="shared" si="10"/>
        <v>18069327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2836105</v>
      </c>
      <c r="C202" s="189">
        <v>215437</v>
      </c>
      <c r="D202" s="174"/>
      <c r="E202" s="175">
        <f t="shared" si="10"/>
        <v>3051542</v>
      </c>
    </row>
    <row r="203" spans="1:8" ht="12.6" customHeight="1" x14ac:dyDescent="0.25">
      <c r="A203" s="173" t="s">
        <v>340</v>
      </c>
      <c r="B203" s="174">
        <v>905374</v>
      </c>
      <c r="C203" s="189">
        <v>1269943</v>
      </c>
      <c r="D203" s="174">
        <v>1295150</v>
      </c>
      <c r="E203" s="175">
        <f t="shared" si="10"/>
        <v>880167</v>
      </c>
    </row>
    <row r="204" spans="1:8" ht="12.6" customHeight="1" x14ac:dyDescent="0.25">
      <c r="A204" s="173" t="s">
        <v>203</v>
      </c>
      <c r="B204" s="175">
        <f>SUM(B195:B203)</f>
        <v>48396185</v>
      </c>
      <c r="C204" s="191">
        <f>SUM(C195:C203)</f>
        <v>4123646</v>
      </c>
      <c r="D204" s="175">
        <f>SUM(D195:D203)</f>
        <v>1772649</v>
      </c>
      <c r="E204" s="175">
        <f>SUM(E195:E203)</f>
        <v>50747182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711056</v>
      </c>
      <c r="C209" s="189">
        <v>55215</v>
      </c>
      <c r="D209" s="174"/>
      <c r="E209" s="175">
        <f t="shared" ref="E209:E216" si="11">SUM(B209:C209)-D209</f>
        <v>766271</v>
      </c>
      <c r="H209" s="258"/>
    </row>
    <row r="210" spans="1:8" ht="12.6" customHeight="1" x14ac:dyDescent="0.25">
      <c r="A210" s="173" t="s">
        <v>334</v>
      </c>
      <c r="B210" s="174">
        <f>1474770+14694113</f>
        <v>16168883</v>
      </c>
      <c r="C210" s="189">
        <f>21374+831168</f>
        <v>852542</v>
      </c>
      <c r="D210" s="174"/>
      <c r="E210" s="175">
        <f t="shared" si="11"/>
        <v>17021425</v>
      </c>
      <c r="H210" s="258"/>
    </row>
    <row r="211" spans="1:8" ht="12.6" customHeight="1" x14ac:dyDescent="0.25">
      <c r="A211" s="173" t="s">
        <v>335</v>
      </c>
      <c r="B211" s="174">
        <v>1264687</v>
      </c>
      <c r="C211" s="189">
        <v>53251</v>
      </c>
      <c r="D211" s="174"/>
      <c r="E211" s="175">
        <f t="shared" si="11"/>
        <v>1317938</v>
      </c>
      <c r="H211" s="258"/>
    </row>
    <row r="212" spans="1:8" ht="12.6" customHeight="1" x14ac:dyDescent="0.25">
      <c r="A212" s="173" t="s">
        <v>336</v>
      </c>
      <c r="B212" s="174">
        <v>897590</v>
      </c>
      <c r="C212" s="189">
        <f>1150+27103</f>
        <v>28253</v>
      </c>
      <c r="D212" s="174"/>
      <c r="E212" s="175">
        <f t="shared" si="11"/>
        <v>925843</v>
      </c>
      <c r="H212" s="258"/>
    </row>
    <row r="213" spans="1:8" ht="12.6" customHeight="1" x14ac:dyDescent="0.25">
      <c r="A213" s="173" t="s">
        <v>337</v>
      </c>
      <c r="B213" s="174">
        <f>16172516-2094924</f>
        <v>14077592</v>
      </c>
      <c r="C213" s="189">
        <f>728105+116169</f>
        <v>844274</v>
      </c>
      <c r="D213" s="174">
        <v>366192</v>
      </c>
      <c r="E213" s="175">
        <f t="shared" si="11"/>
        <v>14555674</v>
      </c>
      <c r="H213" s="258"/>
    </row>
    <row r="214" spans="1:8" ht="12.6" customHeight="1" x14ac:dyDescent="0.25">
      <c r="A214" s="173" t="s">
        <v>338</v>
      </c>
      <c r="B214" s="174">
        <f>5865+15282</f>
        <v>21147</v>
      </c>
      <c r="C214" s="189">
        <f>1765</f>
        <v>1765</v>
      </c>
      <c r="D214" s="174"/>
      <c r="E214" s="175">
        <f t="shared" si="11"/>
        <v>22912</v>
      </c>
      <c r="H214" s="258"/>
    </row>
    <row r="215" spans="1:8" ht="12.6" customHeight="1" x14ac:dyDescent="0.25">
      <c r="A215" s="173" t="s">
        <v>339</v>
      </c>
      <c r="B215" s="174">
        <f>1712231</f>
        <v>1712231</v>
      </c>
      <c r="C215" s="189">
        <f>10587+161273.5</f>
        <v>171860.5</v>
      </c>
      <c r="D215" s="174"/>
      <c r="E215" s="175">
        <f t="shared" si="11"/>
        <v>1884091.5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34853186</v>
      </c>
      <c r="C217" s="191">
        <f>SUM(C208:C216)</f>
        <v>2007160.5</v>
      </c>
      <c r="D217" s="175">
        <f>SUM(D208:D216)</f>
        <v>366192</v>
      </c>
      <c r="E217" s="175">
        <f>SUM(E208:E216)</f>
        <v>36494154.5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4797015</v>
      </c>
      <c r="D221" s="172">
        <f>C221</f>
        <v>4797015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29696262.43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24749928.289999999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1699136.38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1466622.46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15646935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73258884.560000002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560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83401.58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503112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586513.57999999996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10553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10553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78652966.140000001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570146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14882177.42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8892762.31</f>
        <v>8892762.3100000005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1210325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667959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1024871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272196</f>
        <v>272196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9734912.1099999994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163130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163130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1878609.67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1145661.3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23222652.829999998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2474840.23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24382+18069326.57</f>
        <v>18093708.57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3051544.03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880167.45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50747184.079999998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36494155.310000002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14253028.769999996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39130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39130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24190200.879999995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760602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2063538+2973472</f>
        <v>5037010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2490942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77473</f>
        <v>77473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212568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8578595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f>17598563.48-C325+125000+309230</f>
        <v>522793.48000000045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17510000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1553771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19586564.48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19586564.48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0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-4106137+249649-118470</f>
        <v>-3974958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24190201.48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24190200.879999995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37709200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82706094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120415294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4797015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73248282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586514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50+10553</f>
        <v>10603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78642414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41772880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2029765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2029765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43802645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19333070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7920759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4398453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5762602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658807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3854454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2007160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1170328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164452+144788</f>
        <v>309240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37412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67223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1763474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47282982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-3480337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4647854-1070156</f>
        <v>3577698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97361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208599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305960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EvergreenHealth Monroe   H-0     FYE 12/31/2017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1074</v>
      </c>
      <c r="C414" s="194">
        <f>E138</f>
        <v>1074</v>
      </c>
      <c r="D414" s="179"/>
    </row>
    <row r="415" spans="1:5" ht="12.6" customHeight="1" x14ac:dyDescent="0.25">
      <c r="A415" s="179" t="s">
        <v>464</v>
      </c>
      <c r="B415" s="179">
        <f>D111</f>
        <v>4058</v>
      </c>
      <c r="C415" s="179">
        <f>E139</f>
        <v>4058</v>
      </c>
      <c r="D415" s="194">
        <f>SUM(C59:H59)+N59</f>
        <v>4627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734</v>
      </c>
      <c r="C420" s="179">
        <f>E150</f>
        <v>734</v>
      </c>
      <c r="D420" s="179"/>
    </row>
    <row r="421" spans="1:7" ht="12.6" customHeight="1" x14ac:dyDescent="0.25">
      <c r="A421" s="179" t="s">
        <v>468</v>
      </c>
      <c r="B421" s="179">
        <f>D113</f>
        <v>6328</v>
      </c>
      <c r="C421" s="179">
        <f>E151</f>
        <v>6328</v>
      </c>
      <c r="D421" s="179">
        <f>I59</f>
        <v>6328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19333070</v>
      </c>
      <c r="C427" s="179">
        <f t="shared" ref="C427:C434" si="13">CE61</f>
        <v>21705009.289999999</v>
      </c>
      <c r="D427" s="179"/>
    </row>
    <row r="428" spans="1:7" ht="12.6" customHeight="1" x14ac:dyDescent="0.25">
      <c r="A428" s="179" t="s">
        <v>3</v>
      </c>
      <c r="B428" s="179">
        <f t="shared" si="12"/>
        <v>7920759</v>
      </c>
      <c r="C428" s="179">
        <f t="shared" si="13"/>
        <v>4899551</v>
      </c>
      <c r="D428" s="179">
        <f>D173</f>
        <v>4899549</v>
      </c>
    </row>
    <row r="429" spans="1:7" ht="12.6" customHeight="1" x14ac:dyDescent="0.25">
      <c r="A429" s="179" t="s">
        <v>236</v>
      </c>
      <c r="B429" s="179">
        <f t="shared" si="12"/>
        <v>4398453</v>
      </c>
      <c r="C429" s="179">
        <f t="shared" si="13"/>
        <v>3805954</v>
      </c>
      <c r="D429" s="179"/>
    </row>
    <row r="430" spans="1:7" ht="12.6" customHeight="1" x14ac:dyDescent="0.25">
      <c r="A430" s="179" t="s">
        <v>237</v>
      </c>
      <c r="B430" s="179">
        <f t="shared" si="12"/>
        <v>5762602</v>
      </c>
      <c r="C430" s="179">
        <f t="shared" si="13"/>
        <v>5762625</v>
      </c>
      <c r="D430" s="179"/>
    </row>
    <row r="431" spans="1:7" ht="12.6" customHeight="1" x14ac:dyDescent="0.25">
      <c r="A431" s="179" t="s">
        <v>444</v>
      </c>
      <c r="B431" s="179">
        <f t="shared" si="12"/>
        <v>658807</v>
      </c>
      <c r="C431" s="179">
        <f t="shared" si="13"/>
        <v>658807</v>
      </c>
      <c r="D431" s="179"/>
    </row>
    <row r="432" spans="1:7" ht="12.6" customHeight="1" x14ac:dyDescent="0.25">
      <c r="A432" s="179" t="s">
        <v>445</v>
      </c>
      <c r="B432" s="179">
        <f t="shared" si="12"/>
        <v>3854454</v>
      </c>
      <c r="C432" s="179">
        <f t="shared" si="13"/>
        <v>4939720</v>
      </c>
      <c r="D432" s="179"/>
    </row>
    <row r="433" spans="1:7" ht="12.6" customHeight="1" x14ac:dyDescent="0.25">
      <c r="A433" s="179" t="s">
        <v>6</v>
      </c>
      <c r="B433" s="179">
        <f t="shared" si="12"/>
        <v>2007160</v>
      </c>
      <c r="C433" s="179">
        <f t="shared" si="13"/>
        <v>2007160</v>
      </c>
      <c r="D433" s="179">
        <f>C217</f>
        <v>2007160.5</v>
      </c>
    </row>
    <row r="434" spans="1:7" ht="12.6" customHeight="1" x14ac:dyDescent="0.25">
      <c r="A434" s="179" t="s">
        <v>474</v>
      </c>
      <c r="B434" s="179">
        <f t="shared" si="12"/>
        <v>1170328</v>
      </c>
      <c r="C434" s="179">
        <f t="shared" si="13"/>
        <v>1170329</v>
      </c>
      <c r="D434" s="179">
        <f>D177</f>
        <v>1170328</v>
      </c>
    </row>
    <row r="435" spans="1:7" ht="12.6" customHeight="1" x14ac:dyDescent="0.25">
      <c r="A435" s="179" t="s">
        <v>447</v>
      </c>
      <c r="B435" s="179">
        <f t="shared" si="12"/>
        <v>309240</v>
      </c>
      <c r="C435" s="179"/>
      <c r="D435" s="179">
        <f>D181</f>
        <v>309240</v>
      </c>
    </row>
    <row r="436" spans="1:7" ht="12.6" customHeight="1" x14ac:dyDescent="0.25">
      <c r="A436" s="179" t="s">
        <v>475</v>
      </c>
      <c r="B436" s="179">
        <f t="shared" si="12"/>
        <v>37412</v>
      </c>
      <c r="C436" s="179"/>
      <c r="D436" s="179">
        <f>D186</f>
        <v>37412</v>
      </c>
    </row>
    <row r="437" spans="1:7" ht="12.6" customHeight="1" x14ac:dyDescent="0.25">
      <c r="A437" s="194" t="s">
        <v>449</v>
      </c>
      <c r="B437" s="194">
        <f t="shared" si="12"/>
        <v>67223</v>
      </c>
      <c r="C437" s="194"/>
      <c r="D437" s="194">
        <f>D190</f>
        <v>1031025</v>
      </c>
    </row>
    <row r="438" spans="1:7" ht="12.6" customHeight="1" x14ac:dyDescent="0.25">
      <c r="A438" s="194" t="s">
        <v>476</v>
      </c>
      <c r="B438" s="194">
        <f>C386+C387+C388</f>
        <v>413875</v>
      </c>
      <c r="C438" s="194">
        <f>CD69</f>
        <v>0</v>
      </c>
      <c r="D438" s="194">
        <f>D181+D186+D190</f>
        <v>1377677</v>
      </c>
    </row>
    <row r="439" spans="1:7" ht="12.6" customHeight="1" x14ac:dyDescent="0.25">
      <c r="A439" s="179" t="s">
        <v>451</v>
      </c>
      <c r="B439" s="194">
        <f>C389</f>
        <v>1763474</v>
      </c>
      <c r="C439" s="194">
        <f>SUM(C69:CC69)</f>
        <v>409598</v>
      </c>
      <c r="D439" s="179"/>
    </row>
    <row r="440" spans="1:7" ht="12.6" customHeight="1" x14ac:dyDescent="0.25">
      <c r="A440" s="179" t="s">
        <v>477</v>
      </c>
      <c r="B440" s="194">
        <f>B438+B439</f>
        <v>2177349</v>
      </c>
      <c r="C440" s="194">
        <f>CE69</f>
        <v>409598</v>
      </c>
      <c r="D440" s="179"/>
    </row>
    <row r="441" spans="1:7" ht="12.6" customHeight="1" x14ac:dyDescent="0.25">
      <c r="A441" s="179" t="s">
        <v>478</v>
      </c>
      <c r="B441" s="179">
        <f>D390</f>
        <v>47282982</v>
      </c>
      <c r="C441" s="179">
        <f>SUM(C427:C437)+C440</f>
        <v>45358753.289999999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4797015</v>
      </c>
      <c r="C444" s="179">
        <f>C363</f>
        <v>4797015</v>
      </c>
      <c r="D444" s="179"/>
    </row>
    <row r="445" spans="1:7" ht="12.6" customHeight="1" x14ac:dyDescent="0.25">
      <c r="A445" s="179" t="s">
        <v>343</v>
      </c>
      <c r="B445" s="179">
        <f>D229</f>
        <v>73258884.560000002</v>
      </c>
      <c r="C445" s="179">
        <f>C364</f>
        <v>73248282</v>
      </c>
      <c r="D445" s="179"/>
    </row>
    <row r="446" spans="1:7" ht="12.6" customHeight="1" x14ac:dyDescent="0.25">
      <c r="A446" s="179" t="s">
        <v>351</v>
      </c>
      <c r="B446" s="179">
        <f>D236</f>
        <v>586513.57999999996</v>
      </c>
      <c r="C446" s="179">
        <f>C365</f>
        <v>586514</v>
      </c>
      <c r="D446" s="179"/>
    </row>
    <row r="447" spans="1:7" ht="12.6" customHeight="1" x14ac:dyDescent="0.25">
      <c r="A447" s="179" t="s">
        <v>356</v>
      </c>
      <c r="B447" s="179">
        <f>D240</f>
        <v>10553</v>
      </c>
      <c r="C447" s="179">
        <f>C366</f>
        <v>10603</v>
      </c>
      <c r="D447" s="179"/>
    </row>
    <row r="448" spans="1:7" ht="12.6" customHeight="1" x14ac:dyDescent="0.25">
      <c r="A448" s="179" t="s">
        <v>358</v>
      </c>
      <c r="B448" s="179">
        <f>D242</f>
        <v>78652966.140000001</v>
      </c>
      <c r="C448" s="179">
        <f>D367</f>
        <v>78642414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560</v>
      </c>
    </row>
    <row r="454" spans="1:7" ht="12.6" customHeight="1" x14ac:dyDescent="0.25">
      <c r="A454" s="179" t="s">
        <v>168</v>
      </c>
      <c r="B454" s="179">
        <f>C233</f>
        <v>83401.58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503112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2029765</v>
      </c>
      <c r="C458" s="194">
        <f>CE70</f>
        <v>2029765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37709200</v>
      </c>
      <c r="C463" s="194">
        <f>CE73</f>
        <v>37709200</v>
      </c>
      <c r="D463" s="194">
        <f>E141+E147+E153</f>
        <v>37709199</v>
      </c>
    </row>
    <row r="464" spans="1:7" ht="12.6" customHeight="1" x14ac:dyDescent="0.25">
      <c r="A464" s="179" t="s">
        <v>246</v>
      </c>
      <c r="B464" s="194">
        <f>C360</f>
        <v>82706094</v>
      </c>
      <c r="C464" s="194">
        <f>CE74</f>
        <v>82706095</v>
      </c>
      <c r="D464" s="194">
        <f>E142+E148+E154</f>
        <v>82706092</v>
      </c>
    </row>
    <row r="465" spans="1:7" ht="12.6" customHeight="1" x14ac:dyDescent="0.25">
      <c r="A465" s="179" t="s">
        <v>247</v>
      </c>
      <c r="B465" s="194">
        <f>D361</f>
        <v>120415294</v>
      </c>
      <c r="C465" s="194">
        <f>CE75</f>
        <v>120415295</v>
      </c>
      <c r="D465" s="194">
        <f>D463+D464</f>
        <v>120415291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1878609.67</v>
      </c>
      <c r="C468" s="179">
        <f>E195</f>
        <v>1878610</v>
      </c>
      <c r="D468" s="179"/>
    </row>
    <row r="469" spans="1:7" ht="12.6" customHeight="1" x14ac:dyDescent="0.25">
      <c r="A469" s="179" t="s">
        <v>333</v>
      </c>
      <c r="B469" s="179">
        <f t="shared" si="14"/>
        <v>1145661.3</v>
      </c>
      <c r="C469" s="179">
        <f>E196</f>
        <v>1145661</v>
      </c>
      <c r="D469" s="179"/>
    </row>
    <row r="470" spans="1:7" ht="12.6" customHeight="1" x14ac:dyDescent="0.25">
      <c r="A470" s="179" t="s">
        <v>334</v>
      </c>
      <c r="B470" s="179">
        <f t="shared" si="14"/>
        <v>23222652.829999998</v>
      </c>
      <c r="C470" s="179">
        <f>E197</f>
        <v>23222653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2474840</v>
      </c>
      <c r="D471" s="179"/>
    </row>
    <row r="472" spans="1:7" ht="12.6" customHeight="1" x14ac:dyDescent="0.25">
      <c r="A472" s="179" t="s">
        <v>377</v>
      </c>
      <c r="B472" s="179">
        <f t="shared" si="14"/>
        <v>2474840.23</v>
      </c>
      <c r="C472" s="179">
        <f>E199</f>
        <v>24382</v>
      </c>
      <c r="D472" s="179"/>
    </row>
    <row r="473" spans="1:7" ht="12.6" customHeight="1" x14ac:dyDescent="0.25">
      <c r="A473" s="179" t="s">
        <v>495</v>
      </c>
      <c r="B473" s="179">
        <f t="shared" si="14"/>
        <v>18093708.57</v>
      </c>
      <c r="C473" s="179">
        <f>SUM(E200:E201)</f>
        <v>18069327</v>
      </c>
      <c r="D473" s="179"/>
    </row>
    <row r="474" spans="1:7" ht="12.6" customHeight="1" x14ac:dyDescent="0.25">
      <c r="A474" s="179" t="s">
        <v>339</v>
      </c>
      <c r="B474" s="179">
        <f t="shared" si="14"/>
        <v>3051544.03</v>
      </c>
      <c r="C474" s="179">
        <f>E202</f>
        <v>3051542</v>
      </c>
      <c r="D474" s="179"/>
    </row>
    <row r="475" spans="1:7" ht="12.6" customHeight="1" x14ac:dyDescent="0.25">
      <c r="A475" s="179" t="s">
        <v>340</v>
      </c>
      <c r="B475" s="179">
        <f t="shared" si="14"/>
        <v>880167.45</v>
      </c>
      <c r="C475" s="179">
        <f>E203</f>
        <v>880167</v>
      </c>
      <c r="D475" s="179"/>
    </row>
    <row r="476" spans="1:7" ht="12.6" customHeight="1" x14ac:dyDescent="0.25">
      <c r="A476" s="179" t="s">
        <v>203</v>
      </c>
      <c r="B476" s="179">
        <f>D275</f>
        <v>50747184.079999998</v>
      </c>
      <c r="C476" s="179">
        <f>E204</f>
        <v>50747182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36494155.310000002</v>
      </c>
      <c r="C478" s="179">
        <f>E217</f>
        <v>36494154.5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24190200.879999995</v>
      </c>
    </row>
    <row r="482" spans="1:12" ht="12.6" customHeight="1" x14ac:dyDescent="0.25">
      <c r="A482" s="180" t="s">
        <v>499</v>
      </c>
      <c r="C482" s="180">
        <f>D339</f>
        <v>24190201.48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EvergreenHealth Monroe   H-0     FYE 12/31/2017</v>
      </c>
      <c r="B493" s="260" t="s">
        <v>1266</v>
      </c>
      <c r="C493" s="260" t="str">
        <f>RIGHT(C82,4)</f>
        <v>2017</v>
      </c>
      <c r="D493" s="260" t="s">
        <v>1266</v>
      </c>
      <c r="E493" s="260" t="str">
        <f>RIGHT(C82,4)</f>
        <v>2017</v>
      </c>
      <c r="F493" s="260" t="s">
        <v>1266</v>
      </c>
      <c r="G493" s="260" t="str">
        <f>RIGHT(C82,4)</f>
        <v>2017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1352518</v>
      </c>
      <c r="C496" s="239">
        <f>C71</f>
        <v>1064252</v>
      </c>
      <c r="D496" s="239">
        <v>721</v>
      </c>
      <c r="E496" s="180">
        <f>C59</f>
        <v>884</v>
      </c>
      <c r="F496" s="262">
        <f t="shared" ref="F496:G511" si="15">IF(B496=0,"",IF(D496=0,"",B496/D496))</f>
        <v>1875.891816920943</v>
      </c>
      <c r="G496" s="263">
        <f t="shared" si="15"/>
        <v>1203.9049773755655</v>
      </c>
      <c r="H496" s="264">
        <f>IF(B496=0,"",IF(C496=0,"",IF(D496=0,"",IF(E496=0,"",IF(G496/F496-1&lt;-0.25,G496/F496-1,IF(G496/F496-1&gt;0.25,G496/F496-1,""))))))</f>
        <v>-0.35822259763804787</v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3158609</v>
      </c>
      <c r="C498" s="239">
        <f>E71</f>
        <v>3032678</v>
      </c>
      <c r="D498" s="239">
        <v>3917</v>
      </c>
      <c r="E498" s="180">
        <f>E59</f>
        <v>3743</v>
      </c>
      <c r="F498" s="262">
        <f t="shared" si="15"/>
        <v>806.38473321419451</v>
      </c>
      <c r="G498" s="262">
        <f t="shared" si="15"/>
        <v>810.22655623831156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0</v>
      </c>
      <c r="C500" s="239">
        <f>G71</f>
        <v>0</v>
      </c>
      <c r="D500" s="239"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0</v>
      </c>
      <c r="C501" s="239">
        <f>H71</f>
        <v>0</v>
      </c>
      <c r="D501" s="239"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3576157</v>
      </c>
      <c r="C502" s="239">
        <f>I71</f>
        <v>3620527</v>
      </c>
      <c r="D502" s="239">
        <v>6516</v>
      </c>
      <c r="E502" s="180">
        <f>I59</f>
        <v>6328</v>
      </c>
      <c r="F502" s="262">
        <f t="shared" si="15"/>
        <v>548.82704112952729</v>
      </c>
      <c r="G502" s="262">
        <f t="shared" si="15"/>
        <v>572.14396333754746</v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0</v>
      </c>
      <c r="C503" s="239">
        <f>J71</f>
        <v>0</v>
      </c>
      <c r="D503" s="239"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0</v>
      </c>
      <c r="C508" s="239">
        <f>O71</f>
        <v>0</v>
      </c>
      <c r="D508" s="239"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1524142</v>
      </c>
      <c r="C509" s="239">
        <f>P71</f>
        <v>1548612</v>
      </c>
      <c r="D509" s="239">
        <v>92074</v>
      </c>
      <c r="E509" s="180">
        <f>P59</f>
        <v>80829</v>
      </c>
      <c r="F509" s="262">
        <f t="shared" si="15"/>
        <v>16.553446141147337</v>
      </c>
      <c r="G509" s="262">
        <f t="shared" si="15"/>
        <v>19.159113684444939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356286</v>
      </c>
      <c r="C510" s="239">
        <f>Q71</f>
        <v>401117</v>
      </c>
      <c r="D510" s="239">
        <v>92074</v>
      </c>
      <c r="E510" s="180">
        <f>Q59</f>
        <v>96424</v>
      </c>
      <c r="F510" s="262">
        <f t="shared" si="15"/>
        <v>3.8695614397115365</v>
      </c>
      <c r="G510" s="262">
        <f t="shared" si="15"/>
        <v>4.1599290633037418</v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v>272164</v>
      </c>
      <c r="C511" s="239">
        <f>R71</f>
        <v>511798</v>
      </c>
      <c r="D511" s="239">
        <v>92074</v>
      </c>
      <c r="E511" s="180">
        <f>R59</f>
        <v>80829</v>
      </c>
      <c r="F511" s="262">
        <f t="shared" si="15"/>
        <v>2.955926754566979</v>
      </c>
      <c r="G511" s="262">
        <f t="shared" si="15"/>
        <v>6.3318610894604657</v>
      </c>
      <c r="H511" s="264">
        <f t="shared" si="16"/>
        <v>1.1420899823304436</v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2601863</v>
      </c>
      <c r="C512" s="239">
        <f>S71</f>
        <v>1797310.89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2213688</v>
      </c>
      <c r="C514" s="239">
        <f>U71</f>
        <v>2235566</v>
      </c>
      <c r="D514" s="239">
        <v>82748</v>
      </c>
      <c r="E514" s="180">
        <f>U59</f>
        <v>87223</v>
      </c>
      <c r="F514" s="262">
        <f t="shared" si="17"/>
        <v>26.752163194276598</v>
      </c>
      <c r="G514" s="262">
        <f t="shared" si="17"/>
        <v>25.630464441718352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v>19105</v>
      </c>
      <c r="C515" s="239">
        <f>V71</f>
        <v>0</v>
      </c>
      <c r="D515" s="239">
        <v>316</v>
      </c>
      <c r="E515" s="180">
        <f>V59</f>
        <v>0</v>
      </c>
      <c r="F515" s="262">
        <f t="shared" si="17"/>
        <v>60.458860759493668</v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v>589265</v>
      </c>
      <c r="C516" s="239">
        <f>W71</f>
        <v>523907</v>
      </c>
      <c r="D516" s="239">
        <v>1067</v>
      </c>
      <c r="E516" s="180">
        <f>W59</f>
        <v>933</v>
      </c>
      <c r="F516" s="262">
        <f t="shared" si="17"/>
        <v>552.26335520149951</v>
      </c>
      <c r="G516" s="262">
        <f t="shared" si="17"/>
        <v>561.52947481243302</v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v>721847</v>
      </c>
      <c r="C517" s="239">
        <f>X71</f>
        <v>909759</v>
      </c>
      <c r="D517" s="239">
        <v>4539</v>
      </c>
      <c r="E517" s="180">
        <f>X59</f>
        <v>4339</v>
      </c>
      <c r="F517" s="262">
        <f t="shared" si="17"/>
        <v>159.03216567525888</v>
      </c>
      <c r="G517" s="262">
        <f t="shared" si="17"/>
        <v>209.67020050702928</v>
      </c>
      <c r="H517" s="264">
        <f t="shared" si="16"/>
        <v>0.31841379142866266</v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v>465663</v>
      </c>
      <c r="C518" s="239">
        <f>Y71</f>
        <v>501925.4</v>
      </c>
      <c r="D518" s="239">
        <v>8841</v>
      </c>
      <c r="E518" s="180">
        <f>Y59</f>
        <v>8117</v>
      </c>
      <c r="F518" s="262">
        <f t="shared" si="17"/>
        <v>52.670851713607057</v>
      </c>
      <c r="G518" s="262">
        <f t="shared" si="17"/>
        <v>61.836318837008747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v>0</v>
      </c>
      <c r="C519" s="239">
        <f>Z71</f>
        <v>0</v>
      </c>
      <c r="D519" s="239"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188739</v>
      </c>
      <c r="C520" s="239">
        <f>AA71</f>
        <v>174468</v>
      </c>
      <c r="D520" s="239">
        <v>15</v>
      </c>
      <c r="E520" s="180">
        <f>AA59</f>
        <v>101</v>
      </c>
      <c r="F520" s="262">
        <f t="shared" si="17"/>
        <v>12582.6</v>
      </c>
      <c r="G520" s="262">
        <f t="shared" si="17"/>
        <v>1727.4059405940593</v>
      </c>
      <c r="H520" s="264">
        <f t="shared" si="16"/>
        <v>-0.86271470597538991</v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v>1918689</v>
      </c>
      <c r="C521" s="239">
        <f>AB71</f>
        <v>2545392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543325</v>
      </c>
      <c r="C522" s="239">
        <f>AC71</f>
        <v>531667</v>
      </c>
      <c r="D522" s="239">
        <v>6666</v>
      </c>
      <c r="E522" s="180">
        <f>AC59</f>
        <v>5787</v>
      </c>
      <c r="F522" s="262">
        <f t="shared" si="17"/>
        <v>81.506900690069003</v>
      </c>
      <c r="G522" s="262">
        <f t="shared" si="17"/>
        <v>91.872645584931746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633637</v>
      </c>
      <c r="C524" s="239">
        <f>AE71</f>
        <v>650048</v>
      </c>
      <c r="D524" s="239">
        <v>15620</v>
      </c>
      <c r="E524" s="180">
        <f>AE59</f>
        <v>15380</v>
      </c>
      <c r="F524" s="262">
        <f t="shared" si="17"/>
        <v>40.565749039692705</v>
      </c>
      <c r="G524" s="262">
        <f t="shared" si="17"/>
        <v>42.265799739921974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3981373</v>
      </c>
      <c r="C526" s="239">
        <f>AG71</f>
        <v>4537330</v>
      </c>
      <c r="D526" s="239">
        <v>15738</v>
      </c>
      <c r="E526" s="180">
        <f>AG59</f>
        <v>15996</v>
      </c>
      <c r="F526" s="262">
        <f t="shared" si="17"/>
        <v>252.97833269792858</v>
      </c>
      <c r="G526" s="262">
        <f t="shared" si="17"/>
        <v>283.65403850962741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643323</v>
      </c>
      <c r="C528" s="239">
        <f>AI71</f>
        <v>654200</v>
      </c>
      <c r="D528" s="239">
        <v>721</v>
      </c>
      <c r="E528" s="180">
        <f>AI59</f>
        <v>1013</v>
      </c>
      <c r="F528" s="262">
        <f t="shared" ref="F528:G540" si="18">IF(B528=0,"",IF(D528=0,"",B528/D528))</f>
        <v>892.26490984743407</v>
      </c>
      <c r="G528" s="262">
        <f t="shared" si="18"/>
        <v>645.80454096742346</v>
      </c>
      <c r="H528" s="264">
        <f t="shared" si="16"/>
        <v>-0.27621882936330222</v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v>0</v>
      </c>
      <c r="C529" s="239">
        <f>AJ71</f>
        <v>0</v>
      </c>
      <c r="D529" s="239"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v>146077</v>
      </c>
      <c r="C530" s="239">
        <f>AK71</f>
        <v>186246</v>
      </c>
      <c r="D530" s="239">
        <v>5037</v>
      </c>
      <c r="E530" s="180">
        <f>AK59</f>
        <v>4598</v>
      </c>
      <c r="F530" s="262">
        <f t="shared" si="18"/>
        <v>29.000794123486202</v>
      </c>
      <c r="G530" s="262">
        <f t="shared" si="18"/>
        <v>40.505872118312311</v>
      </c>
      <c r="H530" s="264">
        <f t="shared" si="16"/>
        <v>0.3967159639090283</v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17717</v>
      </c>
      <c r="C531" s="239">
        <f>AL71</f>
        <v>13984</v>
      </c>
      <c r="D531" s="239">
        <v>0</v>
      </c>
      <c r="E531" s="180">
        <f>AL59</f>
        <v>115</v>
      </c>
      <c r="F531" s="262" t="str">
        <f t="shared" si="18"/>
        <v/>
      </c>
      <c r="G531" s="262">
        <f t="shared" si="18"/>
        <v>121.6</v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0</v>
      </c>
      <c r="C535" s="239">
        <f>AP71</f>
        <v>0</v>
      </c>
      <c r="D535" s="239"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0</v>
      </c>
      <c r="C537" s="239">
        <f>AR71</f>
        <v>0</v>
      </c>
      <c r="D537" s="239"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3437375</v>
      </c>
      <c r="C541" s="239">
        <f>AV71</f>
        <v>4998668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42277</v>
      </c>
      <c r="C543" s="239">
        <f>AX71</f>
        <v>52554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1378864</v>
      </c>
      <c r="C544" s="239">
        <f>AY71</f>
        <v>1474246</v>
      </c>
      <c r="D544" s="239">
        <v>0</v>
      </c>
      <c r="E544" s="180">
        <f>AY59</f>
        <v>102725</v>
      </c>
      <c r="F544" s="262" t="str">
        <f t="shared" ref="F544:G550" si="19">IF(B544=0,"",IF(D544=0,"",B544/D544))</f>
        <v/>
      </c>
      <c r="G544" s="262">
        <f t="shared" si="19"/>
        <v>14.351384765149671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0</v>
      </c>
      <c r="C545" s="239">
        <f>AZ71</f>
        <v>7431</v>
      </c>
      <c r="D545" s="239">
        <v>63253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v>400971</v>
      </c>
      <c r="C546" s="239">
        <f>BA71</f>
        <v>288599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12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182438</v>
      </c>
      <c r="C549" s="239">
        <f>BD71</f>
        <v>229961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1497177</v>
      </c>
      <c r="C550" s="239">
        <f>BE71</f>
        <v>1409565</v>
      </c>
      <c r="D550" s="239">
        <v>99240</v>
      </c>
      <c r="E550" s="180">
        <f>BE59</f>
        <v>99240</v>
      </c>
      <c r="F550" s="262">
        <f t="shared" si="19"/>
        <v>15.086426844014511</v>
      </c>
      <c r="G550" s="262">
        <f t="shared" si="19"/>
        <v>14.203597339782347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1175230</v>
      </c>
      <c r="C551" s="239">
        <f>BF71</f>
        <v>1277449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105905</v>
      </c>
      <c r="C552" s="239">
        <f>BG71</f>
        <v>109104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1568798</v>
      </c>
      <c r="C553" s="239">
        <f>BH71</f>
        <v>1571575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317391</v>
      </c>
      <c r="C555" s="239">
        <f>BJ71</f>
        <v>386692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929693</v>
      </c>
      <c r="C556" s="239">
        <f>BK71</f>
        <v>911236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728688</v>
      </c>
      <c r="C557" s="239">
        <f>BL71</f>
        <v>812529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189376</v>
      </c>
      <c r="C558" s="239">
        <f>BM71</f>
        <v>83545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2916912</v>
      </c>
      <c r="C559" s="239">
        <f>BN71</f>
        <v>3014980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288203</v>
      </c>
      <c r="C563" s="239">
        <f>BR71</f>
        <v>272717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769492</v>
      </c>
      <c r="C567" s="239">
        <f>BV71</f>
        <v>733015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304090</v>
      </c>
      <c r="C568" s="239">
        <f>BW71</f>
        <v>96981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410280</v>
      </c>
      <c r="C569" s="239">
        <f>BX71</f>
        <v>576857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363316</v>
      </c>
      <c r="C570" s="239">
        <f>BY71</f>
        <v>402036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9797</v>
      </c>
      <c r="C572" s="239">
        <f>CA71</f>
        <v>5987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99446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1470461</v>
      </c>
      <c r="C574" s="239">
        <f>CC71</f>
        <v>1202239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-2575375</v>
      </c>
      <c r="C575" s="239">
        <f>CD71</f>
        <v>-2029765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99240</v>
      </c>
      <c r="E612" s="180">
        <f>SUM(C624:D647)+SUM(C668:D713)</f>
        <v>38725256.242841601</v>
      </c>
      <c r="F612" s="180">
        <f>CE64-(AX64+BD64+BE64+BG64+BJ64+BN64+BP64+BQ64+CB64+CC64+CD64)</f>
        <v>5606770</v>
      </c>
      <c r="G612" s="180">
        <f>CE77-(AX77+AY77+BD77+BE77+BG77+BJ77+BN77+BP77+BQ77+CB77+CC77+CD77)</f>
        <v>32130</v>
      </c>
      <c r="H612" s="197">
        <f>CE60-(AX60+AY60+AZ60+BD60+BE60+BG60+BJ60+BN60+BO60+BP60+BQ60+BR60+CB60+CC60+CD60)</f>
        <v>218.2999999999999</v>
      </c>
      <c r="I612" s="180">
        <f>CE78-(AX78+AY78+AZ78+BD78+BE78+BF78+BG78+BJ78+BN78+BO78+BP78+BQ78+BR78+CB78+CC78+CD78)</f>
        <v>42262</v>
      </c>
      <c r="J612" s="180">
        <f>CE79-(AX79+AY79+AZ79+BA79+BD79+BE79+BF79+BG79+BJ79+BN79+BO79+BP79+BQ79+BR79+CB79+CC79+CD79)</f>
        <v>217645</v>
      </c>
      <c r="K612" s="180">
        <f>CE75-(AW75+AX75+AY75+AZ75+BA75+BB75+BC75+BD75+BE75+BF75+BG75+BH75+BI75+BJ75+BK75+BL75+BM75+BN75+BO75+BP75+BQ75+BR75+BS75+BT75+BU75+BV75+BW75+BX75+CB75+CC75+CD75)</f>
        <v>120415295</v>
      </c>
      <c r="L612" s="197">
        <f>CE80-(AW80+AX80+AY80+AZ80+BA80+BB80+BC80+BD80+BE80+BF80+BG80+BH80+BI80+BJ80+BK80+BL80+BM80+BN80+BO80+BP80+BQ80+BR80+BS80+BT80+BU80+BV80+BW80+BX80+BY80+BZ80+CA80+CB80+CC80+CD80)</f>
        <v>69.81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1409565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-2029765</v>
      </c>
      <c r="D615" s="265">
        <f>SUM(C614:C615)</f>
        <v>-620200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52554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386692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109104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3014980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1202239</v>
      </c>
      <c r="D620" s="180">
        <f>(D615/D612)*CC76</f>
        <v>-161836.95284159612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4603732.0471584043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229961</v>
      </c>
      <c r="D624" s="180">
        <f>(D615/D612)*BD76</f>
        <v>0</v>
      </c>
      <c r="E624" s="180">
        <f>(E623/E612)*SUM(C624:D624)</f>
        <v>27338.200647601694</v>
      </c>
      <c r="F624" s="180">
        <f>SUM(C624:E624)</f>
        <v>257299.20064760168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1474246</v>
      </c>
      <c r="D625" s="180">
        <f>(D615/D612)*AY76</f>
        <v>0</v>
      </c>
      <c r="E625" s="180">
        <f>(E623/E612)*SUM(C625:D625)</f>
        <v>175261.16581474341</v>
      </c>
      <c r="F625" s="180">
        <f>(F624/F612)*AY64</f>
        <v>22707.643289317308</v>
      </c>
      <c r="G625" s="180">
        <f>SUM(C625:F625)</f>
        <v>1672214.8091040608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272717</v>
      </c>
      <c r="D626" s="180">
        <f>(D615/D612)*BR76</f>
        <v>0</v>
      </c>
      <c r="E626" s="180">
        <f>(E623/E612)*SUM(C626:D626)</f>
        <v>32421.115171755173</v>
      </c>
      <c r="F626" s="180">
        <f>(F624/F612)*BR64</f>
        <v>43.275031116077237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7431</v>
      </c>
      <c r="D628" s="180">
        <f>(D615/D612)*AZ76</f>
        <v>0</v>
      </c>
      <c r="E628" s="180">
        <f>(E623/E612)*SUM(C628:D628)</f>
        <v>883.41140024755589</v>
      </c>
      <c r="F628" s="180">
        <f>(F624/F612)*AZ64</f>
        <v>0</v>
      </c>
      <c r="G628" s="180">
        <f>(G625/G612)*AZ77</f>
        <v>0</v>
      </c>
      <c r="H628" s="180">
        <f>SUM(C626:G628)</f>
        <v>313495.80160311883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1277449</v>
      </c>
      <c r="D629" s="180">
        <f>(D615/D612)*BF76</f>
        <v>0</v>
      </c>
      <c r="E629" s="180">
        <f>(E623/E612)*SUM(C629:D629)</f>
        <v>151865.56450475575</v>
      </c>
      <c r="F629" s="180">
        <f>(F624/F612)*BF64</f>
        <v>3820.822710173356</v>
      </c>
      <c r="G629" s="180">
        <f>(G625/G612)*BF77</f>
        <v>0</v>
      </c>
      <c r="H629" s="180">
        <f>(H628/H612)*BF60</f>
        <v>27371.64442764749</v>
      </c>
      <c r="I629" s="180">
        <f>SUM(C629:H629)</f>
        <v>1460507.0316425767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288599</v>
      </c>
      <c r="D630" s="180">
        <f>(D615/D612)*BA76</f>
        <v>0</v>
      </c>
      <c r="E630" s="180">
        <f>(E623/E612)*SUM(C630:D630)</f>
        <v>34309.197510435253</v>
      </c>
      <c r="F630" s="180">
        <f>(F624/F612)*BA64</f>
        <v>76.591757086673283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322984.78926752193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911236</v>
      </c>
      <c r="D635" s="180">
        <f>(D615/D612)*BK76</f>
        <v>0</v>
      </c>
      <c r="E635" s="180">
        <f>(E623/E612)*SUM(C635:D635)</f>
        <v>108329.46719364579</v>
      </c>
      <c r="F635" s="180">
        <f>(F624/F612)*BK64</f>
        <v>135.01075455302146</v>
      </c>
      <c r="G635" s="180">
        <f>(G625/G612)*BK77</f>
        <v>0</v>
      </c>
      <c r="H635" s="180">
        <f>(H628/H612)*BK60</f>
        <v>13068.308724637574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1571575</v>
      </c>
      <c r="D636" s="180">
        <f>(D615/D612)*BH76</f>
        <v>0</v>
      </c>
      <c r="E636" s="180">
        <f>(E623/E612)*SUM(C636:D636)</f>
        <v>186831.82227749328</v>
      </c>
      <c r="F636" s="180">
        <f>(F624/F612)*BH64</f>
        <v>603.73945849746781</v>
      </c>
      <c r="G636" s="180">
        <f>(G625/G612)*BH77</f>
        <v>0</v>
      </c>
      <c r="H636" s="180">
        <f>(H628/H612)*BH60</f>
        <v>7711.7382254179975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812529</v>
      </c>
      <c r="D637" s="180">
        <f>(D615/D612)*BL76</f>
        <v>0</v>
      </c>
      <c r="E637" s="180">
        <f>(E623/E612)*SUM(C637:D637)</f>
        <v>96594.99147244601</v>
      </c>
      <c r="F637" s="180">
        <f>(F624/F612)*BL64</f>
        <v>323.89731666730978</v>
      </c>
      <c r="G637" s="180">
        <f>(G625/G612)*BL77</f>
        <v>0</v>
      </c>
      <c r="H637" s="180">
        <f>(H628/H612)*BL60</f>
        <v>19042.392713043322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83545</v>
      </c>
      <c r="D638" s="180">
        <f>(D615/D612)*BM76</f>
        <v>0</v>
      </c>
      <c r="E638" s="180">
        <f>(E623/E612)*SUM(C638:D638)</f>
        <v>9931.9883506502556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733015</v>
      </c>
      <c r="D642" s="180">
        <f>(D615/D612)*BV76</f>
        <v>0</v>
      </c>
      <c r="E642" s="180">
        <f>(E623/E612)*SUM(C642:D642)</f>
        <v>87142.216061426749</v>
      </c>
      <c r="F642" s="180">
        <f>(F624/F612)*BV64</f>
        <v>124.59354133631993</v>
      </c>
      <c r="G642" s="180">
        <f>(G625/G612)*BV77</f>
        <v>0</v>
      </c>
      <c r="H642" s="180">
        <f>(H628/H612)*BV60</f>
        <v>11517.344612263005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96981</v>
      </c>
      <c r="D643" s="180">
        <f>(D615/D612)*BW76</f>
        <v>0</v>
      </c>
      <c r="E643" s="180">
        <f>(E623/E612)*SUM(C643:D643)</f>
        <v>11529.285561486773</v>
      </c>
      <c r="F643" s="180">
        <f>(F624/F612)*BW64</f>
        <v>41.072272374219651</v>
      </c>
      <c r="G643" s="180">
        <f>(G625/G612)*BW77</f>
        <v>0</v>
      </c>
      <c r="H643" s="180">
        <f>(H628/H612)*BW60</f>
        <v>1378.6347665551727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576857</v>
      </c>
      <c r="D644" s="180">
        <f>(D615/D612)*BX76</f>
        <v>0</v>
      </c>
      <c r="E644" s="180">
        <f>(E623/E612)*SUM(C644:D644)</f>
        <v>68577.856292908677</v>
      </c>
      <c r="F644" s="180">
        <f>(F624/F612)*BX64</f>
        <v>19.044684955643746</v>
      </c>
      <c r="G644" s="180">
        <f>(G625/G612)*BX77</f>
        <v>0</v>
      </c>
      <c r="H644" s="180">
        <f>(H628/H612)*BX60</f>
        <v>5227.3234898550299</v>
      </c>
      <c r="I644" s="180">
        <f>(I629/I612)*BX78</f>
        <v>0</v>
      </c>
      <c r="J644" s="180">
        <f>(J630/J612)*BX79</f>
        <v>0</v>
      </c>
      <c r="K644" s="180">
        <f>SUM(C631:J644)</f>
        <v>5413868.7277702149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402036</v>
      </c>
      <c r="D645" s="180">
        <f>(D615/D612)*BY76</f>
        <v>0</v>
      </c>
      <c r="E645" s="180">
        <f>(E623/E612)*SUM(C645:D645)</f>
        <v>47794.803621306201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5987</v>
      </c>
      <c r="D647" s="180">
        <f>(D615/D612)*CA76</f>
        <v>0</v>
      </c>
      <c r="E647" s="180">
        <f>(E623/E612)*SUM(C647:D647)</f>
        <v>711.74593638569741</v>
      </c>
      <c r="F647" s="180">
        <f>(F624/F612)*CA64</f>
        <v>10.371322409579486</v>
      </c>
      <c r="G647" s="180">
        <f>(G625/G612)*CA77</f>
        <v>0</v>
      </c>
      <c r="H647" s="180">
        <f>(H628/H612)*CA60</f>
        <v>201.05090345596273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456740.97178355744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12889533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1064252</v>
      </c>
      <c r="D668" s="180">
        <f>(D615/D612)*C76</f>
        <v>-13748.891575977428</v>
      </c>
      <c r="E668" s="180">
        <f>(E623/E612)*SUM(C668:D668)</f>
        <v>124885.80567585463</v>
      </c>
      <c r="F668" s="180">
        <f>(F624/F612)*C64</f>
        <v>1563.9587067188888</v>
      </c>
      <c r="G668" s="180">
        <f>(G625/G612)*C77</f>
        <v>131778.64602089892</v>
      </c>
      <c r="H668" s="180">
        <f>(H628/H612)*C60</f>
        <v>10267.956855072382</v>
      </c>
      <c r="I668" s="180">
        <f>(I629/I612)*C78</f>
        <v>43785.490726684598</v>
      </c>
      <c r="J668" s="180">
        <f>(J630/J612)*C79</f>
        <v>14730.16618010716</v>
      </c>
      <c r="K668" s="180">
        <f>(K644/K612)*C75</f>
        <v>111964.99625195526</v>
      </c>
      <c r="L668" s="180">
        <f>(L647/L612)*C80</f>
        <v>46518.096395660985</v>
      </c>
      <c r="M668" s="180">
        <f t="shared" ref="M668:M713" si="20">ROUND(SUM(D668:L668),0)</f>
        <v>471746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3032678</v>
      </c>
      <c r="D670" s="180">
        <f>(D615/D612)*E76</f>
        <v>-57651.602176541717</v>
      </c>
      <c r="E670" s="180">
        <f>(E623/E612)*SUM(C670:D670)</f>
        <v>353676.79126290721</v>
      </c>
      <c r="F670" s="180">
        <f>(F624/F612)*E64</f>
        <v>4332.6887728125139</v>
      </c>
      <c r="G670" s="180">
        <f>(G625/G612)*E77</f>
        <v>521701.875084317</v>
      </c>
      <c r="H670" s="180">
        <f>(H628/H612)*E60</f>
        <v>37783.209070902703</v>
      </c>
      <c r="I670" s="180">
        <f>(I629/I612)*E78</f>
        <v>183677.88730254828</v>
      </c>
      <c r="J670" s="180">
        <f>(J630/J612)*E79</f>
        <v>103109.6792625454</v>
      </c>
      <c r="K670" s="180">
        <f>(K644/K612)*E75</f>
        <v>316880.56082559458</v>
      </c>
      <c r="L670" s="180">
        <f>(L647/L612)*E80</f>
        <v>156499.69982900293</v>
      </c>
      <c r="M670" s="180">
        <f t="shared" si="20"/>
        <v>1620011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3620527</v>
      </c>
      <c r="D674" s="180">
        <f>(D615/D612)*I76</f>
        <v>-97417.146311970981</v>
      </c>
      <c r="E674" s="180">
        <f>(E623/E612)*SUM(C674:D674)</f>
        <v>418833.99395404436</v>
      </c>
      <c r="F674" s="180">
        <f>(F624/F612)*I64</f>
        <v>2090.3262644086089</v>
      </c>
      <c r="G674" s="180">
        <f>(G625/G612)*I77</f>
        <v>1005254.5607794876</v>
      </c>
      <c r="H674" s="180">
        <f>(H628/H612)*I60</f>
        <v>38214.03243545119</v>
      </c>
      <c r="I674" s="180">
        <f>(I629/I612)*I78</f>
        <v>310403.53410187928</v>
      </c>
      <c r="J674" s="180">
        <f>(J630/J612)*I79</f>
        <v>15708.120997021388</v>
      </c>
      <c r="K674" s="180">
        <f>(K644/K612)*I75</f>
        <v>268937.67066049669</v>
      </c>
      <c r="L674" s="180">
        <f>(L647/L612)*I80</f>
        <v>63201.801854020407</v>
      </c>
      <c r="M674" s="180">
        <f t="shared" si="20"/>
        <v>2025227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1548612</v>
      </c>
      <c r="D681" s="180">
        <f>(D615/D612)*P76</f>
        <v>-33884.768238613462</v>
      </c>
      <c r="E681" s="180">
        <f>(E623/E612)*SUM(C681:D681)</f>
        <v>180073.65156821837</v>
      </c>
      <c r="F681" s="180">
        <f>(F624/F612)*P64</f>
        <v>17428.227165577253</v>
      </c>
      <c r="G681" s="180">
        <f>(G625/G612)*P77</f>
        <v>0</v>
      </c>
      <c r="H681" s="180">
        <f>(H628/H612)*P60</f>
        <v>12867.257821181614</v>
      </c>
      <c r="I681" s="180">
        <f>(I629/I612)*P78</f>
        <v>107925.87808953118</v>
      </c>
      <c r="J681" s="180">
        <f>(J630/J612)*P79</f>
        <v>73650.830900535802</v>
      </c>
      <c r="K681" s="180">
        <f>(K644/K612)*P75</f>
        <v>709311.05540759419</v>
      </c>
      <c r="L681" s="180">
        <f>(L647/L612)*P80</f>
        <v>19104.47840721942</v>
      </c>
      <c r="M681" s="180">
        <f t="shared" si="20"/>
        <v>1086477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401117</v>
      </c>
      <c r="D682" s="180">
        <f>(D615/D612)*Q76</f>
        <v>-3749.6977025392985</v>
      </c>
      <c r="E682" s="180">
        <f>(E623/E612)*SUM(C682:D682)</f>
        <v>47239.779967056063</v>
      </c>
      <c r="F682" s="180">
        <f>(F624/F612)*Q64</f>
        <v>171.44805540791575</v>
      </c>
      <c r="G682" s="180">
        <f>(G625/G612)*Q77</f>
        <v>0</v>
      </c>
      <c r="H682" s="180">
        <f>(H628/H612)*Q60</f>
        <v>3618.9162622073286</v>
      </c>
      <c r="I682" s="180">
        <f>(I629/I612)*Q78</f>
        <v>11957.205833806529</v>
      </c>
      <c r="J682" s="180">
        <f>(J630/J612)*Q79</f>
        <v>0</v>
      </c>
      <c r="K682" s="180">
        <f>(K644/K612)*Q75</f>
        <v>83103.209660976747</v>
      </c>
      <c r="L682" s="180">
        <f>(L647/L612)*Q80</f>
        <v>12169.29104021511</v>
      </c>
      <c r="M682" s="180">
        <f t="shared" si="20"/>
        <v>154510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511798</v>
      </c>
      <c r="D683" s="180">
        <f>(D615/D612)*R76</f>
        <v>-1137.4083031035873</v>
      </c>
      <c r="E683" s="180">
        <f>(E623/E612)*SUM(C683:D683)</f>
        <v>60708.301488655721</v>
      </c>
      <c r="F683" s="180">
        <f>(F624/F612)*R64</f>
        <v>1133.5488267213402</v>
      </c>
      <c r="G683" s="180">
        <f>(G625/G612)*R77</f>
        <v>0</v>
      </c>
      <c r="H683" s="180">
        <f>(H628/H612)*R60</f>
        <v>646.23504682273722</v>
      </c>
      <c r="I683" s="180">
        <f>(I629/I612)*R78</f>
        <v>3628.6318281782819</v>
      </c>
      <c r="J683" s="180">
        <f>(J630/J612)*R79</f>
        <v>0</v>
      </c>
      <c r="K683" s="180">
        <f>(K644/K612)*R75</f>
        <v>65684.141505692547</v>
      </c>
      <c r="L683" s="180">
        <f>(L647/L612)*R80</f>
        <v>0</v>
      </c>
      <c r="M683" s="180">
        <f t="shared" si="20"/>
        <v>130663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1797310.89</v>
      </c>
      <c r="D684" s="180">
        <f>(D615/D612)*S76</f>
        <v>0</v>
      </c>
      <c r="E684" s="180">
        <f>(E623/E612)*SUM(C684:D684)</f>
        <v>213667.73381981978</v>
      </c>
      <c r="F684" s="180">
        <f>(F624/F612)*S64</f>
        <v>81850.33878397994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295518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2235566</v>
      </c>
      <c r="D686" s="180">
        <f>(D615/D612)*U76</f>
        <v>-7999.3550987505032</v>
      </c>
      <c r="E686" s="180">
        <f>(E623/E612)*SUM(C686:D686)</f>
        <v>264817.35552643827</v>
      </c>
      <c r="F686" s="180">
        <f>(F624/F612)*U64</f>
        <v>30225.475312048777</v>
      </c>
      <c r="G686" s="180">
        <f>(G625/G612)*U77</f>
        <v>0</v>
      </c>
      <c r="H686" s="180">
        <f>(H628/H612)*U60</f>
        <v>17706.840282943002</v>
      </c>
      <c r="I686" s="180">
        <f>(I629/I612)*U78</f>
        <v>25504.097992338782</v>
      </c>
      <c r="J686" s="180">
        <f>(J630/J612)*U79</f>
        <v>0</v>
      </c>
      <c r="K686" s="180">
        <f>(K644/K612)*U75</f>
        <v>469614.00409267074</v>
      </c>
      <c r="L686" s="180">
        <f>(L647/L612)*U80</f>
        <v>0</v>
      </c>
      <c r="M686" s="180">
        <f t="shared" si="20"/>
        <v>799868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523907</v>
      </c>
      <c r="D688" s="180">
        <f>(D615/D612)*W76</f>
        <v>-2999.7581620314386</v>
      </c>
      <c r="E688" s="180">
        <f>(E623/E612)*SUM(C688:D688)</f>
        <v>61926.442727919799</v>
      </c>
      <c r="F688" s="180">
        <f>(F624/F612)*W64</f>
        <v>216.74228203736246</v>
      </c>
      <c r="G688" s="180">
        <f>(G625/G612)*W77</f>
        <v>0</v>
      </c>
      <c r="H688" s="180">
        <f>(H628/H612)*W60</f>
        <v>2829.0734272017608</v>
      </c>
      <c r="I688" s="180">
        <f>(I629/I612)*W78</f>
        <v>9538.1179483543401</v>
      </c>
      <c r="J688" s="180">
        <f>(J630/J612)*W79</f>
        <v>633.66723341786792</v>
      </c>
      <c r="K688" s="180">
        <f>(K644/K612)*W75</f>
        <v>150137.13955480652</v>
      </c>
      <c r="L688" s="180">
        <f>(L647/L612)*W80</f>
        <v>0</v>
      </c>
      <c r="M688" s="180">
        <f t="shared" si="20"/>
        <v>222281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909759</v>
      </c>
      <c r="D689" s="180">
        <f>(D615/D612)*X76</f>
        <v>-2531.0459492140267</v>
      </c>
      <c r="E689" s="180">
        <f>(E623/E612)*SUM(C689:D689)</f>
        <v>107852.98307518908</v>
      </c>
      <c r="F689" s="180">
        <f>(F624/F612)*X64</f>
        <v>2054.3019808178128</v>
      </c>
      <c r="G689" s="180">
        <f>(G625/G612)*X77</f>
        <v>0</v>
      </c>
      <c r="H689" s="180">
        <f>(H628/H612)*X60</f>
        <v>9865.8550481604543</v>
      </c>
      <c r="I689" s="180">
        <f>(I629/I612)*X78</f>
        <v>8017.5484203558226</v>
      </c>
      <c r="J689" s="180">
        <f>(J630/J612)*X79</f>
        <v>0</v>
      </c>
      <c r="K689" s="180">
        <f>(K644/K612)*X75</f>
        <v>594730.64745372965</v>
      </c>
      <c r="L689" s="180">
        <f>(L647/L612)*X80</f>
        <v>0</v>
      </c>
      <c r="M689" s="180">
        <f t="shared" si="20"/>
        <v>719990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501925.4</v>
      </c>
      <c r="D690" s="180">
        <f>(D615/D612)*Y76</f>
        <v>-15923.716243450221</v>
      </c>
      <c r="E690" s="180">
        <f>(E623/E612)*SUM(C690:D690)</f>
        <v>57776.80365631052</v>
      </c>
      <c r="F690" s="180">
        <f>(F624/F612)*Y64</f>
        <v>443.07574276322981</v>
      </c>
      <c r="G690" s="180">
        <f>(G625/G612)*Y77</f>
        <v>0</v>
      </c>
      <c r="H690" s="180">
        <f>(H628/H612)*Y60</f>
        <v>4724.6962312151236</v>
      </c>
      <c r="I690" s="180">
        <f>(I629/I612)*Y78</f>
        <v>50697.170399405135</v>
      </c>
      <c r="J690" s="180">
        <f>(J630/J612)*Y79</f>
        <v>0</v>
      </c>
      <c r="K690" s="180">
        <f>(K644/K612)*Y75</f>
        <v>162971.50411594255</v>
      </c>
      <c r="L690" s="180">
        <f>(L647/L612)*Y80</f>
        <v>0</v>
      </c>
      <c r="M690" s="180">
        <f t="shared" si="20"/>
        <v>260690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174468</v>
      </c>
      <c r="D692" s="180">
        <f>(D615/D612)*AA76</f>
        <v>-2668.5348649738007</v>
      </c>
      <c r="E692" s="180">
        <f>(E623/E612)*SUM(C692:D692)</f>
        <v>20423.846865390209</v>
      </c>
      <c r="F692" s="180">
        <f>(F624/F612)*AA64</f>
        <v>506.49683820587961</v>
      </c>
      <c r="G692" s="180">
        <f>(G625/G612)*AA77</f>
        <v>0</v>
      </c>
      <c r="H692" s="180">
        <f>(H628/H612)*AA60</f>
        <v>1235.0269783723422</v>
      </c>
      <c r="I692" s="180">
        <f>(I629/I612)*AA78</f>
        <v>8501.3659974462607</v>
      </c>
      <c r="J692" s="180">
        <f>(J630/J612)*AA79</f>
        <v>0</v>
      </c>
      <c r="K692" s="180">
        <f>(K644/K612)*AA75</f>
        <v>14838.140754677419</v>
      </c>
      <c r="L692" s="180">
        <f>(L647/L612)*AA80</f>
        <v>0</v>
      </c>
      <c r="M692" s="180">
        <f t="shared" si="20"/>
        <v>42836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2545392</v>
      </c>
      <c r="D693" s="180">
        <f>(D615/D612)*AB76</f>
        <v>-5068.3413945989514</v>
      </c>
      <c r="E693" s="180">
        <f>(E623/E612)*SUM(C693:D693)</f>
        <v>301998.50361063</v>
      </c>
      <c r="F693" s="180">
        <f>(F624/F612)*AB64</f>
        <v>63083.384993038737</v>
      </c>
      <c r="G693" s="180">
        <f>(G625/G612)*AB77</f>
        <v>0</v>
      </c>
      <c r="H693" s="180">
        <f>(H628/H612)*AB60</f>
        <v>9420.6709047936802</v>
      </c>
      <c r="I693" s="180">
        <f>(I629/I612)*AB78</f>
        <v>16138.772035802454</v>
      </c>
      <c r="J693" s="180">
        <f>(J630/J612)*AB79</f>
        <v>0</v>
      </c>
      <c r="K693" s="180">
        <f>(K644/K612)*AB75</f>
        <v>327750.7589317126</v>
      </c>
      <c r="L693" s="180">
        <f>(L647/L612)*AB80</f>
        <v>0</v>
      </c>
      <c r="M693" s="180">
        <f t="shared" si="20"/>
        <v>713324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531667</v>
      </c>
      <c r="D694" s="180">
        <f>(D615/D612)*AC76</f>
        <v>-4780.8645707376054</v>
      </c>
      <c r="E694" s="180">
        <f>(E623/E612)*SUM(C694:D694)</f>
        <v>62637.224959034866</v>
      </c>
      <c r="F694" s="180">
        <f>(F624/F612)*AC64</f>
        <v>1000.5113768745662</v>
      </c>
      <c r="G694" s="180">
        <f>(G625/G612)*AC77</f>
        <v>0</v>
      </c>
      <c r="H694" s="180">
        <f>(H628/H612)*AC60</f>
        <v>6850.0914963210143</v>
      </c>
      <c r="I694" s="180">
        <f>(I629/I612)*AC78</f>
        <v>15205.695279985181</v>
      </c>
      <c r="J694" s="180">
        <f>(J630/J612)*AC79</f>
        <v>0</v>
      </c>
      <c r="K694" s="180">
        <f>(K644/K612)*AC75</f>
        <v>102268.88294924192</v>
      </c>
      <c r="L694" s="180">
        <f>(L647/L612)*AC80</f>
        <v>0</v>
      </c>
      <c r="M694" s="180">
        <f t="shared" si="20"/>
        <v>183182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650048</v>
      </c>
      <c r="D696" s="180">
        <f>(D615/D612)*AE76</f>
        <v>-1624.8690044336961</v>
      </c>
      <c r="E696" s="180">
        <f>(E623/E612)*SUM(C696:D696)</f>
        <v>77085.77393428846</v>
      </c>
      <c r="F696" s="180">
        <f>(F624/F612)*AE64</f>
        <v>311.36912632299476</v>
      </c>
      <c r="G696" s="180">
        <f>(G625/G612)*AE77</f>
        <v>0</v>
      </c>
      <c r="H696" s="180">
        <f>(H628/H612)*AE60</f>
        <v>7740.4597830545636</v>
      </c>
      <c r="I696" s="180">
        <f>(I629/I612)*AE78</f>
        <v>5149.2013561767999</v>
      </c>
      <c r="J696" s="180">
        <f>(J630/J612)*AE79</f>
        <v>10138.675734685887</v>
      </c>
      <c r="K696" s="180">
        <f>(K644/K612)*AE75</f>
        <v>111181.16403695346</v>
      </c>
      <c r="L696" s="180">
        <f>(L647/L612)*AE80</f>
        <v>0</v>
      </c>
      <c r="M696" s="180">
        <f t="shared" si="20"/>
        <v>209982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4537330</v>
      </c>
      <c r="D698" s="180">
        <f>(D615/D612)*AG76</f>
        <v>-48746.070133010879</v>
      </c>
      <c r="E698" s="180">
        <f>(E623/E612)*SUM(C698:D698)</f>
        <v>533611.38670602534</v>
      </c>
      <c r="F698" s="180">
        <f>(F624/F612)*AG64</f>
        <v>9878.8222675458273</v>
      </c>
      <c r="G698" s="180">
        <f>(G625/G612)*AG77</f>
        <v>12074.504690698479</v>
      </c>
      <c r="H698" s="180">
        <f>(H628/H612)*AG60</f>
        <v>35973.750939799043</v>
      </c>
      <c r="I698" s="180">
        <f>(I629/I612)*AG78</f>
        <v>155305.44224603046</v>
      </c>
      <c r="J698" s="180">
        <f>(J630/J612)*AG79</f>
        <v>58920.664720428642</v>
      </c>
      <c r="K698" s="180">
        <f>(K644/K612)*AG75</f>
        <v>1304997.327143179</v>
      </c>
      <c r="L698" s="180">
        <f>(L647/L612)*AG80</f>
        <v>120973.22114708459</v>
      </c>
      <c r="M698" s="180">
        <f t="shared" si="20"/>
        <v>2182989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654200</v>
      </c>
      <c r="D700" s="180">
        <f>(D615/D612)*AI76</f>
        <v>-3749.6977025392985</v>
      </c>
      <c r="E700" s="180">
        <f>(E623/E612)*SUM(C700:D700)</f>
        <v>77326.767910650757</v>
      </c>
      <c r="F700" s="180">
        <f>(F624/F612)*AI64</f>
        <v>2812.3722236666781</v>
      </c>
      <c r="G700" s="180">
        <f>(G625/G612)*AI77</f>
        <v>1405.2225286588746</v>
      </c>
      <c r="H700" s="180">
        <f>(H628/H612)*AI60</f>
        <v>6792.648381047883</v>
      </c>
      <c r="I700" s="180">
        <f>(I629/I612)*AI78</f>
        <v>11957.205833806529</v>
      </c>
      <c r="J700" s="180">
        <f>(J630/J612)*AI79</f>
        <v>0</v>
      </c>
      <c r="K700" s="180">
        <f>(K644/K612)*AI75</f>
        <v>82107.975640598175</v>
      </c>
      <c r="L700" s="180">
        <f>(L647/L612)*AI80</f>
        <v>26235.944661969133</v>
      </c>
      <c r="M700" s="180">
        <f t="shared" si="20"/>
        <v>204888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186246</v>
      </c>
      <c r="D702" s="180">
        <f>(D615/D612)*AK76</f>
        <v>0</v>
      </c>
      <c r="E702" s="180">
        <f>(E623/E612)*SUM(C702:D702)</f>
        <v>22141.27838117431</v>
      </c>
      <c r="F702" s="180">
        <f>(F624/F612)*AK64</f>
        <v>171.08092895093949</v>
      </c>
      <c r="G702" s="180">
        <f>(G625/G612)*AK77</f>
        <v>0</v>
      </c>
      <c r="H702" s="180">
        <f>(H628/H612)*AK60</f>
        <v>1981.7874769230607</v>
      </c>
      <c r="I702" s="180">
        <f>(I629/I612)*AK78</f>
        <v>0</v>
      </c>
      <c r="J702" s="180">
        <f>(J630/J612)*AK79</f>
        <v>0</v>
      </c>
      <c r="K702" s="180">
        <f>(K644/K612)*AK75</f>
        <v>35218.722504212456</v>
      </c>
      <c r="L702" s="180">
        <f>(L647/L612)*AK80</f>
        <v>0</v>
      </c>
      <c r="M702" s="180">
        <f t="shared" si="20"/>
        <v>59513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13984</v>
      </c>
      <c r="D703" s="180">
        <f>(D615/D612)*AL76</f>
        <v>0</v>
      </c>
      <c r="E703" s="180">
        <f>(E623/E612)*SUM(C703:D703)</f>
        <v>1662.4444921358931</v>
      </c>
      <c r="F703" s="180">
        <f>(F624/F612)*AL64</f>
        <v>0</v>
      </c>
      <c r="G703" s="180">
        <f>(G625/G612)*AL77</f>
        <v>0</v>
      </c>
      <c r="H703" s="180">
        <f>(H628/H612)*AL60</f>
        <v>100.52545172798136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1763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4998668</v>
      </c>
      <c r="D713" s="180">
        <f>(D615/D612)*AV76</f>
        <v>-154681.27972591697</v>
      </c>
      <c r="E713" s="180">
        <f>(E623/E612)*SUM(C713:D713)</f>
        <v>575862.34575937199</v>
      </c>
      <c r="F713" s="180">
        <f>(F624/F612)*AV64</f>
        <v>10118.968861215426</v>
      </c>
      <c r="G713" s="180">
        <f>(G625/G612)*AV77</f>
        <v>0</v>
      </c>
      <c r="H713" s="180">
        <f>(H628/H612)*AV60</f>
        <v>19358.329847045552</v>
      </c>
      <c r="I713" s="180">
        <f>(I629/I612)*AV78</f>
        <v>493113.78625024669</v>
      </c>
      <c r="J713" s="180">
        <f>(J630/J612)*AV79</f>
        <v>46092.984238779813</v>
      </c>
      <c r="K713" s="180">
        <f>(K644/K612)*AV75</f>
        <v>502170.82628018036</v>
      </c>
      <c r="L713" s="180">
        <f>(L647/L612)*AV80</f>
        <v>12038.438448384841</v>
      </c>
      <c r="M713" s="180">
        <f t="shared" si="20"/>
        <v>1504074</v>
      </c>
      <c r="N713" s="199" t="s">
        <v>741</v>
      </c>
    </row>
    <row r="715" spans="1:83" ht="12.6" customHeight="1" x14ac:dyDescent="0.25">
      <c r="C715" s="180">
        <f>SUM(C614:C647)+SUM(C668:C713)</f>
        <v>43328988.289999999</v>
      </c>
      <c r="D715" s="180">
        <f>SUM(D616:D647)+SUM(D668:D713)</f>
        <v>-620200</v>
      </c>
      <c r="E715" s="180">
        <f>SUM(E624:E647)+SUM(E668:E713)</f>
        <v>4603732.0471584033</v>
      </c>
      <c r="F715" s="180">
        <f>SUM(F625:F648)+SUM(F668:F713)</f>
        <v>257299.20064760168</v>
      </c>
      <c r="G715" s="180">
        <f>SUM(G626:G647)+SUM(G668:G713)</f>
        <v>1672214.809104061</v>
      </c>
      <c r="H715" s="180">
        <f>SUM(H629:H647)+SUM(H668:H713)</f>
        <v>313495.80160311895</v>
      </c>
      <c r="I715" s="180">
        <f>SUM(I630:I647)+SUM(I668:I713)</f>
        <v>1460507.0316425767</v>
      </c>
      <c r="J715" s="180">
        <f>SUM(J631:J647)+SUM(J668:J713)</f>
        <v>322984.78926752193</v>
      </c>
      <c r="K715" s="180">
        <f>SUM(K668:K713)</f>
        <v>5413868.727770214</v>
      </c>
      <c r="L715" s="180">
        <f>SUM(L668:L713)</f>
        <v>456740.97178355744</v>
      </c>
      <c r="M715" s="180">
        <f>SUM(M668:M713)</f>
        <v>12889532</v>
      </c>
      <c r="N715" s="198" t="s">
        <v>742</v>
      </c>
    </row>
    <row r="716" spans="1:83" ht="12.6" customHeight="1" x14ac:dyDescent="0.25">
      <c r="C716" s="180">
        <f>CE71</f>
        <v>43328988.289999999</v>
      </c>
      <c r="D716" s="180">
        <f>D615</f>
        <v>-620200</v>
      </c>
      <c r="E716" s="180">
        <f>E623</f>
        <v>4603732.0471584043</v>
      </c>
      <c r="F716" s="180">
        <f>F624</f>
        <v>257299.20064760168</v>
      </c>
      <c r="G716" s="180">
        <f>G625</f>
        <v>1672214.8091040608</v>
      </c>
      <c r="H716" s="180">
        <f>H628</f>
        <v>313495.80160311883</v>
      </c>
      <c r="I716" s="180">
        <f>I629</f>
        <v>1460507.0316425767</v>
      </c>
      <c r="J716" s="180">
        <f>J630</f>
        <v>322984.78926752193</v>
      </c>
      <c r="K716" s="180">
        <f>K644</f>
        <v>5413868.7277702149</v>
      </c>
      <c r="L716" s="180">
        <f>L647</f>
        <v>456740.97178355744</v>
      </c>
      <c r="M716" s="180">
        <f>C648</f>
        <v>12889533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104*2017*A</v>
      </c>
      <c r="B722" s="274">
        <f>ROUND(C165,0)</f>
        <v>1554058</v>
      </c>
      <c r="C722" s="274">
        <f>ROUND(C166,0)</f>
        <v>91799</v>
      </c>
      <c r="D722" s="274">
        <f>ROUND(C167,0)</f>
        <v>240283</v>
      </c>
      <c r="E722" s="274">
        <f>ROUND(C168,0)</f>
        <v>0</v>
      </c>
      <c r="F722" s="274">
        <f>ROUND(C169,0)</f>
        <v>0</v>
      </c>
      <c r="G722" s="274">
        <f>ROUND(C170,0)</f>
        <v>499895</v>
      </c>
      <c r="H722" s="274">
        <f>ROUND(C171+C172,0)</f>
        <v>2513514</v>
      </c>
      <c r="I722" s="274">
        <f>ROUND(C175,0)</f>
        <v>801854</v>
      </c>
      <c r="J722" s="274">
        <f>ROUND(C176,0)</f>
        <v>368474</v>
      </c>
      <c r="K722" s="274">
        <f>ROUND(C179,0)</f>
        <v>164452</v>
      </c>
      <c r="L722" s="274">
        <f>ROUND(C180,0)</f>
        <v>144788</v>
      </c>
      <c r="M722" s="274">
        <f>ROUND(C183,0)</f>
        <v>0</v>
      </c>
      <c r="N722" s="274">
        <f>ROUND(C184,0)</f>
        <v>0</v>
      </c>
      <c r="O722" s="274">
        <f>ROUND(C185,0)</f>
        <v>37412</v>
      </c>
      <c r="P722" s="274">
        <f>ROUND(C188,0)</f>
        <v>0</v>
      </c>
      <c r="Q722" s="274">
        <f>ROUND(C189,0)</f>
        <v>1031025</v>
      </c>
      <c r="R722" s="274">
        <f>ROUND(B195,0)</f>
        <v>1878610</v>
      </c>
      <c r="S722" s="274">
        <f>ROUND(C195,0)</f>
        <v>0</v>
      </c>
      <c r="T722" s="274">
        <f>ROUND(D195,0)</f>
        <v>0</v>
      </c>
      <c r="U722" s="274">
        <f>ROUND(B196,0)</f>
        <v>1145661</v>
      </c>
      <c r="V722" s="274">
        <f>ROUND(C196,0)</f>
        <v>0</v>
      </c>
      <c r="W722" s="274">
        <f>ROUND(D196,0)</f>
        <v>0</v>
      </c>
      <c r="X722" s="274">
        <f>ROUND(B197,0)</f>
        <v>22237141</v>
      </c>
      <c r="Y722" s="274">
        <f>ROUND(C197,0)</f>
        <v>985512</v>
      </c>
      <c r="Z722" s="274">
        <f>ROUND(D197,0)</f>
        <v>0</v>
      </c>
      <c r="AA722" s="274">
        <f>ROUND(B198,0)</f>
        <v>2446962</v>
      </c>
      <c r="AB722" s="274">
        <f>ROUND(C198,0)</f>
        <v>27878</v>
      </c>
      <c r="AC722" s="274">
        <f>ROUND(D198,0)</f>
        <v>0</v>
      </c>
      <c r="AD722" s="274">
        <f>ROUND(B199,0)</f>
        <v>24382</v>
      </c>
      <c r="AE722" s="274">
        <f>ROUND(C199,0)</f>
        <v>0</v>
      </c>
      <c r="AF722" s="274">
        <f>ROUND(D199,0)</f>
        <v>0</v>
      </c>
      <c r="AG722" s="274">
        <f>ROUND(B200,0)</f>
        <v>16921950</v>
      </c>
      <c r="AH722" s="274">
        <f>ROUND(C200,0)</f>
        <v>1624876</v>
      </c>
      <c r="AI722" s="274">
        <f>ROUND(D200,0)</f>
        <v>477499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2836105</v>
      </c>
      <c r="AN722" s="274">
        <f>ROUND(C202,0)</f>
        <v>215437</v>
      </c>
      <c r="AO722" s="274">
        <f>ROUND(D202,0)</f>
        <v>0</v>
      </c>
      <c r="AP722" s="274">
        <f>ROUND(B203,0)</f>
        <v>905374</v>
      </c>
      <c r="AQ722" s="274">
        <f>ROUND(C203,0)</f>
        <v>1269943</v>
      </c>
      <c r="AR722" s="274">
        <f>ROUND(D203,0)</f>
        <v>1295150</v>
      </c>
      <c r="AS722" s="274"/>
      <c r="AT722" s="274"/>
      <c r="AU722" s="274"/>
      <c r="AV722" s="274">
        <f>ROUND(B209,0)</f>
        <v>711056</v>
      </c>
      <c r="AW722" s="274">
        <f>ROUND(C209,0)</f>
        <v>55215</v>
      </c>
      <c r="AX722" s="274">
        <f>ROUND(D209,0)</f>
        <v>0</v>
      </c>
      <c r="AY722" s="274">
        <f>ROUND(B210,0)</f>
        <v>16168883</v>
      </c>
      <c r="AZ722" s="274">
        <f>ROUND(C210,0)</f>
        <v>852542</v>
      </c>
      <c r="BA722" s="274">
        <f>ROUND(D210,0)</f>
        <v>0</v>
      </c>
      <c r="BB722" s="274">
        <f>ROUND(B211,0)</f>
        <v>1264687</v>
      </c>
      <c r="BC722" s="274">
        <f>ROUND(C211,0)</f>
        <v>53251</v>
      </c>
      <c r="BD722" s="274">
        <f>ROUND(D211,0)</f>
        <v>0</v>
      </c>
      <c r="BE722" s="274">
        <f>ROUND(B212,0)</f>
        <v>897590</v>
      </c>
      <c r="BF722" s="274">
        <f>ROUND(C212,0)</f>
        <v>28253</v>
      </c>
      <c r="BG722" s="274">
        <f>ROUND(D212,0)</f>
        <v>0</v>
      </c>
      <c r="BH722" s="274">
        <f>ROUND(B213,0)</f>
        <v>14077592</v>
      </c>
      <c r="BI722" s="274">
        <f>ROUND(C213,0)</f>
        <v>844274</v>
      </c>
      <c r="BJ722" s="274">
        <f>ROUND(D213,0)</f>
        <v>366192</v>
      </c>
      <c r="BK722" s="274">
        <f>ROUND(B214,0)</f>
        <v>21147</v>
      </c>
      <c r="BL722" s="274">
        <f>ROUND(C214,0)</f>
        <v>1765</v>
      </c>
      <c r="BM722" s="274">
        <f>ROUND(D214,0)</f>
        <v>0</v>
      </c>
      <c r="BN722" s="274">
        <f>ROUND(B215,0)</f>
        <v>1712231</v>
      </c>
      <c r="BO722" s="274">
        <f>ROUND(C215,0)</f>
        <v>171861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29696262</v>
      </c>
      <c r="BU722" s="274">
        <f>ROUND(C224,0)</f>
        <v>24749928</v>
      </c>
      <c r="BV722" s="274">
        <f>ROUND(C225,0)</f>
        <v>1699136</v>
      </c>
      <c r="BW722" s="274">
        <f>ROUND(C226,0)</f>
        <v>1466622</v>
      </c>
      <c r="BX722" s="274">
        <f>ROUND(C227,0)</f>
        <v>15646935</v>
      </c>
      <c r="BY722" s="274">
        <f>ROUND(C228,0)</f>
        <v>0</v>
      </c>
      <c r="BZ722" s="274">
        <f>ROUND(C231,0)</f>
        <v>560</v>
      </c>
      <c r="CA722" s="274">
        <f>ROUND(C233,0)</f>
        <v>83402</v>
      </c>
      <c r="CB722" s="274">
        <f>ROUND(C234,0)</f>
        <v>503112</v>
      </c>
      <c r="CC722" s="274">
        <f>ROUND(C238+C239,0)</f>
        <v>10553</v>
      </c>
      <c r="CD722" s="274">
        <f>D221</f>
        <v>4797015</v>
      </c>
      <c r="CE722" s="274"/>
    </row>
    <row r="723" spans="1:84" ht="12.6" customHeight="1" x14ac:dyDescent="0.2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104*2017*A</v>
      </c>
      <c r="B726" s="274">
        <f>ROUND(C111,0)</f>
        <v>1074</v>
      </c>
      <c r="C726" s="274">
        <f>ROUND(C112,0)</f>
        <v>0</v>
      </c>
      <c r="D726" s="274">
        <f>ROUND(C113,0)</f>
        <v>734</v>
      </c>
      <c r="E726" s="274">
        <f>ROUND(C114,0)</f>
        <v>0</v>
      </c>
      <c r="F726" s="274">
        <f>ROUND(D111,0)</f>
        <v>4058</v>
      </c>
      <c r="G726" s="274">
        <f>ROUND(D112,0)</f>
        <v>0</v>
      </c>
      <c r="H726" s="274">
        <f>ROUND(D113,0)</f>
        <v>6328</v>
      </c>
      <c r="I726" s="274">
        <f>ROUND(D114,0)</f>
        <v>0</v>
      </c>
      <c r="J726" s="274">
        <f>ROUND(C116,0)</f>
        <v>4</v>
      </c>
      <c r="K726" s="274">
        <f>ROUND(C117,0)</f>
        <v>0</v>
      </c>
      <c r="L726" s="274">
        <f>ROUND(C118,0)</f>
        <v>23</v>
      </c>
      <c r="M726" s="274">
        <f>ROUND(C119,0)</f>
        <v>0</v>
      </c>
      <c r="N726" s="274">
        <f>ROUND(C120,0)</f>
        <v>0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0</v>
      </c>
      <c r="S726" s="274">
        <f>ROUND(C125,0)</f>
        <v>34</v>
      </c>
      <c r="T726" s="274"/>
      <c r="U726" s="274">
        <f>ROUND(C126,0)</f>
        <v>0</v>
      </c>
      <c r="V726" s="274">
        <f>ROUND(C128,0)</f>
        <v>112</v>
      </c>
      <c r="W726" s="274">
        <f>ROUND(C129,0)</f>
        <v>0</v>
      </c>
      <c r="X726" s="274">
        <f>ROUND(B138,0)</f>
        <v>549</v>
      </c>
      <c r="Y726" s="274">
        <f>ROUND(B139,0)</f>
        <v>2260</v>
      </c>
      <c r="Z726" s="274">
        <f>ROUND(B140,0)</f>
        <v>0</v>
      </c>
      <c r="AA726" s="274">
        <f>ROUND(B141,0)</f>
        <v>15806333</v>
      </c>
      <c r="AB726" s="274">
        <f>ROUND(B142,0)</f>
        <v>24979023</v>
      </c>
      <c r="AC726" s="274">
        <f>ROUND(C138,0)</f>
        <v>224</v>
      </c>
      <c r="AD726" s="274">
        <f>ROUND(C139,0)</f>
        <v>912</v>
      </c>
      <c r="AE726" s="274">
        <f>ROUND(C140,0)</f>
        <v>0</v>
      </c>
      <c r="AF726" s="274">
        <f>ROUND(C141,0)</f>
        <v>6673818</v>
      </c>
      <c r="AG726" s="274">
        <f>ROUND(C142,0)</f>
        <v>22327467</v>
      </c>
      <c r="AH726" s="274">
        <f>ROUND(D138,0)</f>
        <v>301</v>
      </c>
      <c r="AI726" s="274">
        <f>ROUND(D139,0)</f>
        <v>886</v>
      </c>
      <c r="AJ726" s="274">
        <f>ROUND(D140,0)</f>
        <v>0</v>
      </c>
      <c r="AK726" s="274">
        <f>ROUND(D141,0)</f>
        <v>9613860</v>
      </c>
      <c r="AL726" s="274">
        <f>ROUND(D142,0)</f>
        <v>35033078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17</v>
      </c>
      <c r="BC726" s="274">
        <f>ROUND(B151,0)</f>
        <v>200</v>
      </c>
      <c r="BD726" s="274">
        <f>ROUND(B152,0)</f>
        <v>0</v>
      </c>
      <c r="BE726" s="274">
        <f>ROUND(B153,0)</f>
        <v>141559</v>
      </c>
      <c r="BF726" s="274">
        <f>ROUND(B154,0)</f>
        <v>0</v>
      </c>
      <c r="BG726" s="274">
        <f>ROUND(C150,0)</f>
        <v>73</v>
      </c>
      <c r="BH726" s="274">
        <f>ROUND(C151,0)</f>
        <v>881</v>
      </c>
      <c r="BI726" s="274">
        <f>ROUND(C152,0)</f>
        <v>0</v>
      </c>
      <c r="BJ726" s="274">
        <f>ROUND(C153,0)</f>
        <v>1036927</v>
      </c>
      <c r="BK726" s="274">
        <f>ROUND(C154,0)</f>
        <v>344</v>
      </c>
      <c r="BL726" s="274">
        <f>ROUND(D150,0)</f>
        <v>644</v>
      </c>
      <c r="BM726" s="274">
        <f>ROUND(D151,0)</f>
        <v>5247</v>
      </c>
      <c r="BN726" s="274">
        <f>ROUND(D152,0)</f>
        <v>0</v>
      </c>
      <c r="BO726" s="274">
        <f>ROUND(D153,0)</f>
        <v>4436702</v>
      </c>
      <c r="BP726" s="274">
        <f>ROUND(D154,0)</f>
        <v>366180</v>
      </c>
      <c r="BQ726" s="274">
        <f>ROUND(B157,0)</f>
        <v>3058792</v>
      </c>
      <c r="BR726" s="274">
        <f>ROUND(C157,0)</f>
        <v>1301090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104*2017*A</v>
      </c>
      <c r="B730" s="274">
        <f>ROUND(C250,0)</f>
        <v>570146</v>
      </c>
      <c r="C730" s="274">
        <f>ROUND(C251,0)</f>
        <v>0</v>
      </c>
      <c r="D730" s="274">
        <f>ROUND(C252,0)</f>
        <v>14882177</v>
      </c>
      <c r="E730" s="274">
        <f>ROUND(C253,0)</f>
        <v>8892762</v>
      </c>
      <c r="F730" s="274">
        <f>ROUND(C254,0)</f>
        <v>1210325</v>
      </c>
      <c r="G730" s="274">
        <f>ROUND(C255,0)</f>
        <v>667959</v>
      </c>
      <c r="H730" s="274">
        <f>ROUND(C256,0)</f>
        <v>0</v>
      </c>
      <c r="I730" s="274">
        <f>ROUND(C257,0)</f>
        <v>1024871</v>
      </c>
      <c r="J730" s="274">
        <f>ROUND(C258,0)</f>
        <v>272196</v>
      </c>
      <c r="K730" s="274">
        <f>ROUND(C259,0)</f>
        <v>0</v>
      </c>
      <c r="L730" s="274">
        <f>ROUND(C262,0)</f>
        <v>0</v>
      </c>
      <c r="M730" s="274">
        <f>ROUND(C263,0)</f>
        <v>0</v>
      </c>
      <c r="N730" s="274">
        <f>ROUND(C264,0)</f>
        <v>163130</v>
      </c>
      <c r="O730" s="274">
        <f>ROUND(C267,0)</f>
        <v>1878610</v>
      </c>
      <c r="P730" s="274">
        <f>ROUND(C268,0)</f>
        <v>1145661</v>
      </c>
      <c r="Q730" s="274">
        <f>ROUND(C269,0)</f>
        <v>23222653</v>
      </c>
      <c r="R730" s="274">
        <f>ROUND(C270,0)</f>
        <v>0</v>
      </c>
      <c r="S730" s="274">
        <f>ROUND(C271,0)</f>
        <v>2474840</v>
      </c>
      <c r="T730" s="274">
        <f>ROUND(C272,0)</f>
        <v>18093709</v>
      </c>
      <c r="U730" s="274">
        <f>ROUND(C273,0)</f>
        <v>3051544</v>
      </c>
      <c r="V730" s="274">
        <f>ROUND(C274,0)</f>
        <v>880167</v>
      </c>
      <c r="W730" s="274">
        <f>ROUND(C275,0)</f>
        <v>0</v>
      </c>
      <c r="X730" s="274">
        <f>ROUND(C276,0)</f>
        <v>36494155</v>
      </c>
      <c r="Y730" s="274">
        <f>ROUND(C279,0)</f>
        <v>0</v>
      </c>
      <c r="Z730" s="274">
        <f>ROUND(C280,0)</f>
        <v>0</v>
      </c>
      <c r="AA730" s="274">
        <f>ROUND(C281,0)</f>
        <v>39130</v>
      </c>
      <c r="AB730" s="274">
        <f>ROUND(C282,0)</f>
        <v>0</v>
      </c>
      <c r="AC730" s="274">
        <f>ROUND(C286,0)</f>
        <v>0</v>
      </c>
      <c r="AD730" s="274">
        <f>ROUND(C287,0)</f>
        <v>0</v>
      </c>
      <c r="AE730" s="274">
        <f>ROUND(C288,0)</f>
        <v>0</v>
      </c>
      <c r="AF730" s="274">
        <f>ROUND(C289,0)</f>
        <v>0</v>
      </c>
      <c r="AG730" s="274">
        <f>ROUND(C304,0)</f>
        <v>760602</v>
      </c>
      <c r="AH730" s="274">
        <f>ROUND(C305,0)</f>
        <v>5037010</v>
      </c>
      <c r="AI730" s="274">
        <f>ROUND(C306,0)</f>
        <v>2490942</v>
      </c>
      <c r="AJ730" s="274">
        <f>ROUND(C307,0)</f>
        <v>77473</v>
      </c>
      <c r="AK730" s="274">
        <f>ROUND(C308,0)</f>
        <v>0</v>
      </c>
      <c r="AL730" s="274">
        <f>ROUND(C309,0)</f>
        <v>0</v>
      </c>
      <c r="AM730" s="274">
        <f>ROUND(C310,0)</f>
        <v>0</v>
      </c>
      <c r="AN730" s="274">
        <f>ROUND(C311,0)</f>
        <v>0</v>
      </c>
      <c r="AO730" s="274">
        <f>ROUND(C312,0)</f>
        <v>212568</v>
      </c>
      <c r="AP730" s="274">
        <f>ROUND(C313,0)</f>
        <v>0</v>
      </c>
      <c r="AQ730" s="274">
        <f>ROUND(C316,0)</f>
        <v>0</v>
      </c>
      <c r="AR730" s="274">
        <f>ROUND(C317,0)</f>
        <v>0</v>
      </c>
      <c r="AS730" s="274">
        <f>ROUND(C318,0)</f>
        <v>0</v>
      </c>
      <c r="AT730" s="274">
        <f>ROUND(C321,0)</f>
        <v>0</v>
      </c>
      <c r="AU730" s="274">
        <f>ROUND(C322,0)</f>
        <v>0</v>
      </c>
      <c r="AV730" s="274">
        <f>ROUND(C323,0)</f>
        <v>0</v>
      </c>
      <c r="AW730" s="274">
        <f>ROUND(C324,0)</f>
        <v>522793</v>
      </c>
      <c r="AX730" s="274">
        <f>ROUND(C325,0)</f>
        <v>17510000</v>
      </c>
      <c r="AY730" s="274">
        <f>ROUND(C326,0)</f>
        <v>0</v>
      </c>
      <c r="AZ730" s="274">
        <f>ROUND(C327,0)</f>
        <v>1553771</v>
      </c>
      <c r="BA730" s="274">
        <f>ROUND(C328,0)</f>
        <v>0</v>
      </c>
      <c r="BB730" s="274">
        <f>ROUND(C332,0)</f>
        <v>0</v>
      </c>
      <c r="BC730" s="274"/>
      <c r="BD730" s="274"/>
      <c r="BE730" s="274">
        <f>ROUND(C337,0)</f>
        <v>-3974958</v>
      </c>
      <c r="BF730" s="274">
        <f>ROUND(C336,0)</f>
        <v>0</v>
      </c>
      <c r="BG730" s="274"/>
      <c r="BH730" s="274"/>
      <c r="BI730" s="274">
        <f>ROUND(CE60,2)</f>
        <v>258.27999999999997</v>
      </c>
      <c r="BJ730" s="274">
        <f>ROUND(C359,0)</f>
        <v>37709200</v>
      </c>
      <c r="BK730" s="274">
        <f>ROUND(C360,0)</f>
        <v>82706094</v>
      </c>
      <c r="BL730" s="274">
        <f>ROUND(C364,0)</f>
        <v>73248282</v>
      </c>
      <c r="BM730" s="274">
        <f>ROUND(C365,0)</f>
        <v>586514</v>
      </c>
      <c r="BN730" s="274">
        <f>ROUND(C366,0)</f>
        <v>10603</v>
      </c>
      <c r="BO730" s="274">
        <f>ROUND(C370,0)</f>
        <v>2029765</v>
      </c>
      <c r="BP730" s="274">
        <f>ROUND(C371,0)</f>
        <v>0</v>
      </c>
      <c r="BQ730" s="274">
        <f>ROUND(C378,0)</f>
        <v>19333070</v>
      </c>
      <c r="BR730" s="274">
        <f>ROUND(C379,0)</f>
        <v>7920759</v>
      </c>
      <c r="BS730" s="274">
        <f>ROUND(C380,0)</f>
        <v>4398453</v>
      </c>
      <c r="BT730" s="274">
        <f>ROUND(C381,0)</f>
        <v>5762602</v>
      </c>
      <c r="BU730" s="274">
        <f>ROUND(C382,0)</f>
        <v>658807</v>
      </c>
      <c r="BV730" s="274">
        <f>ROUND(C383,0)</f>
        <v>3854454</v>
      </c>
      <c r="BW730" s="274">
        <f>ROUND(C384,0)</f>
        <v>2007160</v>
      </c>
      <c r="BX730" s="274">
        <f>ROUND(C385,0)</f>
        <v>1170328</v>
      </c>
      <c r="BY730" s="274">
        <f>ROUND(C386,0)</f>
        <v>309240</v>
      </c>
      <c r="BZ730" s="274">
        <f>ROUND(C387,0)</f>
        <v>37412</v>
      </c>
      <c r="CA730" s="274">
        <f>ROUND(C388,0)</f>
        <v>67223</v>
      </c>
      <c r="CB730" s="274">
        <f>C363</f>
        <v>4797015</v>
      </c>
      <c r="CC730" s="274">
        <f>ROUND(C389,0)</f>
        <v>1763474</v>
      </c>
      <c r="CD730" s="274">
        <f>ROUND(C392,0)</f>
        <v>3577698</v>
      </c>
      <c r="CE730" s="274">
        <f>ROUND(C394,0)</f>
        <v>208599</v>
      </c>
      <c r="CF730" s="201">
        <f>ROUND(C395,0)</f>
        <v>0</v>
      </c>
    </row>
    <row r="731" spans="1:84" ht="12.6" customHeight="1" x14ac:dyDescent="0.2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104*2017*6010*A</v>
      </c>
      <c r="B734" s="274">
        <f>ROUND(C59,0)</f>
        <v>884</v>
      </c>
      <c r="C734" s="274">
        <f>ROUND(C60,2)</f>
        <v>7.15</v>
      </c>
      <c r="D734" s="274">
        <f>ROUND(C61,0)</f>
        <v>801351</v>
      </c>
      <c r="E734" s="274">
        <f>ROUND(C62,0)</f>
        <v>180892</v>
      </c>
      <c r="F734" s="274">
        <f>ROUND(C63,0)</f>
        <v>0</v>
      </c>
      <c r="G734" s="274">
        <f>ROUND(C64,0)</f>
        <v>34080</v>
      </c>
      <c r="H734" s="274">
        <f>ROUND(C65,0)</f>
        <v>0</v>
      </c>
      <c r="I734" s="274">
        <f>ROUND(C66,0)</f>
        <v>425</v>
      </c>
      <c r="J734" s="274">
        <f>ROUND(C67,0)</f>
        <v>44496</v>
      </c>
      <c r="K734" s="274">
        <f>ROUND(C68,0)</f>
        <v>0</v>
      </c>
      <c r="L734" s="274">
        <f>ROUND(C69,0)</f>
        <v>3008</v>
      </c>
      <c r="M734" s="274">
        <f>ROUND(C70,0)</f>
        <v>0</v>
      </c>
      <c r="N734" s="274">
        <f>ROUND(C75,0)</f>
        <v>2490326</v>
      </c>
      <c r="O734" s="274">
        <f>ROUND(C73,0)</f>
        <v>2485832</v>
      </c>
      <c r="P734" s="274">
        <f>IF(C76&gt;0,ROUND(C76,0),0)</f>
        <v>2200</v>
      </c>
      <c r="Q734" s="274">
        <f>IF(C77&gt;0,ROUND(C77,0),0)</f>
        <v>2532</v>
      </c>
      <c r="R734" s="274">
        <f>IF(C78&gt;0,ROUND(C78,0),0)</f>
        <v>1267</v>
      </c>
      <c r="S734" s="274">
        <f>IF(C79&gt;0,ROUND(C79,0),0)</f>
        <v>9926</v>
      </c>
      <c r="T734" s="274">
        <f>IF(C80&gt;0,ROUND(C80,2),0)</f>
        <v>7.11</v>
      </c>
      <c r="U734" s="274"/>
      <c r="V734" s="274"/>
      <c r="W734" s="274"/>
      <c r="X734" s="274"/>
      <c r="Y734" s="274">
        <f>IF(M668&lt;&gt;0,ROUND(M668,0),0)</f>
        <v>471746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5">
      <c r="A735" s="209" t="str">
        <f>RIGHT($C$83,3)&amp;"*"&amp;RIGHT($C$82,4)&amp;"*"&amp;D$55&amp;"*"&amp;"A"</f>
        <v>104*2017*6030*A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1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5">
      <c r="A736" s="209" t="str">
        <f>RIGHT($C$83,3)&amp;"*"&amp;RIGHT($C$82,4)&amp;"*"&amp;E$55&amp;"*"&amp;"A"</f>
        <v>104*2017*6070*A</v>
      </c>
      <c r="B736" s="274">
        <f>ROUND(E59,0)</f>
        <v>3743</v>
      </c>
      <c r="C736" s="276">
        <f>ROUND(E60,2)</f>
        <v>26.31</v>
      </c>
      <c r="D736" s="274">
        <f>ROUND(E61,0)</f>
        <v>2160827</v>
      </c>
      <c r="E736" s="274">
        <f>ROUND(E62,0)</f>
        <v>487771</v>
      </c>
      <c r="F736" s="274">
        <f>ROUND(E63,0)</f>
        <v>39330</v>
      </c>
      <c r="G736" s="274">
        <f>ROUND(E64,0)</f>
        <v>94413</v>
      </c>
      <c r="H736" s="274">
        <f>ROUND(E65,0)</f>
        <v>0</v>
      </c>
      <c r="I736" s="274">
        <f>ROUND(E66,0)</f>
        <v>5699</v>
      </c>
      <c r="J736" s="274">
        <f>ROUND(E67,0)</f>
        <v>186579</v>
      </c>
      <c r="K736" s="274">
        <f>ROUND(E68,0)</f>
        <v>39448</v>
      </c>
      <c r="L736" s="274">
        <f>ROUND(E69,0)</f>
        <v>18611</v>
      </c>
      <c r="M736" s="274">
        <f>ROUND(E70,0)</f>
        <v>0</v>
      </c>
      <c r="N736" s="274">
        <f>ROUND(E75,0)</f>
        <v>7048059</v>
      </c>
      <c r="O736" s="274">
        <f>ROUND(E73,0)</f>
        <v>6054462</v>
      </c>
      <c r="P736" s="274">
        <f>IF(E76&gt;0,ROUND(E76,0),0)</f>
        <v>9225</v>
      </c>
      <c r="Q736" s="274">
        <f>IF(E77&gt;0,ROUND(E77,0),0)</f>
        <v>10024</v>
      </c>
      <c r="R736" s="274">
        <f>IF(E78&gt;0,ROUND(E78,0),0)</f>
        <v>5315</v>
      </c>
      <c r="S736" s="274">
        <f>IF(E79&gt;0,ROUND(E79,0),0)</f>
        <v>69481</v>
      </c>
      <c r="T736" s="276">
        <f>IF(E80&gt;0,ROUND(E80,2),0)</f>
        <v>23.92</v>
      </c>
      <c r="U736" s="274"/>
      <c r="V736" s="275"/>
      <c r="W736" s="274"/>
      <c r="X736" s="274"/>
      <c r="Y736" s="274">
        <f t="shared" si="21"/>
        <v>1620011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5">
      <c r="A737" s="209" t="str">
        <f>RIGHT($C$83,3)&amp;"*"&amp;RIGHT($C$82,4)&amp;"*"&amp;F$55&amp;"*"&amp;"A"</f>
        <v>104*2017*6100*A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5">
      <c r="A738" s="209" t="str">
        <f>RIGHT($C$83,3)&amp;"*"&amp;RIGHT($C$82,4)&amp;"*"&amp;G$55&amp;"*"&amp;"A"</f>
        <v>104*2017*6120*A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5">
      <c r="A739" s="209" t="str">
        <f>RIGHT($C$83,3)&amp;"*"&amp;RIGHT($C$82,4)&amp;"*"&amp;H$55&amp;"*"&amp;"A"</f>
        <v>104*2017*6140*A</v>
      </c>
      <c r="B739" s="274">
        <f>ROUND(H59,0)</f>
        <v>0</v>
      </c>
      <c r="C739" s="276">
        <f>ROUND(H60,2)</f>
        <v>0</v>
      </c>
      <c r="D739" s="274">
        <f>ROUND(H61,0)</f>
        <v>0</v>
      </c>
      <c r="E739" s="274">
        <f>ROUND(H62,0)</f>
        <v>0</v>
      </c>
      <c r="F739" s="274">
        <f>ROUND(H63,0)</f>
        <v>0</v>
      </c>
      <c r="G739" s="274">
        <f>ROUND(H64,0)</f>
        <v>0</v>
      </c>
      <c r="H739" s="274">
        <f>ROUND(H65,0)</f>
        <v>0</v>
      </c>
      <c r="I739" s="274">
        <f>ROUND(H66,0)</f>
        <v>0</v>
      </c>
      <c r="J739" s="274">
        <f>ROUND(H67,0)</f>
        <v>0</v>
      </c>
      <c r="K739" s="274">
        <f>ROUND(H68,0)</f>
        <v>0</v>
      </c>
      <c r="L739" s="274">
        <f>ROUND(H69,0)</f>
        <v>0</v>
      </c>
      <c r="M739" s="274">
        <f>ROUND(H70,0)</f>
        <v>0</v>
      </c>
      <c r="N739" s="274">
        <f>ROUND(H75,0)</f>
        <v>0</v>
      </c>
      <c r="O739" s="274">
        <f>ROUND(H73,0)</f>
        <v>0</v>
      </c>
      <c r="P739" s="274">
        <f>IF(H76&gt;0,ROUND(H76,0),0)</f>
        <v>0</v>
      </c>
      <c r="Q739" s="274">
        <f>IF(H77&gt;0,ROUND(H77,0),0)</f>
        <v>0</v>
      </c>
      <c r="R739" s="274">
        <f>IF(H78&gt;0,ROUND(H78,0),0)</f>
        <v>0</v>
      </c>
      <c r="S739" s="274">
        <f>IF(H79&gt;0,ROUND(H79,0),0)</f>
        <v>0</v>
      </c>
      <c r="T739" s="276">
        <f>IF(H80&gt;0,ROUND(H80,2),0)</f>
        <v>0</v>
      </c>
      <c r="U739" s="274"/>
      <c r="V739" s="275"/>
      <c r="W739" s="274"/>
      <c r="X739" s="274"/>
      <c r="Y739" s="274">
        <f t="shared" si="21"/>
        <v>0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5">
      <c r="A740" s="209" t="str">
        <f>RIGHT($C$83,3)&amp;"*"&amp;RIGHT($C$82,4)&amp;"*"&amp;I$55&amp;"*"&amp;"A"</f>
        <v>104*2017*6150*A</v>
      </c>
      <c r="B740" s="274">
        <f>ROUND(I59,0)</f>
        <v>6328</v>
      </c>
      <c r="C740" s="276">
        <f>ROUND(I60,2)</f>
        <v>26.61</v>
      </c>
      <c r="D740" s="274">
        <f>ROUND(I61,0)</f>
        <v>1983829</v>
      </c>
      <c r="E740" s="274">
        <f>ROUND(I62,0)</f>
        <v>447817</v>
      </c>
      <c r="F740" s="274">
        <f>ROUND(I63,0)</f>
        <v>267839</v>
      </c>
      <c r="G740" s="274">
        <f>ROUND(I64,0)</f>
        <v>45550</v>
      </c>
      <c r="H740" s="274">
        <f>ROUND(I65,0)</f>
        <v>44955</v>
      </c>
      <c r="I740" s="274">
        <f>ROUND(I66,0)</f>
        <v>19226</v>
      </c>
      <c r="J740" s="274">
        <f>ROUND(I67,0)</f>
        <v>315272</v>
      </c>
      <c r="K740" s="274">
        <f>ROUND(I68,0)</f>
        <v>427370</v>
      </c>
      <c r="L740" s="274">
        <f>ROUND(I69,0)</f>
        <v>68669</v>
      </c>
      <c r="M740" s="274">
        <f>ROUND(I70,0)</f>
        <v>0</v>
      </c>
      <c r="N740" s="274">
        <f>ROUND(I75,0)</f>
        <v>5981713</v>
      </c>
      <c r="O740" s="274">
        <f>ROUND(I73,0)</f>
        <v>5615188</v>
      </c>
      <c r="P740" s="274">
        <f>IF(I76&gt;0,ROUND(I76,0),0)</f>
        <v>15588</v>
      </c>
      <c r="Q740" s="274">
        <f>IF(I77&gt;0,ROUND(I77,0),0)</f>
        <v>19315</v>
      </c>
      <c r="R740" s="274">
        <f>IF(I78&gt;0,ROUND(I78,0),0)</f>
        <v>8982</v>
      </c>
      <c r="S740" s="274">
        <f>IF(I79&gt;0,ROUND(I79,0),0)</f>
        <v>10585</v>
      </c>
      <c r="T740" s="276">
        <f>IF(I80&gt;0,ROUND(I80,2),0)</f>
        <v>9.66</v>
      </c>
      <c r="U740" s="274"/>
      <c r="V740" s="275"/>
      <c r="W740" s="274"/>
      <c r="X740" s="274"/>
      <c r="Y740" s="274">
        <f t="shared" si="21"/>
        <v>2025227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5">
      <c r="A741" s="209" t="str">
        <f>RIGHT($C$83,3)&amp;"*"&amp;RIGHT($C$82,4)&amp;"*"&amp;J$55&amp;"*"&amp;"A"</f>
        <v>104*2017*6170*A</v>
      </c>
      <c r="B741" s="274">
        <f>ROUND(J59,0)</f>
        <v>0</v>
      </c>
      <c r="C741" s="276">
        <f>ROUND(J60,2)</f>
        <v>0</v>
      </c>
      <c r="D741" s="274">
        <f>ROUND(J61,0)</f>
        <v>0</v>
      </c>
      <c r="E741" s="274">
        <f>ROUND(J62,0)</f>
        <v>0</v>
      </c>
      <c r="F741" s="274">
        <f>ROUND(J63,0)</f>
        <v>0</v>
      </c>
      <c r="G741" s="274">
        <f>ROUND(J64,0)</f>
        <v>0</v>
      </c>
      <c r="H741" s="274">
        <f>ROUND(J65,0)</f>
        <v>0</v>
      </c>
      <c r="I741" s="274">
        <f>ROUND(J66,0)</f>
        <v>0</v>
      </c>
      <c r="J741" s="274">
        <f>ROUND(J67,0)</f>
        <v>0</v>
      </c>
      <c r="K741" s="274">
        <f>ROUND(J68,0)</f>
        <v>0</v>
      </c>
      <c r="L741" s="274">
        <f>ROUND(J69,0)</f>
        <v>0</v>
      </c>
      <c r="M741" s="274">
        <f>ROUND(J70,0)</f>
        <v>0</v>
      </c>
      <c r="N741" s="274">
        <f>ROUND(J75,0)</f>
        <v>0</v>
      </c>
      <c r="O741" s="274">
        <f>ROUND(J73,0)</f>
        <v>0</v>
      </c>
      <c r="P741" s="274">
        <f>IF(J76&gt;0,ROUND(J76,0),0)</f>
        <v>0</v>
      </c>
      <c r="Q741" s="274">
        <f>IF(J77&gt;0,ROUND(J77,0),0)</f>
        <v>0</v>
      </c>
      <c r="R741" s="274">
        <f>IF(J78&gt;0,ROUND(J78,0),0)</f>
        <v>0</v>
      </c>
      <c r="S741" s="274">
        <f>IF(J79&gt;0,ROUND(J79,0),0)</f>
        <v>0</v>
      </c>
      <c r="T741" s="276">
        <f>IF(J80&gt;0,ROUND(J80,2),0)</f>
        <v>0</v>
      </c>
      <c r="U741" s="274"/>
      <c r="V741" s="275"/>
      <c r="W741" s="274"/>
      <c r="X741" s="274"/>
      <c r="Y741" s="274">
        <f t="shared" si="21"/>
        <v>0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5">
      <c r="A742" s="209" t="str">
        <f>RIGHT($C$83,3)&amp;"*"&amp;RIGHT($C$82,4)&amp;"*"&amp;K$55&amp;"*"&amp;"A"</f>
        <v>104*2017*6200*A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5">
      <c r="A743" s="209" t="str">
        <f>RIGHT($C$83,3)&amp;"*"&amp;RIGHT($C$82,4)&amp;"*"&amp;L$55&amp;"*"&amp;"A"</f>
        <v>104*2017*6210*A</v>
      </c>
      <c r="B743" s="274">
        <f>ROUND(L59,0)</f>
        <v>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0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5">
      <c r="A744" s="209" t="str">
        <f>RIGHT($C$83,3)&amp;"*"&amp;RIGHT($C$82,4)&amp;"*"&amp;M$55&amp;"*"&amp;"A"</f>
        <v>104*2017*6330*A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5">
      <c r="A745" s="209" t="str">
        <f>RIGHT($C$83,3)&amp;"*"&amp;RIGHT($C$82,4)&amp;"*"&amp;N$55&amp;"*"&amp;"A"</f>
        <v>104*2017*6400*A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5">
      <c r="A746" s="209" t="str">
        <f>RIGHT($C$83,3)&amp;"*"&amp;RIGHT($C$82,4)&amp;"*"&amp;O$55&amp;"*"&amp;"A"</f>
        <v>104*2017*7010*A</v>
      </c>
      <c r="B746" s="274">
        <f>ROUND(O59,0)</f>
        <v>0</v>
      </c>
      <c r="C746" s="276">
        <f>ROUND(O60,2)</f>
        <v>0</v>
      </c>
      <c r="D746" s="274">
        <f>ROUND(O61,0)</f>
        <v>0</v>
      </c>
      <c r="E746" s="274">
        <f>ROUND(O62,0)</f>
        <v>0</v>
      </c>
      <c r="F746" s="274">
        <f>ROUND(O63,0)</f>
        <v>0</v>
      </c>
      <c r="G746" s="274">
        <f>ROUND(O64,0)</f>
        <v>0</v>
      </c>
      <c r="H746" s="274">
        <f>ROUND(O65,0)</f>
        <v>0</v>
      </c>
      <c r="I746" s="274">
        <f>ROUND(O66,0)</f>
        <v>0</v>
      </c>
      <c r="J746" s="274">
        <f>ROUND(O67,0)</f>
        <v>0</v>
      </c>
      <c r="K746" s="274">
        <f>ROUND(O68,0)</f>
        <v>0</v>
      </c>
      <c r="L746" s="274">
        <f>ROUND(O69,0)</f>
        <v>0</v>
      </c>
      <c r="M746" s="274">
        <f>ROUND(O70,0)</f>
        <v>0</v>
      </c>
      <c r="N746" s="274">
        <f>ROUND(O75,0)</f>
        <v>0</v>
      </c>
      <c r="O746" s="274">
        <f>ROUND(O73,0)</f>
        <v>0</v>
      </c>
      <c r="P746" s="274">
        <f>IF(O76&gt;0,ROUND(O76,0),0)</f>
        <v>0</v>
      </c>
      <c r="Q746" s="274">
        <f>IF(O77&gt;0,ROUND(O77,0),0)</f>
        <v>0</v>
      </c>
      <c r="R746" s="274">
        <f>IF(O78&gt;0,ROUND(O78,0),0)</f>
        <v>0</v>
      </c>
      <c r="S746" s="274">
        <f>IF(O79&gt;0,ROUND(O79,0),0)</f>
        <v>0</v>
      </c>
      <c r="T746" s="276">
        <f>IF(O80&gt;0,ROUND(O80,2),0)</f>
        <v>0</v>
      </c>
      <c r="U746" s="274"/>
      <c r="V746" s="275"/>
      <c r="W746" s="274"/>
      <c r="X746" s="274"/>
      <c r="Y746" s="274">
        <f t="shared" si="21"/>
        <v>0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5">
      <c r="A747" s="209" t="str">
        <f>RIGHT($C$83,3)&amp;"*"&amp;RIGHT($C$82,4)&amp;"*"&amp;P$55&amp;"*"&amp;"A"</f>
        <v>104*2017*7020*A</v>
      </c>
      <c r="B747" s="274">
        <f>ROUND(P59,0)</f>
        <v>80829</v>
      </c>
      <c r="C747" s="276">
        <f>ROUND(P60,2)</f>
        <v>8.9600000000000009</v>
      </c>
      <c r="D747" s="274">
        <f>ROUND(P61,0)</f>
        <v>845304</v>
      </c>
      <c r="E747" s="274">
        <f>ROUND(P62,0)</f>
        <v>190813</v>
      </c>
      <c r="F747" s="274">
        <f>ROUND(P63,0)</f>
        <v>0</v>
      </c>
      <c r="G747" s="274">
        <f>ROUND(P64,0)</f>
        <v>379776</v>
      </c>
      <c r="H747" s="274">
        <f>ROUND(P65,0)</f>
        <v>0</v>
      </c>
      <c r="I747" s="274">
        <f>ROUND(P66,0)</f>
        <v>31171</v>
      </c>
      <c r="J747" s="274">
        <f>ROUND(P67,0)</f>
        <v>109662</v>
      </c>
      <c r="K747" s="274">
        <f>ROUND(P68,0)</f>
        <v>-8253</v>
      </c>
      <c r="L747" s="274">
        <f>ROUND(P69,0)</f>
        <v>139</v>
      </c>
      <c r="M747" s="274">
        <f>ROUND(P70,0)</f>
        <v>0</v>
      </c>
      <c r="N747" s="274">
        <f>ROUND(P75,0)</f>
        <v>15776500</v>
      </c>
      <c r="O747" s="274">
        <f>ROUND(P73,0)</f>
        <v>7473978</v>
      </c>
      <c r="P747" s="274">
        <f>IF(P76&gt;0,ROUND(P76,0),0)</f>
        <v>5422</v>
      </c>
      <c r="Q747" s="274">
        <f>IF(P77&gt;0,ROUND(P77,0),0)</f>
        <v>0</v>
      </c>
      <c r="R747" s="274">
        <f>IF(P78&gt;0,ROUND(P78,0),0)</f>
        <v>3123</v>
      </c>
      <c r="S747" s="274">
        <f>IF(P79&gt;0,ROUND(P79,0),0)</f>
        <v>49630</v>
      </c>
      <c r="T747" s="276">
        <f>IF(P80&gt;0,ROUND(P80,2),0)</f>
        <v>2.92</v>
      </c>
      <c r="U747" s="274"/>
      <c r="V747" s="275"/>
      <c r="W747" s="274"/>
      <c r="X747" s="274"/>
      <c r="Y747" s="274">
        <f t="shared" si="21"/>
        <v>1086477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5">
      <c r="A748" s="209" t="str">
        <f>RIGHT($C$83,3)&amp;"*"&amp;RIGHT($C$82,4)&amp;"*"&amp;Q$55&amp;"*"&amp;"A"</f>
        <v>104*2017*7030*A</v>
      </c>
      <c r="B748" s="274">
        <f>ROUND(Q59,0)</f>
        <v>96424</v>
      </c>
      <c r="C748" s="276">
        <f>ROUND(Q60,2)</f>
        <v>2.52</v>
      </c>
      <c r="D748" s="274">
        <f>ROUND(Q61,0)</f>
        <v>314171</v>
      </c>
      <c r="E748" s="274">
        <f>ROUND(Q62,0)</f>
        <v>70919</v>
      </c>
      <c r="F748" s="274">
        <f>ROUND(Q63,0)</f>
        <v>0</v>
      </c>
      <c r="G748" s="274">
        <f>ROUND(Q64,0)</f>
        <v>3736</v>
      </c>
      <c r="H748" s="274">
        <f>ROUND(Q65,0)</f>
        <v>0</v>
      </c>
      <c r="I748" s="274">
        <f>ROUND(Q66,0)</f>
        <v>0</v>
      </c>
      <c r="J748" s="274">
        <f>ROUND(Q67,0)</f>
        <v>12135</v>
      </c>
      <c r="K748" s="274">
        <f>ROUND(Q68,0)</f>
        <v>0</v>
      </c>
      <c r="L748" s="274">
        <f>ROUND(Q69,0)</f>
        <v>156</v>
      </c>
      <c r="M748" s="274">
        <f>ROUND(Q70,0)</f>
        <v>0</v>
      </c>
      <c r="N748" s="274">
        <f>ROUND(Q75,0)</f>
        <v>1848382</v>
      </c>
      <c r="O748" s="274">
        <f>ROUND(Q73,0)</f>
        <v>745616</v>
      </c>
      <c r="P748" s="274">
        <f>IF(Q76&gt;0,ROUND(Q76,0),0)</f>
        <v>600</v>
      </c>
      <c r="Q748" s="274">
        <f>IF(Q77&gt;0,ROUND(Q77,0),0)</f>
        <v>0</v>
      </c>
      <c r="R748" s="274">
        <f>IF(Q78&gt;0,ROUND(Q78,0),0)</f>
        <v>346</v>
      </c>
      <c r="S748" s="274">
        <f>IF(Q79&gt;0,ROUND(Q79,0),0)</f>
        <v>0</v>
      </c>
      <c r="T748" s="276">
        <f>IF(Q80&gt;0,ROUND(Q80,2),0)</f>
        <v>1.86</v>
      </c>
      <c r="U748" s="274"/>
      <c r="V748" s="275"/>
      <c r="W748" s="274"/>
      <c r="X748" s="274"/>
      <c r="Y748" s="274">
        <f t="shared" si="21"/>
        <v>154510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5">
      <c r="A749" s="209" t="str">
        <f>RIGHT($C$83,3)&amp;"*"&amp;RIGHT($C$82,4)&amp;"*"&amp;R$55&amp;"*"&amp;"A"</f>
        <v>104*2017*7040*A</v>
      </c>
      <c r="B749" s="274">
        <f>ROUND(R59,0)</f>
        <v>80829</v>
      </c>
      <c r="C749" s="276">
        <f>ROUND(R60,2)</f>
        <v>0.45</v>
      </c>
      <c r="D749" s="274">
        <f>ROUND(R61,0)</f>
        <v>25605</v>
      </c>
      <c r="E749" s="274">
        <f>ROUND(R62,0)</f>
        <v>5780</v>
      </c>
      <c r="F749" s="274">
        <f>ROUND(R63,0)</f>
        <v>450501</v>
      </c>
      <c r="G749" s="274">
        <f>ROUND(R64,0)</f>
        <v>24701</v>
      </c>
      <c r="H749" s="274">
        <f>ROUND(R65,0)</f>
        <v>0</v>
      </c>
      <c r="I749" s="274">
        <f>ROUND(R66,0)</f>
        <v>1530</v>
      </c>
      <c r="J749" s="274">
        <f>ROUND(R67,0)</f>
        <v>3681</v>
      </c>
      <c r="K749" s="274">
        <f>ROUND(R68,0)</f>
        <v>0</v>
      </c>
      <c r="L749" s="274">
        <f>ROUND(R69,0)</f>
        <v>0</v>
      </c>
      <c r="M749" s="274">
        <f>ROUND(R70,0)</f>
        <v>0</v>
      </c>
      <c r="N749" s="274">
        <f>ROUND(R75,0)</f>
        <v>1460947</v>
      </c>
      <c r="O749" s="274">
        <f>ROUND(R73,0)</f>
        <v>592632</v>
      </c>
      <c r="P749" s="274">
        <f>IF(R76&gt;0,ROUND(R76,0),0)</f>
        <v>182</v>
      </c>
      <c r="Q749" s="274">
        <f>IF(R77&gt;0,ROUND(R77,0),0)</f>
        <v>0</v>
      </c>
      <c r="R749" s="274">
        <f>IF(R78&gt;0,ROUND(R78,0),0)</f>
        <v>105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1"/>
        <v>130663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5">
      <c r="A750" s="209" t="str">
        <f>RIGHT($C$83,3)&amp;"*"&amp;RIGHT($C$82,4)&amp;"*"&amp;S$55&amp;"*"&amp;"A"</f>
        <v>104*2017*7050*A</v>
      </c>
      <c r="B750" s="274"/>
      <c r="C750" s="276">
        <f>ROUND(S60,2)</f>
        <v>0</v>
      </c>
      <c r="D750" s="274">
        <f>ROUND(S61,0)</f>
        <v>3</v>
      </c>
      <c r="E750" s="274">
        <f>ROUND(S62,0)</f>
        <v>1</v>
      </c>
      <c r="F750" s="274">
        <f>ROUND(S63,0)</f>
        <v>0</v>
      </c>
      <c r="G750" s="274">
        <f>ROUND(S64,0)</f>
        <v>1783589</v>
      </c>
      <c r="H750" s="274">
        <f>ROUND(S65,0)</f>
        <v>0</v>
      </c>
      <c r="I750" s="274">
        <f>ROUND(S66,0)</f>
        <v>13679</v>
      </c>
      <c r="J750" s="274">
        <f>ROUND(S67,0)</f>
        <v>0</v>
      </c>
      <c r="K750" s="274">
        <f>ROUND(S68,0)</f>
        <v>0</v>
      </c>
      <c r="L750" s="274">
        <f>ROUND(S69,0)</f>
        <v>39</v>
      </c>
      <c r="M750" s="274">
        <f>ROUND(S70,0)</f>
        <v>0</v>
      </c>
      <c r="N750" s="274">
        <f>ROUND(S75,0)</f>
        <v>0</v>
      </c>
      <c r="O750" s="274">
        <f>ROUND(S73,0)</f>
        <v>0</v>
      </c>
      <c r="P750" s="274">
        <f>IF(S76&gt;0,ROUND(S76,0),0)</f>
        <v>0</v>
      </c>
      <c r="Q750" s="274">
        <f>IF(S77&gt;0,ROUND(S77,0),0)</f>
        <v>0</v>
      </c>
      <c r="R750" s="274">
        <f>IF(S78&gt;0,ROUND(S78,0),0)</f>
        <v>0</v>
      </c>
      <c r="S750" s="274">
        <f>IF(S79&gt;0,ROUND(S79,0),0)</f>
        <v>0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295518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5">
      <c r="A751" s="209" t="str">
        <f>RIGHT($C$83,3)&amp;"*"&amp;RIGHT($C$82,4)&amp;"*"&amp;T$55&amp;"*"&amp;"A"</f>
        <v>104*2017*7060*A</v>
      </c>
      <c r="B751" s="274"/>
      <c r="C751" s="276">
        <f>ROUND(T60,2)</f>
        <v>0</v>
      </c>
      <c r="D751" s="274">
        <f>ROUND(T61,0)</f>
        <v>0</v>
      </c>
      <c r="E751" s="274">
        <f>ROUND(T62,0)</f>
        <v>0</v>
      </c>
      <c r="F751" s="274">
        <f>ROUND(T63,0)</f>
        <v>0</v>
      </c>
      <c r="G751" s="274">
        <f>ROUND(T64,0)</f>
        <v>0</v>
      </c>
      <c r="H751" s="274">
        <f>ROUND(T65,0)</f>
        <v>0</v>
      </c>
      <c r="I751" s="274">
        <f>ROUND(T66,0)</f>
        <v>0</v>
      </c>
      <c r="J751" s="274">
        <f>ROUND(T67,0)</f>
        <v>0</v>
      </c>
      <c r="K751" s="274">
        <f>ROUND(T68,0)</f>
        <v>0</v>
      </c>
      <c r="L751" s="274">
        <f>ROUND(T69,0)</f>
        <v>0</v>
      </c>
      <c r="M751" s="274">
        <f>ROUND(T70,0)</f>
        <v>0</v>
      </c>
      <c r="N751" s="274">
        <f>ROUND(T75,0)</f>
        <v>0</v>
      </c>
      <c r="O751" s="274">
        <f>ROUND(T73,0)</f>
        <v>0</v>
      </c>
      <c r="P751" s="274">
        <f>IF(T76&gt;0,ROUND(T76,0),0)</f>
        <v>0</v>
      </c>
      <c r="Q751" s="274">
        <f>IF(T77&gt;0,ROUND(T77,0),0)</f>
        <v>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0</v>
      </c>
      <c r="U751" s="274"/>
      <c r="V751" s="275"/>
      <c r="W751" s="274"/>
      <c r="X751" s="274"/>
      <c r="Y751" s="274">
        <f t="shared" si="21"/>
        <v>0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5">
      <c r="A752" s="209" t="str">
        <f>RIGHT($C$83,3)&amp;"*"&amp;RIGHT($C$82,4)&amp;"*"&amp;U$55&amp;"*"&amp;"A"</f>
        <v>104*2017*7070*A</v>
      </c>
      <c r="B752" s="274">
        <f>ROUND(U59,0)</f>
        <v>87223</v>
      </c>
      <c r="C752" s="276">
        <f>ROUND(U60,2)</f>
        <v>12.33</v>
      </c>
      <c r="D752" s="274">
        <f>ROUND(U61,0)</f>
        <v>832840</v>
      </c>
      <c r="E752" s="274">
        <f>ROUND(U62,0)</f>
        <v>188000</v>
      </c>
      <c r="F752" s="274">
        <f>ROUND(U63,0)</f>
        <v>0</v>
      </c>
      <c r="G752" s="274">
        <f>ROUND(U64,0)</f>
        <v>658639</v>
      </c>
      <c r="H752" s="274">
        <f>ROUND(U65,0)</f>
        <v>0</v>
      </c>
      <c r="I752" s="274">
        <f>ROUND(U66,0)</f>
        <v>451132</v>
      </c>
      <c r="J752" s="274">
        <f>ROUND(U67,0)</f>
        <v>25888</v>
      </c>
      <c r="K752" s="274">
        <f>ROUND(U68,0)</f>
        <v>70568</v>
      </c>
      <c r="L752" s="274">
        <f>ROUND(U69,0)</f>
        <v>8499</v>
      </c>
      <c r="M752" s="274">
        <f>ROUND(U70,0)</f>
        <v>0</v>
      </c>
      <c r="N752" s="274">
        <f>ROUND(U75,0)</f>
        <v>10445157</v>
      </c>
      <c r="O752" s="274">
        <f>ROUND(U73,0)</f>
        <v>2835897</v>
      </c>
      <c r="P752" s="274">
        <f>IF(U76&gt;0,ROUND(U76,0),0)</f>
        <v>1280</v>
      </c>
      <c r="Q752" s="274">
        <f>IF(U77&gt;0,ROUND(U77,0),0)</f>
        <v>0</v>
      </c>
      <c r="R752" s="274">
        <f>IF(U78&gt;0,ROUND(U78,0),0)</f>
        <v>738</v>
      </c>
      <c r="S752" s="274">
        <f>IF(U79&gt;0,ROUND(U79,0),0)</f>
        <v>0</v>
      </c>
      <c r="T752" s="276">
        <f>IF(U80&gt;0,ROUND(U80,2),0)</f>
        <v>0</v>
      </c>
      <c r="U752" s="274"/>
      <c r="V752" s="275"/>
      <c r="W752" s="274"/>
      <c r="X752" s="274"/>
      <c r="Y752" s="274">
        <f t="shared" si="21"/>
        <v>799868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5">
      <c r="A753" s="209" t="str">
        <f>RIGHT($C$83,3)&amp;"*"&amp;RIGHT($C$82,4)&amp;"*"&amp;V$55&amp;"*"&amp;"A"</f>
        <v>104*2017*7110*A</v>
      </c>
      <c r="B753" s="274">
        <f>ROUND(V59,0)</f>
        <v>0</v>
      </c>
      <c r="C753" s="276">
        <f>ROUND(V60,2)</f>
        <v>0</v>
      </c>
      <c r="D753" s="274">
        <f>ROUND(V61,0)</f>
        <v>0</v>
      </c>
      <c r="E753" s="274">
        <f>ROUND(V62,0)</f>
        <v>0</v>
      </c>
      <c r="F753" s="274">
        <f>ROUND(V63,0)</f>
        <v>0</v>
      </c>
      <c r="G753" s="274">
        <f>ROUND(V64,0)</f>
        <v>0</v>
      </c>
      <c r="H753" s="274">
        <f>ROUND(V65,0)</f>
        <v>0</v>
      </c>
      <c r="I753" s="274">
        <f>ROUND(V66,0)</f>
        <v>0</v>
      </c>
      <c r="J753" s="274">
        <f>ROUND(V67,0)</f>
        <v>0</v>
      </c>
      <c r="K753" s="274">
        <f>ROUND(V68,0)</f>
        <v>0</v>
      </c>
      <c r="L753" s="274">
        <f>ROUND(V69,0)</f>
        <v>0</v>
      </c>
      <c r="M753" s="274">
        <f>ROUND(V70,0)</f>
        <v>0</v>
      </c>
      <c r="N753" s="274">
        <f>ROUND(V75,0)</f>
        <v>0</v>
      </c>
      <c r="O753" s="274">
        <f>ROUND(V73,0)</f>
        <v>0</v>
      </c>
      <c r="P753" s="274">
        <f>IF(V76&gt;0,ROUND(V76,0),0)</f>
        <v>0</v>
      </c>
      <c r="Q753" s="274">
        <f>IF(V77&gt;0,ROUND(V77,0),0)</f>
        <v>0</v>
      </c>
      <c r="R753" s="274">
        <f>IF(V78&gt;0,ROUND(V78,0),0)</f>
        <v>0</v>
      </c>
      <c r="S753" s="274">
        <f>IF(V79&gt;0,ROUND(V79,0),0)</f>
        <v>0</v>
      </c>
      <c r="T753" s="276">
        <f>IF(V80&gt;0,ROUND(V80,2),0)</f>
        <v>0</v>
      </c>
      <c r="U753" s="274"/>
      <c r="V753" s="275"/>
      <c r="W753" s="274"/>
      <c r="X753" s="274"/>
      <c r="Y753" s="274">
        <f t="shared" si="21"/>
        <v>0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5">
      <c r="A754" s="209" t="str">
        <f>RIGHT($C$83,3)&amp;"*"&amp;RIGHT($C$82,4)&amp;"*"&amp;W$55&amp;"*"&amp;"A"</f>
        <v>104*2017*7120*A</v>
      </c>
      <c r="B754" s="274">
        <f>ROUND(W59,0)</f>
        <v>933</v>
      </c>
      <c r="C754" s="276">
        <f>ROUND(W60,2)</f>
        <v>1.97</v>
      </c>
      <c r="D754" s="274">
        <f>ROUND(W61,0)</f>
        <v>195370</v>
      </c>
      <c r="E754" s="274">
        <f>ROUND(W62,0)</f>
        <v>44102</v>
      </c>
      <c r="F754" s="274">
        <f>ROUND(W63,0)</f>
        <v>0</v>
      </c>
      <c r="G754" s="274">
        <f>ROUND(W64,0)</f>
        <v>4723</v>
      </c>
      <c r="H754" s="274">
        <f>ROUND(W65,0)</f>
        <v>0</v>
      </c>
      <c r="I754" s="274">
        <f>ROUND(W66,0)</f>
        <v>216611</v>
      </c>
      <c r="J754" s="274">
        <f>ROUND(W67,0)</f>
        <v>9708</v>
      </c>
      <c r="K754" s="274">
        <f>ROUND(W68,0)</f>
        <v>53393</v>
      </c>
      <c r="L754" s="274">
        <f>ROUND(W69,0)</f>
        <v>0</v>
      </c>
      <c r="M754" s="274">
        <f>ROUND(W70,0)</f>
        <v>0</v>
      </c>
      <c r="N754" s="274">
        <f>ROUND(W75,0)</f>
        <v>3339351</v>
      </c>
      <c r="O754" s="274">
        <f>ROUND(W73,0)</f>
        <v>323390</v>
      </c>
      <c r="P754" s="274">
        <f>IF(W76&gt;0,ROUND(W76,0),0)</f>
        <v>480</v>
      </c>
      <c r="Q754" s="274">
        <f>IF(W77&gt;0,ROUND(W77,0),0)</f>
        <v>0</v>
      </c>
      <c r="R754" s="274">
        <f>IF(W78&gt;0,ROUND(W78,0),0)</f>
        <v>276</v>
      </c>
      <c r="S754" s="274">
        <f>IF(W79&gt;0,ROUND(W79,0),0)</f>
        <v>427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222281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5">
      <c r="A755" s="209" t="str">
        <f>RIGHT($C$83,3)&amp;"*"&amp;RIGHT($C$82,4)&amp;"*"&amp;X$55&amp;"*"&amp;"A"</f>
        <v>104*2017*7130*A</v>
      </c>
      <c r="B755" s="274">
        <f>ROUND(X59,0)</f>
        <v>4339</v>
      </c>
      <c r="C755" s="276">
        <f>ROUND(X60,2)</f>
        <v>6.87</v>
      </c>
      <c r="D755" s="274">
        <f>ROUND(X61,0)</f>
        <v>614101</v>
      </c>
      <c r="E755" s="274">
        <f>ROUND(X62,0)</f>
        <v>138623</v>
      </c>
      <c r="F755" s="274">
        <f>ROUND(X63,0)</f>
        <v>0</v>
      </c>
      <c r="G755" s="274">
        <f>ROUND(X64,0)</f>
        <v>44765</v>
      </c>
      <c r="H755" s="274">
        <f>ROUND(X65,0)</f>
        <v>0</v>
      </c>
      <c r="I755" s="274">
        <f>ROUND(X66,0)</f>
        <v>104042</v>
      </c>
      <c r="J755" s="274">
        <f>ROUND(X67,0)</f>
        <v>8191</v>
      </c>
      <c r="K755" s="274">
        <f>ROUND(X68,0)</f>
        <v>0</v>
      </c>
      <c r="L755" s="274">
        <f>ROUND(X69,0)</f>
        <v>37</v>
      </c>
      <c r="M755" s="274">
        <f>ROUND(X70,0)</f>
        <v>0</v>
      </c>
      <c r="N755" s="274">
        <f>ROUND(X75,0)</f>
        <v>13228002</v>
      </c>
      <c r="O755" s="274">
        <f>ROUND(X73,0)</f>
        <v>2099254</v>
      </c>
      <c r="P755" s="274">
        <f>IF(X76&gt;0,ROUND(X76,0),0)</f>
        <v>405</v>
      </c>
      <c r="Q755" s="274">
        <f>IF(X77&gt;0,ROUND(X77,0),0)</f>
        <v>0</v>
      </c>
      <c r="R755" s="274">
        <f>IF(X78&gt;0,ROUND(X78,0),0)</f>
        <v>232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719990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5">
      <c r="A756" s="209" t="str">
        <f>RIGHT($C$83,3)&amp;"*"&amp;RIGHT($C$82,4)&amp;"*"&amp;Y$55&amp;"*"&amp;"A"</f>
        <v>104*2017*7140*A</v>
      </c>
      <c r="B756" s="274">
        <f>ROUND(Y59,0)</f>
        <v>8117</v>
      </c>
      <c r="C756" s="276">
        <f>ROUND(Y60,2)</f>
        <v>3.29</v>
      </c>
      <c r="D756" s="274">
        <f>ROUND(Y61,0)</f>
        <v>259517</v>
      </c>
      <c r="E756" s="274">
        <f>ROUND(Y62,0)</f>
        <v>58582</v>
      </c>
      <c r="F756" s="274">
        <f>ROUND(Y63,0)</f>
        <v>0</v>
      </c>
      <c r="G756" s="274">
        <f>ROUND(Y64,0)</f>
        <v>9655</v>
      </c>
      <c r="H756" s="274">
        <f>ROUND(Y65,0)</f>
        <v>0</v>
      </c>
      <c r="I756" s="274">
        <f>ROUND(Y66,0)</f>
        <v>118375</v>
      </c>
      <c r="J756" s="274">
        <f>ROUND(Y67,0)</f>
        <v>51534</v>
      </c>
      <c r="K756" s="274">
        <f>ROUND(Y68,0)</f>
        <v>0</v>
      </c>
      <c r="L756" s="274">
        <f>ROUND(Y69,0)</f>
        <v>4262</v>
      </c>
      <c r="M756" s="274">
        <f>ROUND(Y70,0)</f>
        <v>0</v>
      </c>
      <c r="N756" s="274">
        <f>ROUND(Y75,0)</f>
        <v>3624813</v>
      </c>
      <c r="O756" s="274">
        <f>ROUND(Y73,0)</f>
        <v>559618</v>
      </c>
      <c r="P756" s="274">
        <f>IF(Y76&gt;0,ROUND(Y76,0),0)</f>
        <v>2548</v>
      </c>
      <c r="Q756" s="274">
        <f>IF(Y77&gt;0,ROUND(Y77,0),0)</f>
        <v>0</v>
      </c>
      <c r="R756" s="274">
        <f>IF(Y78&gt;0,ROUND(Y78,0),0)</f>
        <v>1467</v>
      </c>
      <c r="S756" s="274">
        <f>IF(Y79&gt;0,ROUND(Y79,0),0)</f>
        <v>0</v>
      </c>
      <c r="T756" s="276">
        <f>IF(Y80&gt;0,ROUND(Y80,2),0)</f>
        <v>0</v>
      </c>
      <c r="U756" s="274"/>
      <c r="V756" s="275"/>
      <c r="W756" s="274"/>
      <c r="X756" s="274"/>
      <c r="Y756" s="274">
        <f t="shared" si="21"/>
        <v>260690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5">
      <c r="A757" s="209" t="str">
        <f>RIGHT($C$83,3)&amp;"*"&amp;RIGHT($C$82,4)&amp;"*"&amp;Z$55&amp;"*"&amp;"A"</f>
        <v>104*2017*7150*A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0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5">
      <c r="A758" s="209" t="str">
        <f>RIGHT($C$83,3)&amp;"*"&amp;RIGHT($C$82,4)&amp;"*"&amp;AA$55&amp;"*"&amp;"A"</f>
        <v>104*2017*7160*A</v>
      </c>
      <c r="B758" s="274">
        <f>ROUND(AA59,0)</f>
        <v>101</v>
      </c>
      <c r="C758" s="276">
        <f>ROUND(AA60,2)</f>
        <v>0.86</v>
      </c>
      <c r="D758" s="274">
        <f>ROUND(AA61,0)</f>
        <v>95778</v>
      </c>
      <c r="E758" s="274">
        <f>ROUND(AA62,0)</f>
        <v>21620</v>
      </c>
      <c r="F758" s="274">
        <f>ROUND(AA63,0)</f>
        <v>0</v>
      </c>
      <c r="G758" s="274">
        <f>ROUND(AA64,0)</f>
        <v>11037</v>
      </c>
      <c r="H758" s="274">
        <f>ROUND(AA65,0)</f>
        <v>0</v>
      </c>
      <c r="I758" s="274">
        <f>ROUND(AA66,0)</f>
        <v>28449</v>
      </c>
      <c r="J758" s="274">
        <f>ROUND(AA67,0)</f>
        <v>8636</v>
      </c>
      <c r="K758" s="274">
        <f>ROUND(AA68,0)</f>
        <v>0</v>
      </c>
      <c r="L758" s="274">
        <f>ROUND(AA69,0)</f>
        <v>8948</v>
      </c>
      <c r="M758" s="274">
        <f>ROUND(AA70,0)</f>
        <v>0</v>
      </c>
      <c r="N758" s="274">
        <f>ROUND(AA75,0)</f>
        <v>330030</v>
      </c>
      <c r="O758" s="274">
        <f>ROUND(AA73,0)</f>
        <v>31394</v>
      </c>
      <c r="P758" s="274">
        <f>IF(AA76&gt;0,ROUND(AA76,0),0)</f>
        <v>427</v>
      </c>
      <c r="Q758" s="274">
        <f>IF(AA77&gt;0,ROUND(AA77,0),0)</f>
        <v>0</v>
      </c>
      <c r="R758" s="274">
        <f>IF(AA78&gt;0,ROUND(AA78,0),0)</f>
        <v>246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42836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5">
      <c r="A759" s="209" t="str">
        <f>RIGHT($C$83,3)&amp;"*"&amp;RIGHT($C$82,4)&amp;"*"&amp;AB$55&amp;"*"&amp;"A"</f>
        <v>104*2017*7170*A</v>
      </c>
      <c r="B759" s="274"/>
      <c r="C759" s="276">
        <f>ROUND(AB60,2)</f>
        <v>6.56</v>
      </c>
      <c r="D759" s="274">
        <f>ROUND(AB61,0)</f>
        <v>708328</v>
      </c>
      <c r="E759" s="274">
        <f>ROUND(AB62,0)</f>
        <v>159893</v>
      </c>
      <c r="F759" s="274">
        <f>ROUND(AB63,0)</f>
        <v>0</v>
      </c>
      <c r="G759" s="274">
        <f>ROUND(AB64,0)</f>
        <v>1374641</v>
      </c>
      <c r="H759" s="274">
        <f>ROUND(AB65,0)</f>
        <v>0</v>
      </c>
      <c r="I759" s="274">
        <f>ROUND(AB66,0)</f>
        <v>153659</v>
      </c>
      <c r="J759" s="274">
        <f>ROUND(AB67,0)</f>
        <v>16403</v>
      </c>
      <c r="K759" s="274">
        <f>ROUND(AB68,0)</f>
        <v>126001</v>
      </c>
      <c r="L759" s="274">
        <f>ROUND(AB69,0)</f>
        <v>6467</v>
      </c>
      <c r="M759" s="274">
        <f>ROUND(AB70,0)</f>
        <v>0</v>
      </c>
      <c r="N759" s="274">
        <f>ROUND(AB75,0)</f>
        <v>7289834</v>
      </c>
      <c r="O759" s="274">
        <f>ROUND(AB73,0)</f>
        <v>3015843</v>
      </c>
      <c r="P759" s="274">
        <f>IF(AB76&gt;0,ROUND(AB76,0),0)</f>
        <v>811</v>
      </c>
      <c r="Q759" s="274">
        <f>IF(AB77&gt;0,ROUND(AB77,0),0)</f>
        <v>0</v>
      </c>
      <c r="R759" s="274">
        <f>IF(AB78&gt;0,ROUND(AB78,0),0)</f>
        <v>467</v>
      </c>
      <c r="S759" s="274">
        <f>IF(AB79&gt;0,ROUND(AB79,0),0)</f>
        <v>0</v>
      </c>
      <c r="T759" s="276">
        <f>IF(AB80&gt;0,ROUND(AB80,2),0)</f>
        <v>0</v>
      </c>
      <c r="U759" s="274"/>
      <c r="V759" s="275"/>
      <c r="W759" s="274"/>
      <c r="X759" s="274"/>
      <c r="Y759" s="274">
        <f t="shared" si="21"/>
        <v>713324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5">
      <c r="A760" s="209" t="str">
        <f>RIGHT($C$83,3)&amp;"*"&amp;RIGHT($C$82,4)&amp;"*"&amp;AC$55&amp;"*"&amp;"A"</f>
        <v>104*2017*7180*A</v>
      </c>
      <c r="B760" s="274">
        <f>ROUND(AC59,0)</f>
        <v>5787</v>
      </c>
      <c r="C760" s="276">
        <f>ROUND(AC60,2)</f>
        <v>4.7699999999999996</v>
      </c>
      <c r="D760" s="274">
        <f>ROUND(AC61,0)</f>
        <v>397314</v>
      </c>
      <c r="E760" s="274">
        <f>ROUND(AC62,0)</f>
        <v>89687</v>
      </c>
      <c r="F760" s="274">
        <f>ROUND(AC63,0)</f>
        <v>0</v>
      </c>
      <c r="G760" s="274">
        <f>ROUND(AC64,0)</f>
        <v>21802</v>
      </c>
      <c r="H760" s="274">
        <f>ROUND(AC65,0)</f>
        <v>0</v>
      </c>
      <c r="I760" s="274">
        <f>ROUND(AC66,0)</f>
        <v>7082</v>
      </c>
      <c r="J760" s="274">
        <f>ROUND(AC67,0)</f>
        <v>15472</v>
      </c>
      <c r="K760" s="274">
        <f>ROUND(AC68,0)</f>
        <v>0</v>
      </c>
      <c r="L760" s="274">
        <f>ROUND(AC69,0)</f>
        <v>310</v>
      </c>
      <c r="M760" s="274">
        <f>ROUND(AC70,0)</f>
        <v>0</v>
      </c>
      <c r="N760" s="274">
        <f>ROUND(AC75,0)</f>
        <v>2274665</v>
      </c>
      <c r="O760" s="274">
        <f>ROUND(AC73,0)</f>
        <v>1075082</v>
      </c>
      <c r="P760" s="274">
        <f>IF(AC76&gt;0,ROUND(AC76,0),0)</f>
        <v>765</v>
      </c>
      <c r="Q760" s="274">
        <f>IF(AC77&gt;0,ROUND(AC77,0),0)</f>
        <v>0</v>
      </c>
      <c r="R760" s="274">
        <f>IF(AC78&gt;0,ROUND(AC78,0),0)</f>
        <v>440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1"/>
        <v>183182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5">
      <c r="A761" s="209" t="str">
        <f>RIGHT($C$83,3)&amp;"*"&amp;RIGHT($C$82,4)&amp;"*"&amp;AD$55&amp;"*"&amp;"A"</f>
        <v>104*2017*7190*A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1"/>
        <v>0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5">
      <c r="A762" s="209" t="str">
        <f>RIGHT($C$83,3)&amp;"*"&amp;RIGHT($C$82,4)&amp;"*"&amp;AE$55&amp;"*"&amp;"A"</f>
        <v>104*2017*7200*A</v>
      </c>
      <c r="B762" s="274">
        <f>ROUND(AE59,0)</f>
        <v>15380</v>
      </c>
      <c r="C762" s="276">
        <f>ROUND(AE60,2)</f>
        <v>5.39</v>
      </c>
      <c r="D762" s="274">
        <f>ROUND(AE61,0)</f>
        <v>438290</v>
      </c>
      <c r="E762" s="274">
        <f>ROUND(AE62,0)</f>
        <v>98937</v>
      </c>
      <c r="F762" s="274">
        <f>ROUND(AE63,0)</f>
        <v>0</v>
      </c>
      <c r="G762" s="274">
        <f>ROUND(AE64,0)</f>
        <v>6785</v>
      </c>
      <c r="H762" s="274">
        <f>ROUND(AE65,0)</f>
        <v>0</v>
      </c>
      <c r="I762" s="274">
        <f>ROUND(AE66,0)</f>
        <v>0</v>
      </c>
      <c r="J762" s="274">
        <f>ROUND(AE67,0)</f>
        <v>5259</v>
      </c>
      <c r="K762" s="274">
        <f>ROUND(AE68,0)</f>
        <v>99238</v>
      </c>
      <c r="L762" s="274">
        <f>ROUND(AE69,0)</f>
        <v>1539</v>
      </c>
      <c r="M762" s="274">
        <f>ROUND(AE70,0)</f>
        <v>0</v>
      </c>
      <c r="N762" s="274">
        <f>ROUND(AE75,0)</f>
        <v>2472892</v>
      </c>
      <c r="O762" s="274">
        <f>ROUND(AE73,0)</f>
        <v>373148</v>
      </c>
      <c r="P762" s="274">
        <f>IF(AE76&gt;0,ROUND(AE76,0),0)</f>
        <v>260</v>
      </c>
      <c r="Q762" s="274">
        <f>IF(AE77&gt;0,ROUND(AE77,0),0)</f>
        <v>0</v>
      </c>
      <c r="R762" s="274">
        <f>IF(AE78&gt;0,ROUND(AE78,0),0)</f>
        <v>149</v>
      </c>
      <c r="S762" s="274">
        <f>IF(AE79&gt;0,ROUND(AE79,0),0)</f>
        <v>6832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209982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5">
      <c r="A763" s="209" t="str">
        <f>RIGHT($C$83,3)&amp;"*"&amp;RIGHT($C$82,4)&amp;"*"&amp;AF$55&amp;"*"&amp;"A"</f>
        <v>104*2017*7220*A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5">
      <c r="A764" s="209" t="str">
        <f>RIGHT($C$83,3)&amp;"*"&amp;RIGHT($C$82,4)&amp;"*"&amp;AG$55&amp;"*"&amp;"A"</f>
        <v>104*2017*7230*A</v>
      </c>
      <c r="B764" s="274">
        <f>ROUND(AG59,0)</f>
        <v>15996</v>
      </c>
      <c r="C764" s="276">
        <f>ROUND(AG60,2)</f>
        <v>25.05</v>
      </c>
      <c r="D764" s="274">
        <f>ROUND(AG61,0)</f>
        <v>2316271</v>
      </c>
      <c r="E764" s="274">
        <f>ROUND(AG62,0)</f>
        <v>522860</v>
      </c>
      <c r="F764" s="274">
        <f>ROUND(AG63,0)</f>
        <v>1290101</v>
      </c>
      <c r="G764" s="274">
        <f>ROUND(AG64,0)</f>
        <v>215268</v>
      </c>
      <c r="H764" s="274">
        <f>ROUND(AG65,0)</f>
        <v>0</v>
      </c>
      <c r="I764" s="274">
        <f>ROUND(AG66,0)</f>
        <v>11790</v>
      </c>
      <c r="J764" s="274">
        <f>ROUND(AG67,0)</f>
        <v>157757</v>
      </c>
      <c r="K764" s="274">
        <f>ROUND(AG68,0)</f>
        <v>0</v>
      </c>
      <c r="L764" s="274">
        <f>ROUND(AG69,0)</f>
        <v>23283</v>
      </c>
      <c r="M764" s="274">
        <f>ROUND(AG70,0)</f>
        <v>0</v>
      </c>
      <c r="N764" s="274">
        <f>ROUND(AG75,0)</f>
        <v>29025757</v>
      </c>
      <c r="O764" s="274">
        <f>ROUND(AG73,0)</f>
        <v>3564159</v>
      </c>
      <c r="P764" s="274">
        <f>IF(AG76&gt;0,ROUND(AG76,0),0)</f>
        <v>7800</v>
      </c>
      <c r="Q764" s="274">
        <f>IF(AG77&gt;0,ROUND(AG77,0),0)</f>
        <v>232</v>
      </c>
      <c r="R764" s="274">
        <f>IF(AG78&gt;0,ROUND(AG78,0),0)</f>
        <v>4494</v>
      </c>
      <c r="S764" s="274">
        <f>IF(AG79&gt;0,ROUND(AG79,0),0)</f>
        <v>39704</v>
      </c>
      <c r="T764" s="276">
        <f>IF(AG80&gt;0,ROUND(AG80,2),0)</f>
        <v>18.489999999999998</v>
      </c>
      <c r="U764" s="274"/>
      <c r="V764" s="275"/>
      <c r="W764" s="274"/>
      <c r="X764" s="274"/>
      <c r="Y764" s="274">
        <f t="shared" si="21"/>
        <v>2182989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5">
      <c r="A765" s="209" t="str">
        <f>RIGHT($C$83,3)&amp;"*"&amp;RIGHT($C$82,4)&amp;"*"&amp;AH$55&amp;"*"&amp;"A"</f>
        <v>104*2017*7240*A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5">
      <c r="A766" s="209" t="str">
        <f>RIGHT($C$83,3)&amp;"*"&amp;RIGHT($C$82,4)&amp;"*"&amp;AI$55&amp;"*"&amp;"A"</f>
        <v>104*2017*7250*A</v>
      </c>
      <c r="B766" s="274">
        <f>ROUND(AI59,0)</f>
        <v>1013</v>
      </c>
      <c r="C766" s="276">
        <f>ROUND(AI60,2)</f>
        <v>4.7300000000000004</v>
      </c>
      <c r="D766" s="274">
        <f>ROUND(AI61,0)</f>
        <v>450237</v>
      </c>
      <c r="E766" s="274">
        <f>ROUND(AI62,0)</f>
        <v>101634</v>
      </c>
      <c r="F766" s="274">
        <f>ROUND(AI63,0)</f>
        <v>0</v>
      </c>
      <c r="G766" s="274">
        <f>ROUND(AI64,0)</f>
        <v>61284</v>
      </c>
      <c r="H766" s="274">
        <f>ROUND(AI65,0)</f>
        <v>0</v>
      </c>
      <c r="I766" s="274">
        <f>ROUND(AI66,0)</f>
        <v>27659</v>
      </c>
      <c r="J766" s="274">
        <f>ROUND(AI67,0)</f>
        <v>12135</v>
      </c>
      <c r="K766" s="274">
        <f>ROUND(AI68,0)</f>
        <v>0</v>
      </c>
      <c r="L766" s="274">
        <f>ROUND(AI69,0)</f>
        <v>1251</v>
      </c>
      <c r="M766" s="274">
        <f>ROUND(AI70,0)</f>
        <v>0</v>
      </c>
      <c r="N766" s="274">
        <f>ROUND(AI75,0)</f>
        <v>1826246</v>
      </c>
      <c r="O766" s="274">
        <f>ROUND(AI73,0)</f>
        <v>0</v>
      </c>
      <c r="P766" s="274">
        <f>IF(AI76&gt;0,ROUND(AI76,0),0)</f>
        <v>600</v>
      </c>
      <c r="Q766" s="274">
        <f>IF(AI77&gt;0,ROUND(AI77,0),0)</f>
        <v>27</v>
      </c>
      <c r="R766" s="274">
        <f>IF(AI78&gt;0,ROUND(AI78,0),0)</f>
        <v>346</v>
      </c>
      <c r="S766" s="274">
        <f>IF(AI79&gt;0,ROUND(AI79,0),0)</f>
        <v>0</v>
      </c>
      <c r="T766" s="276">
        <f>IF(AI80&gt;0,ROUND(AI80,2),0)</f>
        <v>4.01</v>
      </c>
      <c r="U766" s="274"/>
      <c r="V766" s="275"/>
      <c r="W766" s="274"/>
      <c r="X766" s="274"/>
      <c r="Y766" s="274">
        <f t="shared" si="21"/>
        <v>204888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5">
      <c r="A767" s="209" t="str">
        <f>RIGHT($C$83,3)&amp;"*"&amp;RIGHT($C$82,4)&amp;"*"&amp;AJ$55&amp;"*"&amp;"A"</f>
        <v>104*2017*7260*A</v>
      </c>
      <c r="B767" s="274">
        <f>ROUND(AJ59,0)</f>
        <v>0</v>
      </c>
      <c r="C767" s="276">
        <f>ROUND(AJ60,2)</f>
        <v>0</v>
      </c>
      <c r="D767" s="274">
        <f>ROUND(AJ61,0)</f>
        <v>0</v>
      </c>
      <c r="E767" s="274">
        <f>ROUND(AJ62,0)</f>
        <v>0</v>
      </c>
      <c r="F767" s="274">
        <f>ROUND(AJ63,0)</f>
        <v>0</v>
      </c>
      <c r="G767" s="274">
        <f>ROUND(AJ64,0)</f>
        <v>0</v>
      </c>
      <c r="H767" s="274">
        <f>ROUND(AJ65,0)</f>
        <v>0</v>
      </c>
      <c r="I767" s="274">
        <f>ROUND(AJ66,0)</f>
        <v>0</v>
      </c>
      <c r="J767" s="274">
        <f>ROUND(AJ67,0)</f>
        <v>0</v>
      </c>
      <c r="K767" s="274">
        <f>ROUND(AJ68,0)</f>
        <v>0</v>
      </c>
      <c r="L767" s="274">
        <f>ROUND(AJ69,0)</f>
        <v>0</v>
      </c>
      <c r="M767" s="274">
        <f>ROUND(AJ70,0)</f>
        <v>0</v>
      </c>
      <c r="N767" s="274">
        <f>ROUND(AJ75,0)</f>
        <v>0</v>
      </c>
      <c r="O767" s="274">
        <f>ROUND(AJ73,0)</f>
        <v>0</v>
      </c>
      <c r="P767" s="274">
        <f>IF(AJ76&gt;0,ROUND(AJ76,0),0)</f>
        <v>0</v>
      </c>
      <c r="Q767" s="274">
        <f>IF(AJ77&gt;0,ROUND(AJ77,0),0)</f>
        <v>0</v>
      </c>
      <c r="R767" s="274">
        <f>IF(AJ78&gt;0,ROUND(AJ78,0),0)</f>
        <v>0</v>
      </c>
      <c r="S767" s="274">
        <f>IF(AJ79&gt;0,ROUND(AJ79,0),0)</f>
        <v>0</v>
      </c>
      <c r="T767" s="276">
        <f>IF(AJ80&gt;0,ROUND(AJ80,2),0)</f>
        <v>0</v>
      </c>
      <c r="U767" s="274"/>
      <c r="V767" s="275"/>
      <c r="W767" s="274"/>
      <c r="X767" s="274"/>
      <c r="Y767" s="274">
        <f t="shared" si="21"/>
        <v>0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5">
      <c r="A768" s="209" t="str">
        <f>RIGHT($C$83,3)&amp;"*"&amp;RIGHT($C$82,4)&amp;"*"&amp;AK$55&amp;"*"&amp;"A"</f>
        <v>104*2017*7310*A</v>
      </c>
      <c r="B768" s="274">
        <f>ROUND(AK59,0)</f>
        <v>4598</v>
      </c>
      <c r="C768" s="276">
        <f>ROUND(AK60,2)</f>
        <v>1.38</v>
      </c>
      <c r="D768" s="274">
        <f>ROUND(AK61,0)</f>
        <v>148334</v>
      </c>
      <c r="E768" s="274">
        <f>ROUND(AK62,0)</f>
        <v>33484</v>
      </c>
      <c r="F768" s="274">
        <f>ROUND(AK63,0)</f>
        <v>0</v>
      </c>
      <c r="G768" s="274">
        <f>ROUND(AK64,0)</f>
        <v>3728</v>
      </c>
      <c r="H768" s="274">
        <f>ROUND(AK65,0)</f>
        <v>0</v>
      </c>
      <c r="I768" s="274">
        <f>ROUND(AK66,0)</f>
        <v>0</v>
      </c>
      <c r="J768" s="274">
        <f>ROUND(AK67,0)</f>
        <v>0</v>
      </c>
      <c r="K768" s="274">
        <f>ROUND(AK68,0)</f>
        <v>0</v>
      </c>
      <c r="L768" s="274">
        <f>ROUND(AK69,0)</f>
        <v>700</v>
      </c>
      <c r="M768" s="274">
        <f>ROUND(AK70,0)</f>
        <v>0</v>
      </c>
      <c r="N768" s="274">
        <f>ROUND(AK75,0)</f>
        <v>783335</v>
      </c>
      <c r="O768" s="274">
        <f>ROUND(AK73,0)</f>
        <v>18363</v>
      </c>
      <c r="P768" s="274">
        <f>IF(AK76&gt;0,ROUND(AK76,0),0)</f>
        <v>0</v>
      </c>
      <c r="Q768" s="274">
        <f>IF(AK77&gt;0,ROUND(AK77,0),0)</f>
        <v>0</v>
      </c>
      <c r="R768" s="274">
        <f>IF(AK78&gt;0,ROUND(AK78,0),0)</f>
        <v>0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59513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5">
      <c r="A769" s="209" t="str">
        <f>RIGHT($C$83,3)&amp;"*"&amp;RIGHT($C$82,4)&amp;"*"&amp;AL$55&amp;"*"&amp;"A"</f>
        <v>104*2017*7320*A</v>
      </c>
      <c r="B769" s="274">
        <f>ROUND(AL59,0)</f>
        <v>115</v>
      </c>
      <c r="C769" s="276">
        <f>ROUND(AL60,2)</f>
        <v>7.0000000000000007E-2</v>
      </c>
      <c r="D769" s="274">
        <f>ROUND(AL61,0)</f>
        <v>11409</v>
      </c>
      <c r="E769" s="274">
        <f>ROUND(AL62,0)</f>
        <v>2575</v>
      </c>
      <c r="F769" s="274">
        <f>ROUND(AL63,0)</f>
        <v>0</v>
      </c>
      <c r="G769" s="274">
        <f>ROUND(AL64,0)</f>
        <v>0</v>
      </c>
      <c r="H769" s="274">
        <f>ROUND(AL65,0)</f>
        <v>0</v>
      </c>
      <c r="I769" s="274">
        <f>ROUND(AL66,0)</f>
        <v>0</v>
      </c>
      <c r="J769" s="274">
        <f>ROUND(AL67,0)</f>
        <v>0</v>
      </c>
      <c r="K769" s="274">
        <f>ROUND(AL68,0)</f>
        <v>0</v>
      </c>
      <c r="L769" s="274">
        <f>ROUND(AL69,0)</f>
        <v>0</v>
      </c>
      <c r="M769" s="274">
        <f>ROUND(AL70,0)</f>
        <v>0</v>
      </c>
      <c r="N769" s="274">
        <f>ROUND(AL75,0)</f>
        <v>0</v>
      </c>
      <c r="O769" s="274">
        <f>ROUND(AL73,0)</f>
        <v>0</v>
      </c>
      <c r="P769" s="274">
        <f>IF(AL76&gt;0,ROUND(AL76,0),0)</f>
        <v>0</v>
      </c>
      <c r="Q769" s="274">
        <f>IF(AL77&gt;0,ROUND(AL77,0),0)</f>
        <v>0</v>
      </c>
      <c r="R769" s="274">
        <f>IF(AL78&gt;0,ROUND(AL78,0),0)</f>
        <v>0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1763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5">
      <c r="A770" s="209" t="str">
        <f>RIGHT($C$83,3)&amp;"*"&amp;RIGHT($C$82,4)&amp;"*"&amp;AM$55&amp;"*"&amp;"A"</f>
        <v>104*2017*7330*A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5">
      <c r="A771" s="209" t="str">
        <f>RIGHT($C$83,3)&amp;"*"&amp;RIGHT($C$82,4)&amp;"*"&amp;AN$55&amp;"*"&amp;"A"</f>
        <v>104*2017*7340*A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5">
      <c r="A772" s="209" t="str">
        <f>RIGHT($C$83,3)&amp;"*"&amp;RIGHT($C$82,4)&amp;"*"&amp;AO$55&amp;"*"&amp;"A"</f>
        <v>104*2017*7350*A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5">
      <c r="A773" s="209" t="str">
        <f>RIGHT($C$83,3)&amp;"*"&amp;RIGHT($C$82,4)&amp;"*"&amp;AP$55&amp;"*"&amp;"A"</f>
        <v>104*2017*7380*A</v>
      </c>
      <c r="B773" s="274">
        <f>ROUND(AP59,0)</f>
        <v>0</v>
      </c>
      <c r="C773" s="276">
        <f>ROUND(AP60,2)</f>
        <v>0</v>
      </c>
      <c r="D773" s="274">
        <f>ROUND(AP61,0)</f>
        <v>0</v>
      </c>
      <c r="E773" s="274">
        <f>ROUND(AP62,0)</f>
        <v>0</v>
      </c>
      <c r="F773" s="274">
        <f>ROUND(AP63,0)</f>
        <v>0</v>
      </c>
      <c r="G773" s="274">
        <f>ROUND(AP64,0)</f>
        <v>0</v>
      </c>
      <c r="H773" s="274">
        <f>ROUND(AP65,0)</f>
        <v>0</v>
      </c>
      <c r="I773" s="274">
        <f>ROUND(AP66,0)</f>
        <v>0</v>
      </c>
      <c r="J773" s="274">
        <f>ROUND(AP67,0)</f>
        <v>0</v>
      </c>
      <c r="K773" s="274">
        <f>ROUND(AP68,0)</f>
        <v>0</v>
      </c>
      <c r="L773" s="274">
        <f>ROUND(AP69,0)</f>
        <v>0</v>
      </c>
      <c r="M773" s="274">
        <f>ROUND(AP70,0)</f>
        <v>0</v>
      </c>
      <c r="N773" s="274">
        <f>ROUND(AP75,0)</f>
        <v>0</v>
      </c>
      <c r="O773" s="274">
        <f>ROUND(AP73,0)</f>
        <v>0</v>
      </c>
      <c r="P773" s="274">
        <f>IF(AP76&gt;0,ROUND(AP76,0),0)</f>
        <v>0</v>
      </c>
      <c r="Q773" s="274">
        <f>IF(AP77&gt;0,ROUND(AP77,0),0)</f>
        <v>0</v>
      </c>
      <c r="R773" s="274">
        <f>IF(AP78&gt;0,ROUND(AP78,0),0)</f>
        <v>0</v>
      </c>
      <c r="S773" s="274">
        <f>IF(AP79&gt;0,ROUND(AP79,0),0)</f>
        <v>0</v>
      </c>
      <c r="T773" s="276">
        <f>IF(AP80&gt;0,ROUND(AP80,2),0)</f>
        <v>0</v>
      </c>
      <c r="U773" s="274"/>
      <c r="V773" s="275"/>
      <c r="W773" s="274"/>
      <c r="X773" s="274"/>
      <c r="Y773" s="274">
        <f t="shared" si="21"/>
        <v>0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5">
      <c r="A774" s="209" t="str">
        <f>RIGHT($C$83,3)&amp;"*"&amp;RIGHT($C$82,4)&amp;"*"&amp;AQ$55&amp;"*"&amp;"A"</f>
        <v>104*2017*7390*A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5">
      <c r="A775" s="209" t="str">
        <f>RIGHT($C$83,3)&amp;"*"&amp;RIGHT($C$82,4)&amp;"*"&amp;AR$55&amp;"*"&amp;"A"</f>
        <v>104*2017*7400*A</v>
      </c>
      <c r="B775" s="274">
        <f>ROUND(AR59,0)</f>
        <v>0</v>
      </c>
      <c r="C775" s="276">
        <f>ROUND(AR60,2)</f>
        <v>0</v>
      </c>
      <c r="D775" s="274">
        <f>ROUND(AR61,0)</f>
        <v>0</v>
      </c>
      <c r="E775" s="274">
        <f>ROUND(AR62,0)</f>
        <v>0</v>
      </c>
      <c r="F775" s="274">
        <f>ROUND(AR63,0)</f>
        <v>0</v>
      </c>
      <c r="G775" s="274">
        <f>ROUND(AR64,0)</f>
        <v>0</v>
      </c>
      <c r="H775" s="274">
        <f>ROUND(AR65,0)</f>
        <v>0</v>
      </c>
      <c r="I775" s="274">
        <f>ROUND(AR66,0)</f>
        <v>0</v>
      </c>
      <c r="J775" s="274">
        <f>ROUND(AR67,0)</f>
        <v>0</v>
      </c>
      <c r="K775" s="274">
        <f>ROUND(AR68,0)</f>
        <v>0</v>
      </c>
      <c r="L775" s="274">
        <f>ROUND(AR69,0)</f>
        <v>0</v>
      </c>
      <c r="M775" s="274">
        <f>ROUND(AR70,0)</f>
        <v>0</v>
      </c>
      <c r="N775" s="274">
        <f>ROUND(AR75,0)</f>
        <v>0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0</v>
      </c>
      <c r="U775" s="274"/>
      <c r="V775" s="275"/>
      <c r="W775" s="274"/>
      <c r="X775" s="274"/>
      <c r="Y775" s="274">
        <f t="shared" si="21"/>
        <v>0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5">
      <c r="A776" s="209" t="str">
        <f>RIGHT($C$83,3)&amp;"*"&amp;RIGHT($C$82,4)&amp;"*"&amp;AS$55&amp;"*"&amp;"A"</f>
        <v>104*2017*7410*A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5">
      <c r="A777" s="209" t="str">
        <f>RIGHT($C$83,3)&amp;"*"&amp;RIGHT($C$82,4)&amp;"*"&amp;AT$55&amp;"*"&amp;"A"</f>
        <v>104*2017*7420*A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5">
      <c r="A778" s="209" t="str">
        <f>RIGHT($C$83,3)&amp;"*"&amp;RIGHT($C$82,4)&amp;"*"&amp;AU$55&amp;"*"&amp;"A"</f>
        <v>104*2017*7430*A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5">
      <c r="A779" s="209" t="str">
        <f>RIGHT($C$83,3)&amp;"*"&amp;RIGHT($C$82,4)&amp;"*"&amp;AV$55&amp;"*"&amp;"A"</f>
        <v>104*2017*7490*A</v>
      </c>
      <c r="B779" s="274"/>
      <c r="C779" s="276">
        <f>ROUND(AV60,2)</f>
        <v>13.48</v>
      </c>
      <c r="D779" s="274">
        <f>ROUND(AV61,0)</f>
        <v>2881192</v>
      </c>
      <c r="E779" s="274">
        <f>ROUND(AV62,0)</f>
        <v>650382</v>
      </c>
      <c r="F779" s="274">
        <f>ROUND(AV63,0)</f>
        <v>10876</v>
      </c>
      <c r="G779" s="274">
        <f>ROUND(AV64,0)</f>
        <v>220501</v>
      </c>
      <c r="H779" s="274">
        <f>ROUND(AV65,0)</f>
        <v>0</v>
      </c>
      <c r="I779" s="274">
        <f>ROUND(AV66,0)</f>
        <v>608458</v>
      </c>
      <c r="J779" s="274">
        <f>ROUND(AV67,0)</f>
        <v>500597</v>
      </c>
      <c r="K779" s="274">
        <f>ROUND(AV68,0)</f>
        <v>96464</v>
      </c>
      <c r="L779" s="274">
        <f>ROUND(AV69,0)</f>
        <v>30198</v>
      </c>
      <c r="M779" s="274">
        <f>ROUND(AV70,0)</f>
        <v>0</v>
      </c>
      <c r="N779" s="274">
        <f>ROUND(AV75,0)</f>
        <v>11169286</v>
      </c>
      <c r="O779" s="274">
        <f>ROUND(AV73,0)</f>
        <v>845344</v>
      </c>
      <c r="P779" s="274">
        <f>IF(AV76&gt;0,ROUND(AV76,0),0)</f>
        <v>24751</v>
      </c>
      <c r="Q779" s="274">
        <f>IF(AV77&gt;0,ROUND(AV77,0),0)</f>
        <v>0</v>
      </c>
      <c r="R779" s="274">
        <f>IF(AV78&gt;0,ROUND(AV78,0),0)</f>
        <v>14269</v>
      </c>
      <c r="S779" s="274">
        <f>IF(AV79&gt;0,ROUND(AV79,0),0)</f>
        <v>31060</v>
      </c>
      <c r="T779" s="276">
        <f>IF(AV80&gt;0,ROUND(AV80,2),0)</f>
        <v>1.84</v>
      </c>
      <c r="U779" s="274"/>
      <c r="V779" s="275"/>
      <c r="W779" s="274"/>
      <c r="X779" s="274"/>
      <c r="Y779" s="274">
        <f t="shared" si="21"/>
        <v>1504074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5">
      <c r="A780" s="209" t="str">
        <f>RIGHT($C$83,3)&amp;"*"&amp;RIGHT($C$82,4)&amp;"*"&amp;AW$55&amp;"*"&amp;"A"</f>
        <v>104*2017*8200*A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5">
      <c r="A781" s="209" t="str">
        <f>RIGHT($C$83,3)&amp;"*"&amp;RIGHT($C$82,4)&amp;"*"&amp;AX$55&amp;"*"&amp;"A"</f>
        <v>104*2017*8310*A</v>
      </c>
      <c r="B781" s="274"/>
      <c r="C781" s="276">
        <f>ROUND(AX60,2)</f>
        <v>0.04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27133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25421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5">
      <c r="A782" s="209" t="str">
        <f>RIGHT($C$83,3)&amp;"*"&amp;RIGHT($C$82,4)&amp;"*"&amp;AY$55&amp;"*"&amp;"A"</f>
        <v>104*2017*8320*A</v>
      </c>
      <c r="B782" s="274">
        <f>ROUND(AY59,0)</f>
        <v>102725</v>
      </c>
      <c r="C782" s="276">
        <f>ROUND(AY60,2)</f>
        <v>16.64</v>
      </c>
      <c r="D782" s="274">
        <f>ROUND(AY61,0)</f>
        <v>687905</v>
      </c>
      <c r="E782" s="274">
        <f>ROUND(AY62,0)</f>
        <v>155283</v>
      </c>
      <c r="F782" s="274">
        <f>ROUND(AY63,0)</f>
        <v>230943</v>
      </c>
      <c r="G782" s="274">
        <f>ROUND(AY64,0)</f>
        <v>494819</v>
      </c>
      <c r="H782" s="274">
        <f>ROUND(AY65,0)</f>
        <v>0</v>
      </c>
      <c r="I782" s="274">
        <f>ROUND(AY66,0)</f>
        <v>0</v>
      </c>
      <c r="J782" s="274">
        <f>ROUND(AY67,0)</f>
        <v>0</v>
      </c>
      <c r="K782" s="274">
        <f>ROUND(AY68,0)</f>
        <v>840</v>
      </c>
      <c r="L782" s="274">
        <f>ROUND(AY69,0)</f>
        <v>-95544</v>
      </c>
      <c r="M782" s="274">
        <f>ROUND(AY70,0)</f>
        <v>0</v>
      </c>
      <c r="N782" s="274"/>
      <c r="O782" s="274"/>
      <c r="P782" s="274">
        <f>IF(AY76&gt;0,ROUND(AY76,0),0)</f>
        <v>0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5">
      <c r="A783" s="209" t="str">
        <f>RIGHT($C$83,3)&amp;"*"&amp;RIGHT($C$82,4)&amp;"*"&amp;AZ$55&amp;"*"&amp;"A"</f>
        <v>104*2017*8330*A</v>
      </c>
      <c r="B783" s="274">
        <f>ROUND(AZ59,0)</f>
        <v>0</v>
      </c>
      <c r="C783" s="276">
        <f>ROUND(AZ60,2)</f>
        <v>0</v>
      </c>
      <c r="D783" s="274">
        <f>ROUND(AZ61,0)</f>
        <v>5758</v>
      </c>
      <c r="E783" s="274">
        <f>ROUND(AZ62,0)</f>
        <v>1300</v>
      </c>
      <c r="F783" s="274">
        <f>ROUND(AZ63,0)</f>
        <v>0</v>
      </c>
      <c r="G783" s="274">
        <f>ROUND(AZ64,0)</f>
        <v>0</v>
      </c>
      <c r="H783" s="274">
        <f>ROUND(AZ65,0)</f>
        <v>0</v>
      </c>
      <c r="I783" s="274">
        <f>ROUND(AZ66,0)</f>
        <v>0</v>
      </c>
      <c r="J783" s="274">
        <f>ROUND(AZ67,0)</f>
        <v>0</v>
      </c>
      <c r="K783" s="274">
        <f>ROUND(AZ68,0)</f>
        <v>0</v>
      </c>
      <c r="L783" s="274">
        <f>ROUND(AZ69,0)</f>
        <v>373</v>
      </c>
      <c r="M783" s="274">
        <f>ROUND(AZ70,0)</f>
        <v>0</v>
      </c>
      <c r="N783" s="274"/>
      <c r="O783" s="274"/>
      <c r="P783" s="274">
        <f>IF(AZ76&gt;0,ROUND(AZ76,0),0)</f>
        <v>0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5">
      <c r="A784" s="209" t="str">
        <f>RIGHT($C$83,3)&amp;"*"&amp;RIGHT($C$82,4)&amp;"*"&amp;BA$55&amp;"*"&amp;"A"</f>
        <v>104*2017*8350*A</v>
      </c>
      <c r="B784" s="274">
        <f>ROUND(BA59,0)</f>
        <v>0</v>
      </c>
      <c r="C784" s="276">
        <f>ROUND(BA60,2)</f>
        <v>0</v>
      </c>
      <c r="D784" s="274">
        <f>ROUND(BA61,0)</f>
        <v>0</v>
      </c>
      <c r="E784" s="274">
        <f>ROUND(BA62,0)</f>
        <v>0</v>
      </c>
      <c r="F784" s="274">
        <f>ROUND(BA63,0)</f>
        <v>0</v>
      </c>
      <c r="G784" s="274">
        <f>ROUND(BA64,0)</f>
        <v>1669</v>
      </c>
      <c r="H784" s="274">
        <f>ROUND(BA65,0)</f>
        <v>0</v>
      </c>
      <c r="I784" s="274">
        <f>ROUND(BA66,0)</f>
        <v>286930</v>
      </c>
      <c r="J784" s="274">
        <f>ROUND(BA67,0)</f>
        <v>0</v>
      </c>
      <c r="K784" s="274">
        <f>ROUND(BA68,0)</f>
        <v>0</v>
      </c>
      <c r="L784" s="274">
        <f>ROUND(BA69,0)</f>
        <v>0</v>
      </c>
      <c r="M784" s="274">
        <f>ROUND(BA70,0)</f>
        <v>0</v>
      </c>
      <c r="N784" s="274"/>
      <c r="O784" s="274"/>
      <c r="P784" s="274">
        <f>IF(BA76&gt;0,ROUND(BA76,0),0)</f>
        <v>0</v>
      </c>
      <c r="Q784" s="274">
        <f>IF(BA77&gt;0,ROUND(BA77,0),0)</f>
        <v>0</v>
      </c>
      <c r="R784" s="274">
        <f>IF(BA78&gt;0,ROUND(BA78,0),0)</f>
        <v>0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5">
      <c r="A785" s="209" t="str">
        <f>RIGHT($C$83,3)&amp;"*"&amp;RIGHT($C$82,4)&amp;"*"&amp;BB$55&amp;"*"&amp;"A"</f>
        <v>104*2017*8360*A</v>
      </c>
      <c r="B785" s="274"/>
      <c r="C785" s="276">
        <f>ROUND(BB60,2)</f>
        <v>0</v>
      </c>
      <c r="D785" s="274">
        <f>ROUND(BB61,0)</f>
        <v>0</v>
      </c>
      <c r="E785" s="274">
        <f>ROUND(BB62,0)</f>
        <v>0</v>
      </c>
      <c r="F785" s="274">
        <f>ROUND(BB63,0)</f>
        <v>0</v>
      </c>
      <c r="G785" s="274">
        <f>ROUND(BB64,0)</f>
        <v>0</v>
      </c>
      <c r="H785" s="274">
        <f>ROUND(BB65,0)</f>
        <v>0</v>
      </c>
      <c r="I785" s="274">
        <f>ROUND(BB66,0)</f>
        <v>0</v>
      </c>
      <c r="J785" s="274">
        <f>ROUND(BB67,0)</f>
        <v>0</v>
      </c>
      <c r="K785" s="274">
        <f>ROUND(BB68,0)</f>
        <v>0</v>
      </c>
      <c r="L785" s="274">
        <f>ROUND(BB69,0)</f>
        <v>0</v>
      </c>
      <c r="M785" s="274">
        <f>ROUND(BB70,0)</f>
        <v>0</v>
      </c>
      <c r="N785" s="274"/>
      <c r="O785" s="274"/>
      <c r="P785" s="274">
        <f>IF(BB76&gt;0,ROUND(BB76,0),0)</f>
        <v>0</v>
      </c>
      <c r="Q785" s="274">
        <f>IF(BB77&gt;0,ROUND(BB77,0),0)</f>
        <v>0</v>
      </c>
      <c r="R785" s="274">
        <f>IF(BB78&gt;0,ROUND(BB78,0),0)</f>
        <v>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5">
      <c r="A786" s="209" t="str">
        <f>RIGHT($C$83,3)&amp;"*"&amp;RIGHT($C$82,4)&amp;"*"&amp;BC$55&amp;"*"&amp;"A"</f>
        <v>104*2017*8370*A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5">
      <c r="A787" s="209" t="str">
        <f>RIGHT($C$83,3)&amp;"*"&amp;RIGHT($C$82,4)&amp;"*"&amp;BD$55&amp;"*"&amp;"A"</f>
        <v>104*2017*8420*A</v>
      </c>
      <c r="B787" s="274"/>
      <c r="C787" s="276">
        <f>ROUND(BD60,2)</f>
        <v>2.89</v>
      </c>
      <c r="D787" s="274">
        <f>ROUND(BD61,0)</f>
        <v>155138</v>
      </c>
      <c r="E787" s="274">
        <f>ROUND(BD62,0)</f>
        <v>35020</v>
      </c>
      <c r="F787" s="274">
        <f>ROUND(BD63,0)</f>
        <v>0</v>
      </c>
      <c r="G787" s="274">
        <f>ROUND(BD64,0)</f>
        <v>37038</v>
      </c>
      <c r="H787" s="274">
        <f>ROUND(BD65,0)</f>
        <v>0</v>
      </c>
      <c r="I787" s="274">
        <f>ROUND(BD66,0)</f>
        <v>1357</v>
      </c>
      <c r="J787" s="274">
        <f>ROUND(BD67,0)</f>
        <v>0</v>
      </c>
      <c r="K787" s="274">
        <f>ROUND(BD68,0)</f>
        <v>0</v>
      </c>
      <c r="L787" s="274">
        <f>ROUND(BD69,0)</f>
        <v>1408</v>
      </c>
      <c r="M787" s="274">
        <f>ROUND(BD70,0)</f>
        <v>0</v>
      </c>
      <c r="N787" s="274"/>
      <c r="O787" s="274"/>
      <c r="P787" s="274">
        <f>IF(BD76&gt;0,ROUND(BD76,0),0)</f>
        <v>0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5">
      <c r="A788" s="209" t="str">
        <f>RIGHT($C$83,3)&amp;"*"&amp;RIGHT($C$82,4)&amp;"*"&amp;BE$55&amp;"*"&amp;"A"</f>
        <v>104*2017*8430*A</v>
      </c>
      <c r="B788" s="274">
        <f>ROUND(BE59,0)</f>
        <v>99240</v>
      </c>
      <c r="C788" s="276">
        <f>ROUND(BE60,2)</f>
        <v>7</v>
      </c>
      <c r="D788" s="274">
        <f>ROUND(BE61,0)</f>
        <v>341851</v>
      </c>
      <c r="E788" s="274">
        <f>ROUND(BE62,0)</f>
        <v>77167</v>
      </c>
      <c r="F788" s="274">
        <f>ROUND(BE63,0)</f>
        <v>0</v>
      </c>
      <c r="G788" s="274">
        <f>ROUND(BE64,0)</f>
        <v>55049</v>
      </c>
      <c r="H788" s="274">
        <f>ROUND(BE65,0)</f>
        <v>509729</v>
      </c>
      <c r="I788" s="274">
        <f>ROUND(BE66,0)</f>
        <v>424081</v>
      </c>
      <c r="J788" s="274">
        <f>ROUND(BE67,0)</f>
        <v>0</v>
      </c>
      <c r="K788" s="274">
        <f>ROUND(BE68,0)</f>
        <v>0</v>
      </c>
      <c r="L788" s="274">
        <f>ROUND(BE69,0)</f>
        <v>1688</v>
      </c>
      <c r="M788" s="274">
        <f>ROUND(BE70,0)</f>
        <v>0</v>
      </c>
      <c r="N788" s="274"/>
      <c r="O788" s="274"/>
      <c r="P788" s="274">
        <f>IF(BE76&gt;0,ROUND(BE76,0),0)</f>
        <v>0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5">
      <c r="A789" s="209" t="str">
        <f>RIGHT($C$83,3)&amp;"*"&amp;RIGHT($C$82,4)&amp;"*"&amp;BF$55&amp;"*"&amp;"A"</f>
        <v>104*2017*8460*A</v>
      </c>
      <c r="B789" s="274"/>
      <c r="C789" s="276">
        <f>ROUND(BF60,2)</f>
        <v>19.059999999999999</v>
      </c>
      <c r="D789" s="274">
        <f>ROUND(BF61,0)</f>
        <v>846177</v>
      </c>
      <c r="E789" s="274">
        <f>ROUND(BF62,0)</f>
        <v>191011</v>
      </c>
      <c r="F789" s="274">
        <f>ROUND(BF63,0)</f>
        <v>87773</v>
      </c>
      <c r="G789" s="274">
        <f>ROUND(BF64,0)</f>
        <v>83259</v>
      </c>
      <c r="H789" s="274">
        <f>ROUND(BF65,0)</f>
        <v>0</v>
      </c>
      <c r="I789" s="274">
        <f>ROUND(BF66,0)</f>
        <v>67970</v>
      </c>
      <c r="J789" s="274">
        <f>ROUND(BF67,0)</f>
        <v>0</v>
      </c>
      <c r="K789" s="274">
        <f>ROUND(BF68,0)</f>
        <v>0</v>
      </c>
      <c r="L789" s="274">
        <f>ROUND(BF69,0)</f>
        <v>1259</v>
      </c>
      <c r="M789" s="274">
        <f>ROUND(BF70,0)</f>
        <v>0</v>
      </c>
      <c r="N789" s="274"/>
      <c r="O789" s="274"/>
      <c r="P789" s="274">
        <f>IF(BF76&gt;0,ROUND(BF76,0),0)</f>
        <v>0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5">
      <c r="A790" s="209" t="str">
        <f>RIGHT($C$83,3)&amp;"*"&amp;RIGHT($C$82,4)&amp;"*"&amp;BG$55&amp;"*"&amp;"A"</f>
        <v>104*2017*8470*A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102176</v>
      </c>
      <c r="I790" s="274">
        <f>ROUND(BG66,0)</f>
        <v>6928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5">
      <c r="A791" s="209" t="str">
        <f>RIGHT($C$83,3)&amp;"*"&amp;RIGHT($C$82,4)&amp;"*"&amp;BH$55&amp;"*"&amp;"A"</f>
        <v>104*2017*8480*A</v>
      </c>
      <c r="B791" s="274"/>
      <c r="C791" s="276">
        <f>ROUND(BH60,2)</f>
        <v>5.37</v>
      </c>
      <c r="D791" s="274">
        <f>ROUND(BH61,0)</f>
        <v>476302</v>
      </c>
      <c r="E791" s="274">
        <f>ROUND(BH62,0)</f>
        <v>107517</v>
      </c>
      <c r="F791" s="274">
        <f>ROUND(BH63,0)</f>
        <v>225677</v>
      </c>
      <c r="G791" s="274">
        <f>ROUND(BH64,0)</f>
        <v>13156</v>
      </c>
      <c r="H791" s="274">
        <f>ROUND(BH65,0)</f>
        <v>0</v>
      </c>
      <c r="I791" s="274">
        <f>ROUND(BH66,0)</f>
        <v>737930</v>
      </c>
      <c r="J791" s="274">
        <f>ROUND(BH67,0)</f>
        <v>0</v>
      </c>
      <c r="K791" s="274">
        <f>ROUND(BH68,0)</f>
        <v>8449</v>
      </c>
      <c r="L791" s="274">
        <f>ROUND(BH69,0)</f>
        <v>2544</v>
      </c>
      <c r="M791" s="274">
        <f>ROUND(BH70,0)</f>
        <v>0</v>
      </c>
      <c r="N791" s="274"/>
      <c r="O791" s="274"/>
      <c r="P791" s="274">
        <f>IF(BH76&gt;0,ROUND(BH76,0),0)</f>
        <v>0</v>
      </c>
      <c r="Q791" s="274">
        <f>IF(BH77&gt;0,ROUND(BH77,0),0)</f>
        <v>0</v>
      </c>
      <c r="R791" s="274">
        <f>IF(BH78&gt;0,ROUND(BH78,0),0)</f>
        <v>0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5">
      <c r="A792" s="209" t="str">
        <f>RIGHT($C$83,3)&amp;"*"&amp;RIGHT($C$82,4)&amp;"*"&amp;BI$55&amp;"*"&amp;"A"</f>
        <v>104*2017*8490*A</v>
      </c>
      <c r="B792" s="274"/>
      <c r="C792" s="276">
        <f>ROUND(BI60,2)</f>
        <v>0</v>
      </c>
      <c r="D792" s="274">
        <f>ROUND(BI61,0)</f>
        <v>0</v>
      </c>
      <c r="E792" s="274">
        <f>ROUND(BI62,0)</f>
        <v>0</v>
      </c>
      <c r="F792" s="274">
        <f>ROUND(BI63,0)</f>
        <v>0</v>
      </c>
      <c r="G792" s="274">
        <f>ROUND(BI64,0)</f>
        <v>0</v>
      </c>
      <c r="H792" s="274">
        <f>ROUND(BI65,0)</f>
        <v>0</v>
      </c>
      <c r="I792" s="274">
        <f>ROUND(BI66,0)</f>
        <v>0</v>
      </c>
      <c r="J792" s="274">
        <f>ROUND(BI67,0)</f>
        <v>0</v>
      </c>
      <c r="K792" s="274">
        <f>ROUND(BI68,0)</f>
        <v>0</v>
      </c>
      <c r="L792" s="274">
        <f>ROUND(BI69,0)</f>
        <v>0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5">
      <c r="A793" s="209" t="str">
        <f>RIGHT($C$83,3)&amp;"*"&amp;RIGHT($C$82,4)&amp;"*"&amp;BJ$55&amp;"*"&amp;"A"</f>
        <v>104*2017*8510*A</v>
      </c>
      <c r="B793" s="274"/>
      <c r="C793" s="276">
        <f>ROUND(BJ60,2)</f>
        <v>2.5</v>
      </c>
      <c r="D793" s="274">
        <f>ROUND(BJ61,0)</f>
        <v>212514</v>
      </c>
      <c r="E793" s="274">
        <f>ROUND(BJ62,0)</f>
        <v>47972</v>
      </c>
      <c r="F793" s="274">
        <f>ROUND(BJ63,0)</f>
        <v>116842</v>
      </c>
      <c r="G793" s="274">
        <f>ROUND(BJ64,0)</f>
        <v>3773</v>
      </c>
      <c r="H793" s="274">
        <f>ROUND(BJ65,0)</f>
        <v>0</v>
      </c>
      <c r="I793" s="274">
        <f>ROUND(BJ66,0)</f>
        <v>683</v>
      </c>
      <c r="J793" s="274">
        <f>ROUND(BJ67,0)</f>
        <v>0</v>
      </c>
      <c r="K793" s="274">
        <f>ROUND(BJ68,0)</f>
        <v>0</v>
      </c>
      <c r="L793" s="274">
        <f>ROUND(BJ69,0)</f>
        <v>4908</v>
      </c>
      <c r="M793" s="274">
        <f>ROUND(BJ70,0)</f>
        <v>0</v>
      </c>
      <c r="N793" s="274"/>
      <c r="O793" s="274"/>
      <c r="P793" s="274">
        <f>IF(BJ76&gt;0,ROUND(BJ76,0),0)</f>
        <v>0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5">
      <c r="A794" s="209" t="str">
        <f>RIGHT($C$83,3)&amp;"*"&amp;RIGHT($C$82,4)&amp;"*"&amp;BK$55&amp;"*"&amp;"A"</f>
        <v>104*2017*8530*A</v>
      </c>
      <c r="B794" s="274"/>
      <c r="C794" s="276">
        <f>ROUND(BK60,2)</f>
        <v>9.1</v>
      </c>
      <c r="D794" s="274">
        <f>ROUND(BK61,0)</f>
        <v>572207</v>
      </c>
      <c r="E794" s="274">
        <f>ROUND(BK62,0)</f>
        <v>129166</v>
      </c>
      <c r="F794" s="274">
        <f>ROUND(BK63,0)</f>
        <v>18086</v>
      </c>
      <c r="G794" s="274">
        <f>ROUND(BK64,0)</f>
        <v>2942</v>
      </c>
      <c r="H794" s="274">
        <f>ROUND(BK65,0)</f>
        <v>0</v>
      </c>
      <c r="I794" s="274">
        <f>ROUND(BK66,0)</f>
        <v>170448</v>
      </c>
      <c r="J794" s="274">
        <f>ROUND(BK67,0)</f>
        <v>0</v>
      </c>
      <c r="K794" s="274">
        <f>ROUND(BK68,0)</f>
        <v>759</v>
      </c>
      <c r="L794" s="274">
        <f>ROUND(BK69,0)</f>
        <v>17628</v>
      </c>
      <c r="M794" s="274">
        <f>ROUND(BK70,0)</f>
        <v>0</v>
      </c>
      <c r="N794" s="274"/>
      <c r="O794" s="274"/>
      <c r="P794" s="274">
        <f>IF(BK76&gt;0,ROUND(BK76,0),0)</f>
        <v>0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5">
      <c r="A795" s="209" t="str">
        <f>RIGHT($C$83,3)&amp;"*"&amp;RIGHT($C$82,4)&amp;"*"&amp;BL$55&amp;"*"&amp;"A"</f>
        <v>104*2017*8560*A</v>
      </c>
      <c r="B795" s="274"/>
      <c r="C795" s="276">
        <f>ROUND(BL60,2)</f>
        <v>13.26</v>
      </c>
      <c r="D795" s="274">
        <f>ROUND(BL61,0)</f>
        <v>650486</v>
      </c>
      <c r="E795" s="274">
        <f>ROUND(BL62,0)</f>
        <v>146837</v>
      </c>
      <c r="F795" s="274">
        <f>ROUND(BL63,0)</f>
        <v>8096</v>
      </c>
      <c r="G795" s="274">
        <f>ROUND(BL64,0)</f>
        <v>7058</v>
      </c>
      <c r="H795" s="274">
        <f>ROUND(BL65,0)</f>
        <v>0</v>
      </c>
      <c r="I795" s="274">
        <f>ROUND(BL66,0)</f>
        <v>0</v>
      </c>
      <c r="J795" s="274">
        <f>ROUND(BL67,0)</f>
        <v>0</v>
      </c>
      <c r="K795" s="274">
        <f>ROUND(BL68,0)</f>
        <v>0</v>
      </c>
      <c r="L795" s="274">
        <f>ROUND(BL69,0)</f>
        <v>52</v>
      </c>
      <c r="M795" s="274">
        <f>ROUND(BL70,0)</f>
        <v>0</v>
      </c>
      <c r="N795" s="274"/>
      <c r="O795" s="274"/>
      <c r="P795" s="274">
        <f>IF(BL76&gt;0,ROUND(BL76,0),0)</f>
        <v>0</v>
      </c>
      <c r="Q795" s="274">
        <f>IF(BL77&gt;0,ROUND(BL77,0),0)</f>
        <v>0</v>
      </c>
      <c r="R795" s="274">
        <f>IF(BL78&gt;0,ROUND(BL78,0),0)</f>
        <v>0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5">
      <c r="A796" s="209" t="str">
        <f>RIGHT($C$83,3)&amp;"*"&amp;RIGHT($C$82,4)&amp;"*"&amp;BM$55&amp;"*"&amp;"A"</f>
        <v>104*2017*8590*A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83545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5">
      <c r="A797" s="209" t="str">
        <f>RIGHT($C$83,3)&amp;"*"&amp;RIGHT($C$82,4)&amp;"*"&amp;BN$55&amp;"*"&amp;"A"</f>
        <v>104*2017*8610*A</v>
      </c>
      <c r="B797" s="274"/>
      <c r="C797" s="276">
        <f>ROUND(BN60,2)</f>
        <v>4.75</v>
      </c>
      <c r="D797" s="274">
        <f>ROUND(BN61,0)</f>
        <v>687095</v>
      </c>
      <c r="E797" s="274">
        <f>ROUND(BN62,0)</f>
        <v>155100</v>
      </c>
      <c r="F797" s="274">
        <f>ROUND(BN63,0)</f>
        <v>1027135</v>
      </c>
      <c r="G797" s="274">
        <f>ROUND(BN64,0)</f>
        <v>22143</v>
      </c>
      <c r="H797" s="274">
        <f>ROUND(BN65,0)</f>
        <v>873</v>
      </c>
      <c r="I797" s="274">
        <f>ROUND(BN66,0)</f>
        <v>1012050</v>
      </c>
      <c r="J797" s="274">
        <f>ROUND(BN67,0)</f>
        <v>0</v>
      </c>
      <c r="K797" s="274">
        <f>ROUND(BN68,0)</f>
        <v>0</v>
      </c>
      <c r="L797" s="274">
        <f>ROUND(BN69,0)</f>
        <v>110584</v>
      </c>
      <c r="M797" s="274">
        <f>ROUND(BN70,0)</f>
        <v>0</v>
      </c>
      <c r="N797" s="274"/>
      <c r="O797" s="274"/>
      <c r="P797" s="274">
        <f>IF(BN76&gt;0,ROUND(BN76,0),0)</f>
        <v>0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5">
      <c r="A798" s="209" t="str">
        <f>RIGHT($C$83,3)&amp;"*"&amp;RIGHT($C$82,4)&amp;"*"&amp;BO$55&amp;"*"&amp;"A"</f>
        <v>104*2017*8620*A</v>
      </c>
      <c r="B798" s="274"/>
      <c r="C798" s="276">
        <f>ROUND(BO60,2)</f>
        <v>0</v>
      </c>
      <c r="D798" s="274">
        <f>ROUND(BO61,0)</f>
        <v>0</v>
      </c>
      <c r="E798" s="274">
        <f>ROUND(BO62,0)</f>
        <v>0</v>
      </c>
      <c r="F798" s="274">
        <f>ROUND(BO63,0)</f>
        <v>0</v>
      </c>
      <c r="G798" s="274">
        <f>ROUND(BO64,0)</f>
        <v>0</v>
      </c>
      <c r="H798" s="274">
        <f>ROUND(BO65,0)</f>
        <v>0</v>
      </c>
      <c r="I798" s="274">
        <f>ROUND(BO66,0)</f>
        <v>0</v>
      </c>
      <c r="J798" s="274">
        <f>ROUND(BO67,0)</f>
        <v>0</v>
      </c>
      <c r="K798" s="274">
        <f>ROUND(BO68,0)</f>
        <v>0</v>
      </c>
      <c r="L798" s="274">
        <f>ROUND(BO69,0)</f>
        <v>0</v>
      </c>
      <c r="M798" s="274">
        <f>ROUND(BO70,0)</f>
        <v>0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5">
      <c r="A799" s="209" t="str">
        <f>RIGHT($C$83,3)&amp;"*"&amp;RIGHT($C$82,4)&amp;"*"&amp;BP$55&amp;"*"&amp;"A"</f>
        <v>104*2017*8630*A</v>
      </c>
      <c r="B799" s="274"/>
      <c r="C799" s="276">
        <f>ROUND(BP60,2)</f>
        <v>0</v>
      </c>
      <c r="D799" s="274">
        <f>ROUND(BP61,0)</f>
        <v>0</v>
      </c>
      <c r="E799" s="274">
        <f>ROUND(BP62,0)</f>
        <v>0</v>
      </c>
      <c r="F799" s="274">
        <f>ROUND(BP63,0)</f>
        <v>0</v>
      </c>
      <c r="G799" s="274">
        <f>ROUND(BP64,0)</f>
        <v>0</v>
      </c>
      <c r="H799" s="274">
        <f>ROUND(BP65,0)</f>
        <v>0</v>
      </c>
      <c r="I799" s="274">
        <f>ROUND(BP66,0)</f>
        <v>0</v>
      </c>
      <c r="J799" s="274">
        <f>ROUND(BP67,0)</f>
        <v>0</v>
      </c>
      <c r="K799" s="274">
        <f>ROUND(BP68,0)</f>
        <v>0</v>
      </c>
      <c r="L799" s="274">
        <f>ROUND(BP69,0)</f>
        <v>0</v>
      </c>
      <c r="M799" s="274">
        <f>ROUND(BP70,0)</f>
        <v>0</v>
      </c>
      <c r="N799" s="274"/>
      <c r="O799" s="274"/>
      <c r="P799" s="274">
        <f>IF(BP76&gt;0,ROUND(BP76,0),0)</f>
        <v>0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5">
      <c r="A800" s="209" t="str">
        <f>RIGHT($C$83,3)&amp;"*"&amp;RIGHT($C$82,4)&amp;"*"&amp;BQ$55&amp;"*"&amp;"A"</f>
        <v>104*2017*8640*A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5">
      <c r="A801" s="209" t="str">
        <f>RIGHT($C$83,3)&amp;"*"&amp;RIGHT($C$82,4)&amp;"*"&amp;BR$55&amp;"*"&amp;"A"</f>
        <v>104*2017*8650*A</v>
      </c>
      <c r="B801" s="274"/>
      <c r="C801" s="276">
        <f>ROUND(BR60,2)</f>
        <v>1.99</v>
      </c>
      <c r="D801" s="274">
        <f>ROUND(BR61,0)</f>
        <v>166072</v>
      </c>
      <c r="E801" s="274">
        <f>ROUND(BR62,0)</f>
        <v>37488</v>
      </c>
      <c r="F801" s="274">
        <f>ROUND(BR63,0)</f>
        <v>0</v>
      </c>
      <c r="G801" s="274">
        <f>ROUND(BR64,0)</f>
        <v>943</v>
      </c>
      <c r="H801" s="274">
        <f>ROUND(BR65,0)</f>
        <v>0</v>
      </c>
      <c r="I801" s="274">
        <f>ROUND(BR66,0)</f>
        <v>34003</v>
      </c>
      <c r="J801" s="274">
        <f>ROUND(BR67,0)</f>
        <v>0</v>
      </c>
      <c r="K801" s="274">
        <f>ROUND(BR68,0)</f>
        <v>0</v>
      </c>
      <c r="L801" s="274">
        <f>ROUND(BR69,0)</f>
        <v>34211</v>
      </c>
      <c r="M801" s="274">
        <f>ROUND(BR70,0)</f>
        <v>0</v>
      </c>
      <c r="N801" s="274"/>
      <c r="O801" s="274"/>
      <c r="P801" s="274">
        <f>IF(BR76&gt;0,ROUND(BR76,0),0)</f>
        <v>0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5">
      <c r="A802" s="209" t="str">
        <f>RIGHT($C$83,3)&amp;"*"&amp;RIGHT($C$82,4)&amp;"*"&amp;BS$55&amp;"*"&amp;"A"</f>
        <v>104*2017*8660*A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0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5">
      <c r="A803" s="209" t="str">
        <f>RIGHT($C$83,3)&amp;"*"&amp;RIGHT($C$82,4)&amp;"*"&amp;BT$55&amp;"*"&amp;"A"</f>
        <v>104*2017*8670*A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5">
      <c r="A804" s="209" t="str">
        <f>RIGHT($C$83,3)&amp;"*"&amp;RIGHT($C$82,4)&amp;"*"&amp;BU$55&amp;"*"&amp;"A"</f>
        <v>104*2017*8680*A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5">
      <c r="A805" s="209" t="str">
        <f>RIGHT($C$83,3)&amp;"*"&amp;RIGHT($C$82,4)&amp;"*"&amp;BV$55&amp;"*"&amp;"A"</f>
        <v>104*2017*8690*A</v>
      </c>
      <c r="B805" s="274"/>
      <c r="C805" s="276">
        <f>ROUND(BV60,2)</f>
        <v>8.02</v>
      </c>
      <c r="D805" s="274">
        <f>ROUND(BV61,0)</f>
        <v>457228</v>
      </c>
      <c r="E805" s="274">
        <f>ROUND(BV62,0)</f>
        <v>103212</v>
      </c>
      <c r="F805" s="274">
        <f>ROUND(BV63,0)</f>
        <v>0</v>
      </c>
      <c r="G805" s="274">
        <f>ROUND(BV64,0)</f>
        <v>2715</v>
      </c>
      <c r="H805" s="274">
        <f>ROUND(BV65,0)</f>
        <v>0</v>
      </c>
      <c r="I805" s="274">
        <f>ROUND(BV66,0)</f>
        <v>168621</v>
      </c>
      <c r="J805" s="274">
        <f>ROUND(BV67,0)</f>
        <v>0</v>
      </c>
      <c r="K805" s="274">
        <f>ROUND(BV68,0)</f>
        <v>0</v>
      </c>
      <c r="L805" s="274">
        <f>ROUND(BV69,0)</f>
        <v>1239</v>
      </c>
      <c r="M805" s="274">
        <f>ROUND(BV70,0)</f>
        <v>0</v>
      </c>
      <c r="N805" s="274"/>
      <c r="O805" s="274"/>
      <c r="P805" s="274">
        <f>IF(BV76&gt;0,ROUND(BV76,0),0)</f>
        <v>0</v>
      </c>
      <c r="Q805" s="274">
        <f>IF(BV77&gt;0,ROUND(BV77,0),0)</f>
        <v>0</v>
      </c>
      <c r="R805" s="274">
        <f>IF(BV78&gt;0,ROUND(BV78,0),0)</f>
        <v>0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5">
      <c r="A806" s="209" t="str">
        <f>RIGHT($C$83,3)&amp;"*"&amp;RIGHT($C$82,4)&amp;"*"&amp;BW$55&amp;"*"&amp;"A"</f>
        <v>104*2017*8700*A</v>
      </c>
      <c r="B806" s="274"/>
      <c r="C806" s="276">
        <f>ROUND(BW60,2)</f>
        <v>0.96</v>
      </c>
      <c r="D806" s="274">
        <f>ROUND(BW61,0)</f>
        <v>60029</v>
      </c>
      <c r="E806" s="274">
        <f>ROUND(BW62,0)</f>
        <v>13551</v>
      </c>
      <c r="F806" s="274">
        <f>ROUND(BW63,0)</f>
        <v>0</v>
      </c>
      <c r="G806" s="274">
        <f>ROUND(BW64,0)</f>
        <v>895</v>
      </c>
      <c r="H806" s="274">
        <f>ROUND(BW65,0)</f>
        <v>0</v>
      </c>
      <c r="I806" s="274">
        <f>ROUND(BW66,0)</f>
        <v>14259</v>
      </c>
      <c r="J806" s="274">
        <f>ROUND(BW67,0)</f>
        <v>0</v>
      </c>
      <c r="K806" s="274">
        <f>ROUND(BW68,0)</f>
        <v>0</v>
      </c>
      <c r="L806" s="274">
        <f>ROUND(BW69,0)</f>
        <v>8247</v>
      </c>
      <c r="M806" s="274">
        <f>ROUND(BW70,0)</f>
        <v>0</v>
      </c>
      <c r="N806" s="274"/>
      <c r="O806" s="274"/>
      <c r="P806" s="274">
        <f>IF(BW76&gt;0,ROUND(BW76,0),0)</f>
        <v>0</v>
      </c>
      <c r="Q806" s="274">
        <f>IF(BW77&gt;0,ROUND(BW77,0),0)</f>
        <v>0</v>
      </c>
      <c r="R806" s="274">
        <f>IF(BW78&gt;0,ROUND(BW78,0),0)</f>
        <v>0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5">
      <c r="A807" s="209" t="str">
        <f>RIGHT($C$83,3)&amp;"*"&amp;RIGHT($C$82,4)&amp;"*"&amp;BX$55&amp;"*"&amp;"A"</f>
        <v>104*2017*8710*A</v>
      </c>
      <c r="B807" s="274"/>
      <c r="C807" s="276">
        <f>ROUND(BX60,2)</f>
        <v>3.64</v>
      </c>
      <c r="D807" s="274">
        <f>ROUND(BX61,0)</f>
        <v>385707</v>
      </c>
      <c r="E807" s="274">
        <f>ROUND(BX62,0)</f>
        <v>87067</v>
      </c>
      <c r="F807" s="274">
        <f>ROUND(BX63,0)</f>
        <v>32755</v>
      </c>
      <c r="G807" s="274">
        <f>ROUND(BX64,0)</f>
        <v>415</v>
      </c>
      <c r="H807" s="274">
        <f>ROUND(BX65,0)</f>
        <v>0</v>
      </c>
      <c r="I807" s="274">
        <f>ROUND(BX66,0)</f>
        <v>25413</v>
      </c>
      <c r="J807" s="274">
        <f>ROUND(BX67,0)</f>
        <v>0</v>
      </c>
      <c r="K807" s="274">
        <f>ROUND(BX68,0)</f>
        <v>0</v>
      </c>
      <c r="L807" s="274">
        <f>ROUND(BX69,0)</f>
        <v>45500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5">
      <c r="A808" s="209" t="str">
        <f>RIGHT($C$83,3)&amp;"*"&amp;RIGHT($C$82,4)&amp;"*"&amp;BY$55&amp;"*"&amp;"A"</f>
        <v>104*2017*8720*A</v>
      </c>
      <c r="B808" s="274"/>
      <c r="C808" s="276">
        <f>ROUND(BY60,2)</f>
        <v>0</v>
      </c>
      <c r="D808" s="274">
        <f>ROUND(BY61,0)</f>
        <v>327996</v>
      </c>
      <c r="E808" s="274">
        <f>ROUND(BY62,0)</f>
        <v>74040</v>
      </c>
      <c r="F808" s="274">
        <f>ROUND(BY63,0)</f>
        <v>0</v>
      </c>
      <c r="G808" s="274">
        <f>ROUND(BY64,0)</f>
        <v>0</v>
      </c>
      <c r="H808" s="274">
        <f>ROUND(BY65,0)</f>
        <v>0</v>
      </c>
      <c r="I808" s="274">
        <f>ROUND(BY66,0)</f>
        <v>0</v>
      </c>
      <c r="J808" s="274">
        <f>ROUND(BY67,0)</f>
        <v>0</v>
      </c>
      <c r="K808" s="274">
        <f>ROUND(BY68,0)</f>
        <v>0</v>
      </c>
      <c r="L808" s="274">
        <f>ROUND(BY69,0)</f>
        <v>0</v>
      </c>
      <c r="M808" s="274">
        <f>ROUND(BY70,0)</f>
        <v>0</v>
      </c>
      <c r="N808" s="274"/>
      <c r="O808" s="274"/>
      <c r="P808" s="274">
        <f>IF(BY76&gt;0,ROUND(BY76,0),0)</f>
        <v>0</v>
      </c>
      <c r="Q808" s="274">
        <f>IF(BY77&gt;0,ROUND(BY77,0),0)</f>
        <v>0</v>
      </c>
      <c r="R808" s="274">
        <f>IF(BY78&gt;0,ROUND(BY78,0),0)</f>
        <v>0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5">
      <c r="A809" s="209" t="str">
        <f>RIGHT($C$83,3)&amp;"*"&amp;RIGHT($C$82,4)&amp;"*"&amp;BZ$55&amp;"*"&amp;"A"</f>
        <v>104*2017*8730*A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5">
      <c r="A810" s="209" t="str">
        <f>RIGHT($C$83,3)&amp;"*"&amp;RIGHT($C$82,4)&amp;"*"&amp;CA$55&amp;"*"&amp;"A"</f>
        <v>104*2017*8740*A</v>
      </c>
      <c r="B810" s="274"/>
      <c r="C810" s="276">
        <f>ROUND(CA60,2)</f>
        <v>0.14000000000000001</v>
      </c>
      <c r="D810" s="274">
        <f>ROUND(CA61,0)</f>
        <v>0</v>
      </c>
      <c r="E810" s="274">
        <f>ROUND(CA62,0)</f>
        <v>0</v>
      </c>
      <c r="F810" s="274">
        <f>ROUND(CA63,0)</f>
        <v>0</v>
      </c>
      <c r="G810" s="274">
        <f>ROUND(CA64,0)</f>
        <v>226</v>
      </c>
      <c r="H810" s="274">
        <f>ROUND(CA65,0)</f>
        <v>0</v>
      </c>
      <c r="I810" s="274">
        <f>ROUND(CA66,0)</f>
        <v>4961</v>
      </c>
      <c r="J810" s="274">
        <f>ROUND(CA67,0)</f>
        <v>0</v>
      </c>
      <c r="K810" s="274">
        <f>ROUND(CA68,0)</f>
        <v>0</v>
      </c>
      <c r="L810" s="274">
        <f>ROUND(CA69,0)</f>
        <v>800</v>
      </c>
      <c r="M810" s="274">
        <f>ROUND(CA70,0)</f>
        <v>0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5">
      <c r="A811" s="209" t="str">
        <f>RIGHT($C$83,3)&amp;"*"&amp;RIGHT($C$82,4)&amp;"*"&amp;CB$55&amp;"*"&amp;"A"</f>
        <v>104*2017*8770*A</v>
      </c>
      <c r="B811" s="274"/>
      <c r="C811" s="276">
        <f>ROUND(CB60,2)</f>
        <v>0</v>
      </c>
      <c r="D811" s="274">
        <f>ROUND(CB61,0)</f>
        <v>0</v>
      </c>
      <c r="E811" s="274">
        <f>ROUND(CB62,0)</f>
        <v>0</v>
      </c>
      <c r="F811" s="274">
        <f>ROUND(CB63,0)</f>
        <v>0</v>
      </c>
      <c r="G811" s="274">
        <f>ROUND(CB64,0)</f>
        <v>0</v>
      </c>
      <c r="H811" s="274">
        <f>ROUND(CB65,0)</f>
        <v>0</v>
      </c>
      <c r="I811" s="274">
        <f>ROUND(CB66,0)</f>
        <v>0</v>
      </c>
      <c r="J811" s="274">
        <f>ROUND(CB67,0)</f>
        <v>0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5">
      <c r="A812" s="209" t="str">
        <f>RIGHT($C$83,3)&amp;"*"&amp;RIGHT($C$82,4)&amp;"*"&amp;CC$55&amp;"*"&amp;"A"</f>
        <v>104*2017*8790*A</v>
      </c>
      <c r="B812" s="274"/>
      <c r="C812" s="276">
        <f>ROUND(CC60,2)</f>
        <v>4.17</v>
      </c>
      <c r="D812" s="274">
        <f>ROUND(CC61,0)</f>
        <v>192473</v>
      </c>
      <c r="E812" s="274">
        <f>ROUND(CC62,0)</f>
        <v>43448</v>
      </c>
      <c r="F812" s="274">
        <f>ROUND(CC63,0)</f>
        <v>0</v>
      </c>
      <c r="G812" s="274">
        <f>ROUND(CC64,0)</f>
        <v>10719</v>
      </c>
      <c r="H812" s="274">
        <f>ROUND(CC65,0)</f>
        <v>1074</v>
      </c>
      <c r="I812" s="274">
        <f>ROUND(CC66,0)</f>
        <v>101554</v>
      </c>
      <c r="J812" s="274">
        <f>ROUND(CC67,0)</f>
        <v>523755</v>
      </c>
      <c r="K812" s="274">
        <f>ROUND(CC68,0)</f>
        <v>230631</v>
      </c>
      <c r="L812" s="274">
        <f>ROUND(CC69,0)</f>
        <v>98585</v>
      </c>
      <c r="M812" s="274">
        <f>ROUND(CC70,0)</f>
        <v>0</v>
      </c>
      <c r="N812" s="274"/>
      <c r="O812" s="274"/>
      <c r="P812" s="274">
        <f>IF(CC76&gt;0,ROUND(CC76,0),0)</f>
        <v>25896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5">
      <c r="A813" s="209" t="str">
        <f>RIGHT($C$83,3)&amp;"*"&amp;RIGHT($C$82,4)&amp;"*"&amp;"9000"&amp;"*"&amp;"A"</f>
        <v>104*2017*9000*A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0</v>
      </c>
      <c r="V813" s="275">
        <f>ROUND(CD70,0)</f>
        <v>2029765</v>
      </c>
      <c r="W813" s="274">
        <f>ROUND(CE72,0)</f>
        <v>0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5">
      <c r="B815" s="278" t="s">
        <v>1004</v>
      </c>
      <c r="C815" s="279">
        <f t="shared" ref="C815:K815" si="22">SUM(C734:C813)</f>
        <v>258.27999999999992</v>
      </c>
      <c r="D815" s="275">
        <f t="shared" si="22"/>
        <v>21705009</v>
      </c>
      <c r="E815" s="275">
        <f t="shared" si="22"/>
        <v>4899551</v>
      </c>
      <c r="F815" s="275">
        <f t="shared" si="22"/>
        <v>3805954</v>
      </c>
      <c r="G815" s="275">
        <f t="shared" si="22"/>
        <v>5762625</v>
      </c>
      <c r="H815" s="275">
        <f t="shared" si="22"/>
        <v>658807</v>
      </c>
      <c r="I815" s="275">
        <f t="shared" si="22"/>
        <v>4939720</v>
      </c>
      <c r="J815" s="275">
        <f t="shared" si="22"/>
        <v>2007160</v>
      </c>
      <c r="K815" s="275">
        <f t="shared" si="22"/>
        <v>1170329</v>
      </c>
      <c r="L815" s="275">
        <f>SUM(L734:L813)+SUM(U734:U813)</f>
        <v>409598</v>
      </c>
      <c r="M815" s="275">
        <f>SUM(M734:M813)+SUM(V734:V813)</f>
        <v>2029765</v>
      </c>
      <c r="N815" s="275">
        <f t="shared" ref="N815:Y815" si="23">SUM(N734:N813)</f>
        <v>120415295</v>
      </c>
      <c r="O815" s="275">
        <f t="shared" si="23"/>
        <v>37709200</v>
      </c>
      <c r="P815" s="275">
        <f t="shared" si="23"/>
        <v>99240</v>
      </c>
      <c r="Q815" s="275">
        <f t="shared" si="23"/>
        <v>32130</v>
      </c>
      <c r="R815" s="275">
        <f t="shared" si="23"/>
        <v>42262</v>
      </c>
      <c r="S815" s="275">
        <f t="shared" si="23"/>
        <v>217645</v>
      </c>
      <c r="T815" s="279">
        <f t="shared" si="23"/>
        <v>69.81</v>
      </c>
      <c r="U815" s="275">
        <f t="shared" si="23"/>
        <v>0</v>
      </c>
      <c r="V815" s="275">
        <f t="shared" si="23"/>
        <v>2029765</v>
      </c>
      <c r="W815" s="275">
        <f t="shared" si="23"/>
        <v>0</v>
      </c>
      <c r="X815" s="275">
        <f t="shared" si="23"/>
        <v>0</v>
      </c>
      <c r="Y815" s="275">
        <f t="shared" si="23"/>
        <v>12889532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5">
      <c r="B816" s="275" t="s">
        <v>1005</v>
      </c>
      <c r="C816" s="279">
        <f>CE60</f>
        <v>258.27999999999992</v>
      </c>
      <c r="D816" s="275">
        <f>CE61</f>
        <v>21705009.289999999</v>
      </c>
      <c r="E816" s="275">
        <f>CE62</f>
        <v>4899551</v>
      </c>
      <c r="F816" s="275">
        <f>CE63</f>
        <v>3805954</v>
      </c>
      <c r="G816" s="275">
        <f>CE64</f>
        <v>5762625</v>
      </c>
      <c r="H816" s="278">
        <f>CE65</f>
        <v>658807</v>
      </c>
      <c r="I816" s="278">
        <f>CE66</f>
        <v>4939720</v>
      </c>
      <c r="J816" s="278">
        <f>CE67</f>
        <v>2007160</v>
      </c>
      <c r="K816" s="278">
        <f>CE68</f>
        <v>1170329</v>
      </c>
      <c r="L816" s="278">
        <f>CE69</f>
        <v>409598</v>
      </c>
      <c r="M816" s="278">
        <f>CE70</f>
        <v>2029765</v>
      </c>
      <c r="N816" s="275">
        <f>CE75</f>
        <v>120415295</v>
      </c>
      <c r="O816" s="275">
        <f>CE73</f>
        <v>37709200</v>
      </c>
      <c r="P816" s="275">
        <f>CE76</f>
        <v>99240</v>
      </c>
      <c r="Q816" s="275">
        <f>CE77</f>
        <v>32130</v>
      </c>
      <c r="R816" s="275">
        <f>CE78</f>
        <v>42262</v>
      </c>
      <c r="S816" s="275">
        <f>CE79</f>
        <v>217645</v>
      </c>
      <c r="T816" s="279">
        <f>CE80</f>
        <v>69.81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12889533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19333070</v>
      </c>
      <c r="E817" s="180">
        <f>C379</f>
        <v>7920759</v>
      </c>
      <c r="F817" s="180">
        <f>C380</f>
        <v>4398453</v>
      </c>
      <c r="G817" s="239">
        <f>C381</f>
        <v>5762602</v>
      </c>
      <c r="H817" s="239">
        <f>C382</f>
        <v>658807</v>
      </c>
      <c r="I817" s="239">
        <f>C383</f>
        <v>3854454</v>
      </c>
      <c r="J817" s="239">
        <f>C384</f>
        <v>2007160</v>
      </c>
      <c r="K817" s="239">
        <f>C385</f>
        <v>1170328</v>
      </c>
      <c r="L817" s="239">
        <f>C386+C387+C388+C389</f>
        <v>2177349</v>
      </c>
      <c r="M817" s="239">
        <f>C370</f>
        <v>2029765</v>
      </c>
      <c r="N817" s="180">
        <f>D361</f>
        <v>120415294</v>
      </c>
      <c r="O817" s="180">
        <f>C359</f>
        <v>37709200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EvergreenHealth Monroe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H-104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14701 179th Ave SE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14701 179th Ave SE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Monroe, Wa, 98272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H-104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EvergreenHealth Monroe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Renee Jensen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John Green 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Alice Cabe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360-794-7497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360-863-4672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1095</v>
      </c>
      <c r="G23" s="21">
        <f>data!D111</f>
        <v>3933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765</v>
      </c>
      <c r="G25" s="21">
        <f>data!D113</f>
        <v>6809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23</v>
      </c>
      <c r="E32" s="49" t="s">
        <v>1045</v>
      </c>
      <c r="F32" s="24"/>
      <c r="G32" s="21">
        <f>data!C125</f>
        <v>34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61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112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EvergreenHealth Monroe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529</v>
      </c>
      <c r="C7" s="48">
        <f>data!B139</f>
        <v>2207</v>
      </c>
      <c r="D7" s="48">
        <f>data!B140</f>
        <v>0</v>
      </c>
      <c r="E7" s="48">
        <f>data!B141</f>
        <v>17055379</v>
      </c>
      <c r="F7" s="48">
        <f>data!B142</f>
        <v>28169408</v>
      </c>
      <c r="G7" s="48">
        <f>data!B141+data!B142</f>
        <v>45224787</v>
      </c>
    </row>
    <row r="8" spans="1:13" ht="20.100000000000001" customHeight="1" x14ac:dyDescent="0.25">
      <c r="A8" s="23" t="s">
        <v>297</v>
      </c>
      <c r="B8" s="48">
        <f>data!C138</f>
        <v>210</v>
      </c>
      <c r="C8" s="48">
        <f>data!C139</f>
        <v>949</v>
      </c>
      <c r="D8" s="48">
        <f>data!C140</f>
        <v>0</v>
      </c>
      <c r="E8" s="48">
        <f>data!C141</f>
        <v>6595731</v>
      </c>
      <c r="F8" s="48">
        <f>data!C142</f>
        <v>23827505</v>
      </c>
      <c r="G8" s="48">
        <f>data!C141+data!C142</f>
        <v>30423236</v>
      </c>
    </row>
    <row r="9" spans="1:13" ht="20.100000000000001" customHeight="1" x14ac:dyDescent="0.25">
      <c r="A9" s="23" t="s">
        <v>1058</v>
      </c>
      <c r="B9" s="48">
        <f>data!D138</f>
        <v>356</v>
      </c>
      <c r="C9" s="48">
        <f>data!D139</f>
        <v>777</v>
      </c>
      <c r="D9" s="48">
        <f>data!D140</f>
        <v>0</v>
      </c>
      <c r="E9" s="48">
        <f>data!D141</f>
        <v>10517537</v>
      </c>
      <c r="F9" s="48">
        <f>data!D142</f>
        <v>43828765</v>
      </c>
      <c r="G9" s="48">
        <f>data!D141+data!D142</f>
        <v>54346302</v>
      </c>
    </row>
    <row r="10" spans="1:13" ht="20.100000000000001" customHeight="1" x14ac:dyDescent="0.25">
      <c r="A10" s="111" t="s">
        <v>203</v>
      </c>
      <c r="B10" s="48">
        <f>data!E138</f>
        <v>1095</v>
      </c>
      <c r="C10" s="48">
        <f>data!E139</f>
        <v>3933</v>
      </c>
      <c r="D10" s="48">
        <f>data!E140</f>
        <v>0</v>
      </c>
      <c r="E10" s="48">
        <f>data!E141</f>
        <v>34168647</v>
      </c>
      <c r="F10" s="48">
        <f>data!E142</f>
        <v>95825678</v>
      </c>
      <c r="G10" s="48">
        <f>data!E141+data!E142</f>
        <v>129994325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18</v>
      </c>
      <c r="C25" s="48">
        <f>data!B151</f>
        <v>198</v>
      </c>
      <c r="D25" s="48">
        <f>data!B152</f>
        <v>0</v>
      </c>
      <c r="E25" s="48">
        <f>data!B153</f>
        <v>167285</v>
      </c>
      <c r="F25" s="48">
        <f>data!B154</f>
        <v>17508</v>
      </c>
      <c r="G25" s="48">
        <f>data!B153+data!B154</f>
        <v>184793</v>
      </c>
    </row>
    <row r="26" spans="1:7" ht="20.100000000000001" customHeight="1" x14ac:dyDescent="0.25">
      <c r="A26" s="23" t="s">
        <v>297</v>
      </c>
      <c r="B26" s="48">
        <f>data!C150</f>
        <v>50</v>
      </c>
      <c r="C26" s="48">
        <f>data!C151</f>
        <v>649</v>
      </c>
      <c r="D26" s="48">
        <f>data!C152</f>
        <v>0</v>
      </c>
      <c r="E26" s="48">
        <f>data!C153</f>
        <v>978675</v>
      </c>
      <c r="F26" s="48">
        <f>data!C154</f>
        <v>0</v>
      </c>
      <c r="G26" s="48">
        <f>data!C153+data!C154</f>
        <v>978675</v>
      </c>
    </row>
    <row r="27" spans="1:7" ht="20.100000000000001" customHeight="1" x14ac:dyDescent="0.25">
      <c r="A27" s="23" t="s">
        <v>1058</v>
      </c>
      <c r="B27" s="48">
        <f>data!D150</f>
        <v>697</v>
      </c>
      <c r="C27" s="48">
        <f>data!D151</f>
        <v>5962</v>
      </c>
      <c r="D27" s="48">
        <f>data!D152</f>
        <v>0</v>
      </c>
      <c r="E27" s="48">
        <f>data!D153</f>
        <v>4794425</v>
      </c>
      <c r="F27" s="48">
        <f>data!D154</f>
        <v>499366</v>
      </c>
      <c r="G27" s="48">
        <f>data!D153+data!D154</f>
        <v>5293791</v>
      </c>
    </row>
    <row r="28" spans="1:7" ht="20.100000000000001" customHeight="1" x14ac:dyDescent="0.25">
      <c r="A28" s="111" t="s">
        <v>203</v>
      </c>
      <c r="B28" s="48">
        <f>data!E150</f>
        <v>765</v>
      </c>
      <c r="C28" s="48">
        <f>data!E151</f>
        <v>6809</v>
      </c>
      <c r="D28" s="48">
        <f>data!E152</f>
        <v>0</v>
      </c>
      <c r="E28" s="48">
        <f>data!E153</f>
        <v>5940385</v>
      </c>
      <c r="F28" s="48">
        <f>data!E154</f>
        <v>516874</v>
      </c>
      <c r="G28" s="48">
        <f>data!E153+data!E154</f>
        <v>6457259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3123715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851491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EvergreenHealth Monroe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1551753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8709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255831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663231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2739035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5218559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735556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332387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1067943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178075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120539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298614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38641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38641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968379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968379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EvergreenHealth Monroe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1878610</v>
      </c>
      <c r="D7" s="21">
        <f>data!C195</f>
        <v>0</v>
      </c>
      <c r="E7" s="21">
        <f>data!D195</f>
        <v>0</v>
      </c>
      <c r="F7" s="21">
        <f>data!E195</f>
        <v>1878610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1145661</v>
      </c>
      <c r="D8" s="21">
        <f>data!C196</f>
        <v>0</v>
      </c>
      <c r="E8" s="21">
        <f>data!D196</f>
        <v>0</v>
      </c>
      <c r="F8" s="21">
        <f>data!E196</f>
        <v>1145661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23222653</v>
      </c>
      <c r="D9" s="21">
        <f>data!C197</f>
        <v>559203</v>
      </c>
      <c r="E9" s="21">
        <f>data!D197</f>
        <v>0</v>
      </c>
      <c r="F9" s="21">
        <f>data!E197</f>
        <v>23781856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2474840</v>
      </c>
      <c r="D10" s="21">
        <f>data!C198</f>
        <v>126362</v>
      </c>
      <c r="E10" s="21">
        <f>data!D198</f>
        <v>0</v>
      </c>
      <c r="F10" s="21">
        <f>data!E198</f>
        <v>2601202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24382</v>
      </c>
      <c r="D11" s="21">
        <f>data!C199</f>
        <v>0</v>
      </c>
      <c r="E11" s="21">
        <f>data!D199</f>
        <v>0</v>
      </c>
      <c r="F11" s="21">
        <f>data!E199</f>
        <v>24382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18069327</v>
      </c>
      <c r="D12" s="21">
        <f>data!C200</f>
        <v>511978</v>
      </c>
      <c r="E12" s="21">
        <f>data!D200</f>
        <v>0</v>
      </c>
      <c r="F12" s="21">
        <f>data!E200</f>
        <v>18581305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3051542</v>
      </c>
      <c r="D14" s="21">
        <f>data!C202</f>
        <v>46708</v>
      </c>
      <c r="E14" s="21">
        <f>data!D202</f>
        <v>0</v>
      </c>
      <c r="F14" s="21">
        <f>data!E202</f>
        <v>3098250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880167</v>
      </c>
      <c r="D15" s="21">
        <f>data!C203</f>
        <v>462136</v>
      </c>
      <c r="E15" s="21">
        <f>data!D203</f>
        <v>927889</v>
      </c>
      <c r="F15" s="21">
        <f>data!E203</f>
        <v>414414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50747182</v>
      </c>
      <c r="D16" s="21">
        <f>data!C204</f>
        <v>1706387</v>
      </c>
      <c r="E16" s="21">
        <f>data!D204</f>
        <v>927889</v>
      </c>
      <c r="F16" s="21">
        <f>data!E204</f>
        <v>51525680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766271</v>
      </c>
      <c r="D24" s="21">
        <f>data!C209</f>
        <v>55215</v>
      </c>
      <c r="E24" s="21">
        <f>data!D209</f>
        <v>0</v>
      </c>
      <c r="F24" s="21">
        <f>data!E209</f>
        <v>821486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17021425</v>
      </c>
      <c r="D25" s="21">
        <f>data!C210</f>
        <v>721768</v>
      </c>
      <c r="E25" s="21">
        <f>data!D210</f>
        <v>0</v>
      </c>
      <c r="F25" s="21">
        <f>data!E210</f>
        <v>17743193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1317938</v>
      </c>
      <c r="D26" s="21">
        <f>data!C211</f>
        <v>53633</v>
      </c>
      <c r="E26" s="21">
        <f>data!D211</f>
        <v>0</v>
      </c>
      <c r="F26" s="21">
        <f>data!E211</f>
        <v>1371571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925843</v>
      </c>
      <c r="D27" s="21">
        <f>data!C212</f>
        <v>40894</v>
      </c>
      <c r="E27" s="21">
        <f>data!D212</f>
        <v>0</v>
      </c>
      <c r="F27" s="21">
        <f>data!E212</f>
        <v>966737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14555675</v>
      </c>
      <c r="D28" s="21">
        <f>data!C213</f>
        <v>940308</v>
      </c>
      <c r="E28" s="21">
        <f>data!D213</f>
        <v>0</v>
      </c>
      <c r="F28" s="21">
        <f>data!E213</f>
        <v>15495983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22911</v>
      </c>
      <c r="D29" s="21">
        <f>data!C214</f>
        <v>1471</v>
      </c>
      <c r="E29" s="21">
        <f>data!D214</f>
        <v>0</v>
      </c>
      <c r="F29" s="21">
        <f>data!E214</f>
        <v>24382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1884091</v>
      </c>
      <c r="D30" s="21">
        <f>data!C215</f>
        <v>140303</v>
      </c>
      <c r="E30" s="21">
        <f>data!D215</f>
        <v>0</v>
      </c>
      <c r="F30" s="21">
        <f>data!E215</f>
        <v>2024394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36494154</v>
      </c>
      <c r="D32" s="21">
        <f>data!C217</f>
        <v>1953592</v>
      </c>
      <c r="E32" s="21">
        <f>data!D217</f>
        <v>0</v>
      </c>
      <c r="F32" s="21">
        <f>data!E217</f>
        <v>38447746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EvergreenHealth Monroe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4790431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31154093.920000002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26440222.760000002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1884645.28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1871736.11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22834629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84185327.070000008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797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146683.13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438410.63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585093.76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3">
        <v>20</v>
      </c>
      <c r="B24" s="55">
        <v>5970</v>
      </c>
      <c r="C24" s="14" t="s">
        <v>357</v>
      </c>
      <c r="D24" s="14">
        <f>data!C238</f>
        <v>681689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156153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90398693.830000013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EvergreenHealth Monroe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4779198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18021038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11643314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60876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197726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1125006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353223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12893753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163320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163320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1878609.67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1145662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23781855.920000002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2601201.9900000002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18602634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3098250.39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414416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51522629.970000006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38444696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13077933.970000006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364924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364924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26499930.970000006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EvergreenHealth Monroe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674685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2173989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2457635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75467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1290861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242209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6914846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12794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16925000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3258194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6082811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26278799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26278799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-6693714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-6693714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26499931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EvergreenHealth Monroe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40109032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96342552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136451584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2" t="s">
        <v>450</v>
      </c>
      <c r="C115" s="48">
        <f>data!C363</f>
        <v>4790430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84185327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585094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837842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90398693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46052891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2261145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2261145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48314036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19331048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8624276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5630701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6030569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610505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4298727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1953591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1067943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298614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38641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26796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1975721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49887132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-1573096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3728540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2155444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249000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2404444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EvergreenHealth Monroe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851</v>
      </c>
      <c r="D9" s="14">
        <f>data!D59</f>
        <v>0</v>
      </c>
      <c r="E9" s="14">
        <f>data!E59</f>
        <v>3662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6809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6.7</v>
      </c>
      <c r="D10" s="26">
        <f>data!D60</f>
        <v>0</v>
      </c>
      <c r="E10" s="26">
        <f>data!E60</f>
        <v>25.6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29.79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1155340</v>
      </c>
      <c r="D11" s="14">
        <f>data!D61</f>
        <v>0</v>
      </c>
      <c r="E11" s="14">
        <f>data!E61</f>
        <v>2354885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2181924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254676</v>
      </c>
      <c r="D12" s="14">
        <f>data!D62</f>
        <v>0</v>
      </c>
      <c r="E12" s="14">
        <f>data!E62</f>
        <v>519097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480970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249562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30525</v>
      </c>
      <c r="D14" s="14">
        <f>data!D64</f>
        <v>0</v>
      </c>
      <c r="E14" s="14">
        <f>data!E64</f>
        <v>89782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43865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51180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25498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24015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43308</v>
      </c>
      <c r="D17" s="14">
        <f>data!D67</f>
        <v>0</v>
      </c>
      <c r="E17" s="14">
        <f>data!E67</f>
        <v>181599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306858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37140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450189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8755</v>
      </c>
      <c r="D19" s="14">
        <f>data!D69</f>
        <v>0</v>
      </c>
      <c r="E19" s="14">
        <f>data!E69</f>
        <v>43606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109722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1492604</v>
      </c>
      <c r="D21" s="14">
        <f>data!D71</f>
        <v>0</v>
      </c>
      <c r="E21" s="14">
        <f>data!E71</f>
        <v>3251607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3898285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 t="e">
        <f>+data!#REF!</f>
        <v>#REF!</v>
      </c>
      <c r="D23" s="48" t="e">
        <f>+data!#REF!</f>
        <v>#REF!</v>
      </c>
      <c r="E23" s="48" t="e">
        <f>+data!#REF!</f>
        <v>#REF!</v>
      </c>
      <c r="F23" s="48" t="e">
        <f>+data!#REF!</f>
        <v>#REF!</v>
      </c>
      <c r="G23" s="48" t="e">
        <f>+data!#REF!</f>
        <v>#REF!</v>
      </c>
      <c r="H23" s="48" t="e">
        <f>+data!#REF!</f>
        <v>#REF!</v>
      </c>
      <c r="I23" s="48" t="e">
        <f>+data!#REF!</f>
        <v>#REF!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2477642</v>
      </c>
      <c r="D24" s="14">
        <f>data!D73</f>
        <v>0</v>
      </c>
      <c r="E24" s="14">
        <f>data!E73</f>
        <v>5588834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5940384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8584</v>
      </c>
      <c r="D25" s="14">
        <f>data!D74</f>
        <v>0</v>
      </c>
      <c r="E25" s="14">
        <f>data!E74</f>
        <v>1049380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516875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2486226</v>
      </c>
      <c r="D26" s="14">
        <f>data!D75</f>
        <v>0</v>
      </c>
      <c r="E26" s="14">
        <f>data!E75</f>
        <v>6638214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6457259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2200</v>
      </c>
      <c r="D28" s="14">
        <f>data!D76</f>
        <v>0</v>
      </c>
      <c r="E28" s="14">
        <f>data!E76</f>
        <v>9225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15588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2383</v>
      </c>
      <c r="D29" s="14">
        <f>data!D77</f>
        <v>0</v>
      </c>
      <c r="E29" s="14">
        <f>data!E77</f>
        <v>10506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20427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1248</v>
      </c>
      <c r="D30" s="14">
        <f>data!D78</f>
        <v>0</v>
      </c>
      <c r="E30" s="14">
        <f>data!E78</f>
        <v>5235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8846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9927</v>
      </c>
      <c r="D31" s="14">
        <f>data!D79</f>
        <v>0</v>
      </c>
      <c r="E31" s="14">
        <f>data!E79</f>
        <v>69481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10584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6.67</v>
      </c>
      <c r="D32" s="84">
        <f>data!D80</f>
        <v>0</v>
      </c>
      <c r="E32" s="84">
        <f>data!E80</f>
        <v>22.09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11.01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EvergreenHealth Monroe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97300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9.43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1019676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224771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515564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55582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106735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1994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1924322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 t="e">
        <f>+data!#REF!</f>
        <v>#REF!</v>
      </c>
      <c r="D55" s="48" t="e">
        <f>+data!#REF!</f>
        <v>#REF!</v>
      </c>
      <c r="E55" s="48" t="e">
        <f>+data!#REF!</f>
        <v>#REF!</v>
      </c>
      <c r="F55" s="48" t="e">
        <f>+data!#REF!</f>
        <v>#REF!</v>
      </c>
      <c r="G55" s="48" t="e">
        <f>+data!#REF!</f>
        <v>#REF!</v>
      </c>
      <c r="H55" s="48" t="e">
        <f>+data!#REF!</f>
        <v>#REF!</v>
      </c>
      <c r="I55" s="48" t="e">
        <f>+data!#REF!</f>
        <v>#REF!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10205543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11444831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21650374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5422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3076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39704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3.18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EvergreenHealth Monroe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109332</v>
      </c>
      <c r="D73" s="48">
        <f>data!R59</f>
        <v>97300</v>
      </c>
      <c r="E73" s="212"/>
      <c r="F73" s="212"/>
      <c r="G73" s="14">
        <f>data!U59</f>
        <v>147583</v>
      </c>
      <c r="H73" s="14">
        <f>data!V59</f>
        <v>0</v>
      </c>
      <c r="I73" s="14">
        <f>data!W59</f>
        <v>1200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2.669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13.45</v>
      </c>
      <c r="H74" s="26">
        <f>data!V60</f>
        <v>0</v>
      </c>
      <c r="I74" s="26">
        <f>data!W60</f>
        <v>2.23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370579</v>
      </c>
      <c r="D75" s="14">
        <f>data!R61</f>
        <v>0</v>
      </c>
      <c r="E75" s="14">
        <f>data!S61</f>
        <v>146549</v>
      </c>
      <c r="F75" s="14">
        <f>data!T61</f>
        <v>0</v>
      </c>
      <c r="G75" s="14">
        <f>data!U61</f>
        <v>972547</v>
      </c>
      <c r="H75" s="14">
        <f>data!V61</f>
        <v>0</v>
      </c>
      <c r="I75" s="14">
        <f>data!W61</f>
        <v>219127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81688</v>
      </c>
      <c r="D76" s="14">
        <f>data!R62</f>
        <v>0</v>
      </c>
      <c r="E76" s="14">
        <f>data!S62</f>
        <v>32304</v>
      </c>
      <c r="F76" s="14">
        <f>data!T62</f>
        <v>0</v>
      </c>
      <c r="G76" s="14">
        <f>data!U62</f>
        <v>214382</v>
      </c>
      <c r="H76" s="14">
        <f>data!V62</f>
        <v>0</v>
      </c>
      <c r="I76" s="14">
        <f>data!W62</f>
        <v>48303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408000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4940</v>
      </c>
      <c r="D78" s="14">
        <f>data!R64</f>
        <v>32784</v>
      </c>
      <c r="E78" s="14">
        <f>data!S64</f>
        <v>2335226</v>
      </c>
      <c r="F78" s="14">
        <f>data!T64</f>
        <v>0</v>
      </c>
      <c r="G78" s="14">
        <f>data!U64</f>
        <v>671603</v>
      </c>
      <c r="H78" s="14">
        <f>data!V64</f>
        <v>0</v>
      </c>
      <c r="I78" s="14">
        <f>data!W64</f>
        <v>4699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2539</v>
      </c>
      <c r="E80" s="14">
        <f>data!S66</f>
        <v>22456</v>
      </c>
      <c r="F80" s="14">
        <f>data!T66</f>
        <v>0</v>
      </c>
      <c r="G80" s="14">
        <f>data!U66</f>
        <v>532167</v>
      </c>
      <c r="H80" s="14">
        <f>data!V66</f>
        <v>0</v>
      </c>
      <c r="I80" s="14">
        <f>data!W66</f>
        <v>148496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11811</v>
      </c>
      <c r="D81" s="14">
        <f>data!R67</f>
        <v>3583</v>
      </c>
      <c r="E81" s="14">
        <f>data!S67</f>
        <v>0</v>
      </c>
      <c r="F81" s="14">
        <f>data!T67</f>
        <v>0</v>
      </c>
      <c r="G81" s="14">
        <f>data!U67</f>
        <v>25197</v>
      </c>
      <c r="H81" s="14">
        <f>data!V67</f>
        <v>0</v>
      </c>
      <c r="I81" s="14">
        <f>data!W67</f>
        <v>9449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58895</v>
      </c>
      <c r="H82" s="14">
        <f>data!V68</f>
        <v>0</v>
      </c>
      <c r="I82" s="14">
        <f>data!W68</f>
        <v>58042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3454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469018</v>
      </c>
      <c r="D85" s="14">
        <f>data!R71</f>
        <v>446906</v>
      </c>
      <c r="E85" s="14">
        <f>data!S71</f>
        <v>2536535</v>
      </c>
      <c r="F85" s="14">
        <f>data!T71</f>
        <v>0</v>
      </c>
      <c r="G85" s="14">
        <f>data!U71</f>
        <v>2478245</v>
      </c>
      <c r="H85" s="14">
        <f>data!V71</f>
        <v>0</v>
      </c>
      <c r="I85" s="14">
        <f>data!W71</f>
        <v>488116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 t="e">
        <f>+data!#REF!</f>
        <v>#REF!</v>
      </c>
      <c r="D87" s="48" t="e">
        <f>+data!#REF!</f>
        <v>#REF!</v>
      </c>
      <c r="E87" s="48" t="e">
        <f>+data!#REF!</f>
        <v>#REF!</v>
      </c>
      <c r="F87" s="48" t="e">
        <f>+data!#REF!</f>
        <v>#REF!</v>
      </c>
      <c r="G87" s="48" t="e">
        <f>+data!#REF!</f>
        <v>#REF!</v>
      </c>
      <c r="H87" s="48" t="e">
        <f>+data!#REF!</f>
        <v>#REF!</v>
      </c>
      <c r="I87" s="48" t="e">
        <f>+data!#REF!</f>
        <v>#REF!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903125</v>
      </c>
      <c r="D88" s="14">
        <f>data!R73</f>
        <v>790723</v>
      </c>
      <c r="E88" s="14">
        <f>data!S73</f>
        <v>0</v>
      </c>
      <c r="F88" s="14">
        <f>data!T73</f>
        <v>0</v>
      </c>
      <c r="G88" s="14">
        <f>data!U73</f>
        <v>2694261</v>
      </c>
      <c r="H88" s="14">
        <f>data!V73</f>
        <v>0</v>
      </c>
      <c r="I88" s="14">
        <f>data!W73</f>
        <v>290210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1312848</v>
      </c>
      <c r="D89" s="14">
        <f>data!R74</f>
        <v>1137823</v>
      </c>
      <c r="E89" s="14">
        <f>data!S74</f>
        <v>0</v>
      </c>
      <c r="F89" s="14">
        <f>data!T74</f>
        <v>0</v>
      </c>
      <c r="G89" s="14">
        <f>data!U74</f>
        <v>8468476</v>
      </c>
      <c r="H89" s="14">
        <f>data!V74</f>
        <v>0</v>
      </c>
      <c r="I89" s="14">
        <f>data!W74</f>
        <v>3544535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2215973</v>
      </c>
      <c r="D90" s="14">
        <f>data!R75</f>
        <v>1928546</v>
      </c>
      <c r="E90" s="14">
        <f>data!S75</f>
        <v>0</v>
      </c>
      <c r="F90" s="14">
        <f>data!T75</f>
        <v>0</v>
      </c>
      <c r="G90" s="14">
        <f>data!U75</f>
        <v>11162737</v>
      </c>
      <c r="H90" s="14">
        <f>data!V75</f>
        <v>0</v>
      </c>
      <c r="I90" s="14">
        <f>data!W75</f>
        <v>3834745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600</v>
      </c>
      <c r="D92" s="14">
        <f>data!R76</f>
        <v>182</v>
      </c>
      <c r="E92" s="14">
        <f>data!S76</f>
        <v>0</v>
      </c>
      <c r="F92" s="14">
        <f>data!T76</f>
        <v>0</v>
      </c>
      <c r="G92" s="14">
        <f>data!U76</f>
        <v>1280</v>
      </c>
      <c r="H92" s="14">
        <f>data!V76</f>
        <v>0</v>
      </c>
      <c r="I92" s="14">
        <f>data!W76</f>
        <v>480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341</v>
      </c>
      <c r="D94" s="14">
        <f>data!R78</f>
        <v>103</v>
      </c>
      <c r="E94" s="14">
        <f>data!S78</f>
        <v>0</v>
      </c>
      <c r="F94" s="14">
        <f>data!T78</f>
        <v>0</v>
      </c>
      <c r="G94" s="14">
        <f>data!U78</f>
        <v>727</v>
      </c>
      <c r="H94" s="14">
        <f>data!V78</f>
        <v>0</v>
      </c>
      <c r="I94" s="14">
        <f>data!W78</f>
        <v>272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427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1.78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EvergreenHealth Monroe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5595</v>
      </c>
      <c r="D105" s="14">
        <f>data!Y59</f>
        <v>9582</v>
      </c>
      <c r="E105" s="14">
        <f>data!Z59</f>
        <v>0</v>
      </c>
      <c r="F105" s="14">
        <f>data!AA59</f>
        <v>93</v>
      </c>
      <c r="G105" s="212"/>
      <c r="H105" s="14">
        <f>data!AC59</f>
        <v>5192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7.45</v>
      </c>
      <c r="D106" s="26">
        <f>data!Y60</f>
        <v>3.53</v>
      </c>
      <c r="E106" s="26">
        <f>data!Z60</f>
        <v>0</v>
      </c>
      <c r="F106" s="26">
        <f>data!AA60</f>
        <v>0.88</v>
      </c>
      <c r="G106" s="26">
        <f>data!AB60</f>
        <v>7.02</v>
      </c>
      <c r="H106" s="26">
        <f>data!AC60</f>
        <v>4.7300000000000004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629990</v>
      </c>
      <c r="D107" s="14">
        <f>data!Y61</f>
        <v>254102</v>
      </c>
      <c r="E107" s="14">
        <f>data!Z61</f>
        <v>0</v>
      </c>
      <c r="F107" s="14">
        <f>data!AA61</f>
        <v>79684</v>
      </c>
      <c r="G107" s="14">
        <f>data!AB61</f>
        <v>742276</v>
      </c>
      <c r="H107" s="14">
        <f>data!AC61</f>
        <v>438936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138871</v>
      </c>
      <c r="D108" s="14">
        <f>data!Y62</f>
        <v>56013</v>
      </c>
      <c r="E108" s="14">
        <f>data!Z62</f>
        <v>0</v>
      </c>
      <c r="F108" s="14">
        <f>data!AA62</f>
        <v>17565</v>
      </c>
      <c r="G108" s="14">
        <f>data!AB62</f>
        <v>163623</v>
      </c>
      <c r="H108" s="14">
        <f>data!AC62</f>
        <v>96756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39914</v>
      </c>
      <c r="D110" s="14">
        <f>data!Y64</f>
        <v>8102</v>
      </c>
      <c r="E110" s="14">
        <f>data!Z64</f>
        <v>0</v>
      </c>
      <c r="F110" s="14">
        <f>data!AA64</f>
        <v>8859</v>
      </c>
      <c r="G110" s="14">
        <f>data!AB64</f>
        <v>972474</v>
      </c>
      <c r="H110" s="14">
        <f>data!AC64</f>
        <v>17613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98862</v>
      </c>
      <c r="D112" s="14">
        <f>data!Y66</f>
        <v>69214</v>
      </c>
      <c r="E112" s="14">
        <f>data!Z66</f>
        <v>0</v>
      </c>
      <c r="F112" s="14">
        <f>data!AA66</f>
        <v>23031</v>
      </c>
      <c r="G112" s="14">
        <f>data!AB66</f>
        <v>178399</v>
      </c>
      <c r="H112" s="14">
        <f>data!AC66</f>
        <v>22051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7973</v>
      </c>
      <c r="D113" s="14">
        <f>data!Y67</f>
        <v>50159</v>
      </c>
      <c r="E113" s="14">
        <f>data!Z67</f>
        <v>0</v>
      </c>
      <c r="F113" s="14">
        <f>data!AA67</f>
        <v>8406</v>
      </c>
      <c r="G113" s="14">
        <f>data!AB67</f>
        <v>15965</v>
      </c>
      <c r="H113" s="14">
        <f>data!AC67</f>
        <v>15059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150859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1409</v>
      </c>
      <c r="E115" s="14">
        <f>data!Z69</f>
        <v>0</v>
      </c>
      <c r="F115" s="14">
        <f>data!AA69</f>
        <v>9898</v>
      </c>
      <c r="G115" s="14">
        <f>data!AB69</f>
        <v>6583</v>
      </c>
      <c r="H115" s="14">
        <f>data!AC69</f>
        <v>53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915610</v>
      </c>
      <c r="D117" s="14">
        <f>data!Y71</f>
        <v>438999</v>
      </c>
      <c r="E117" s="14">
        <f>data!Z71</f>
        <v>0</v>
      </c>
      <c r="F117" s="14">
        <f>data!AA71</f>
        <v>147443</v>
      </c>
      <c r="G117" s="14">
        <f>data!AB71</f>
        <v>2230179</v>
      </c>
      <c r="H117" s="14">
        <f>data!AC71</f>
        <v>590468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 t="e">
        <f>+data!#REF!</f>
        <v>#REF!</v>
      </c>
      <c r="D119" s="48" t="e">
        <f>+data!#REF!</f>
        <v>#REF!</v>
      </c>
      <c r="E119" s="48" t="e">
        <f>+data!#REF!</f>
        <v>#REF!</v>
      </c>
      <c r="F119" s="48" t="e">
        <f>+data!#REF!</f>
        <v>#REF!</v>
      </c>
      <c r="G119" s="48" t="e">
        <f>+data!#REF!</f>
        <v>#REF!</v>
      </c>
      <c r="H119" s="48" t="e">
        <f>+data!#REF!</f>
        <v>#REF!</v>
      </c>
      <c r="I119" s="48" t="e">
        <f>+data!#REF!</f>
        <v>#REF!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2275429</v>
      </c>
      <c r="D120" s="14">
        <f>data!Y73</f>
        <v>532915</v>
      </c>
      <c r="E120" s="14">
        <f>data!Z73</f>
        <v>0</v>
      </c>
      <c r="F120" s="14">
        <f>data!AA73</f>
        <v>44470</v>
      </c>
      <c r="G120" s="14">
        <f>data!AB73</f>
        <v>2788239</v>
      </c>
      <c r="H120" s="14">
        <f>data!AC73</f>
        <v>949861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13106705</v>
      </c>
      <c r="D121" s="14">
        <f>data!Y74</f>
        <v>3187780</v>
      </c>
      <c r="E121" s="14">
        <f>data!Z74</f>
        <v>0</v>
      </c>
      <c r="F121" s="14">
        <f>data!AA74</f>
        <v>281027</v>
      </c>
      <c r="G121" s="14">
        <f>data!AB74</f>
        <v>3741192</v>
      </c>
      <c r="H121" s="14">
        <f>data!AC74</f>
        <v>1344519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15382134</v>
      </c>
      <c r="D122" s="14">
        <f>data!Y75</f>
        <v>3720695</v>
      </c>
      <c r="E122" s="14">
        <f>data!Z75</f>
        <v>0</v>
      </c>
      <c r="F122" s="14">
        <f>data!AA75</f>
        <v>325497</v>
      </c>
      <c r="G122" s="14">
        <f>data!AB75</f>
        <v>6529431</v>
      </c>
      <c r="H122" s="14">
        <f>data!AC75</f>
        <v>2294380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405</v>
      </c>
      <c r="D124" s="14">
        <f>data!Y76</f>
        <v>2548</v>
      </c>
      <c r="E124" s="14">
        <f>data!Z76</f>
        <v>0</v>
      </c>
      <c r="F124" s="14">
        <f>data!AA76</f>
        <v>427</v>
      </c>
      <c r="G124" s="14">
        <f>data!AB76</f>
        <v>811</v>
      </c>
      <c r="H124" s="14">
        <f>data!AC76</f>
        <v>765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228</v>
      </c>
      <c r="D126" s="14">
        <f>data!Y78</f>
        <v>1445</v>
      </c>
      <c r="E126" s="14">
        <f>data!Z78</f>
        <v>0</v>
      </c>
      <c r="F126" s="14">
        <f>data!AA78</f>
        <v>242</v>
      </c>
      <c r="G126" s="14">
        <f>data!AB78</f>
        <v>460</v>
      </c>
      <c r="H126" s="14">
        <f>data!AC78</f>
        <v>433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EvergreenHealth Monroe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45666</v>
      </c>
      <c r="D137" s="14">
        <f>data!AF59</f>
        <v>0</v>
      </c>
      <c r="E137" s="14">
        <f>data!AG59</f>
        <v>15951</v>
      </c>
      <c r="F137" s="14">
        <f>data!AH59</f>
        <v>0</v>
      </c>
      <c r="G137" s="14">
        <f>data!AI59</f>
        <v>912</v>
      </c>
      <c r="H137" s="14">
        <f>data!AJ59</f>
        <v>0</v>
      </c>
      <c r="I137" s="14">
        <f>data!AK59</f>
        <v>8439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4.7699999999999996</v>
      </c>
      <c r="D138" s="26">
        <f>data!AF60</f>
        <v>0</v>
      </c>
      <c r="E138" s="26">
        <f>data!AG60</f>
        <v>25.37</v>
      </c>
      <c r="F138" s="26">
        <f>data!AH60</f>
        <v>0.87</v>
      </c>
      <c r="G138" s="26">
        <f>data!AI60</f>
        <v>5.17</v>
      </c>
      <c r="H138" s="26">
        <f>data!AJ60</f>
        <v>0</v>
      </c>
      <c r="I138" s="26">
        <f>data!AK60</f>
        <v>1.48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382553</v>
      </c>
      <c r="D139" s="14">
        <f>data!AF61</f>
        <v>0</v>
      </c>
      <c r="E139" s="14">
        <f>data!AG61</f>
        <v>2482960</v>
      </c>
      <c r="F139" s="14">
        <f>data!AH61</f>
        <v>110287</v>
      </c>
      <c r="G139" s="14">
        <f>data!AI61</f>
        <v>557989</v>
      </c>
      <c r="H139" s="14">
        <f>data!AJ61</f>
        <v>0</v>
      </c>
      <c r="I139" s="14">
        <f>data!AK61</f>
        <v>150757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84328</v>
      </c>
      <c r="D140" s="14">
        <f>data!AF62</f>
        <v>0</v>
      </c>
      <c r="E140" s="14">
        <f>data!AG62</f>
        <v>547329</v>
      </c>
      <c r="F140" s="14">
        <f>data!AH62</f>
        <v>24311</v>
      </c>
      <c r="G140" s="14">
        <f>data!AI62</f>
        <v>123000</v>
      </c>
      <c r="H140" s="14">
        <f>data!AJ62</f>
        <v>0</v>
      </c>
      <c r="I140" s="14">
        <f>data!AK62</f>
        <v>33232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1263672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3751</v>
      </c>
      <c r="D142" s="14">
        <f>data!AF64</f>
        <v>0</v>
      </c>
      <c r="E142" s="14">
        <f>data!AG64</f>
        <v>208237</v>
      </c>
      <c r="F142" s="14">
        <f>data!AH64</f>
        <v>0</v>
      </c>
      <c r="G142" s="14">
        <f>data!AI64</f>
        <v>85901</v>
      </c>
      <c r="H142" s="14">
        <f>data!AJ64</f>
        <v>0</v>
      </c>
      <c r="I142" s="14">
        <f>data!AK64</f>
        <v>4933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16893</v>
      </c>
      <c r="F144" s="14">
        <f>data!AH66</f>
        <v>0</v>
      </c>
      <c r="G144" s="14">
        <f>data!AI66</f>
        <v>8306</v>
      </c>
      <c r="H144" s="14">
        <f>data!AJ66</f>
        <v>0</v>
      </c>
      <c r="I144" s="14">
        <f>data!AK66</f>
        <v>141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5118</v>
      </c>
      <c r="D145" s="14">
        <f>data!AF67</f>
        <v>0</v>
      </c>
      <c r="E145" s="14">
        <f>data!AG67</f>
        <v>153547</v>
      </c>
      <c r="F145" s="14">
        <f>data!AH67</f>
        <v>0</v>
      </c>
      <c r="G145" s="14">
        <f>data!AI67</f>
        <v>11811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102681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425</v>
      </c>
      <c r="D147" s="14">
        <f>data!AF69</f>
        <v>0</v>
      </c>
      <c r="E147" s="14">
        <f>data!AG69</f>
        <v>22793</v>
      </c>
      <c r="F147" s="14">
        <f>data!AH69</f>
        <v>551</v>
      </c>
      <c r="G147" s="14">
        <f>data!AI69</f>
        <v>1488</v>
      </c>
      <c r="H147" s="14">
        <f>data!AJ69</f>
        <v>0</v>
      </c>
      <c r="I147" s="14">
        <f>data!AK69</f>
        <v>720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578856</v>
      </c>
      <c r="D149" s="14">
        <f>data!AF71</f>
        <v>0</v>
      </c>
      <c r="E149" s="14">
        <f>data!AG71</f>
        <v>4695431</v>
      </c>
      <c r="F149" s="14">
        <f>data!AH71</f>
        <v>135149</v>
      </c>
      <c r="G149" s="14">
        <f>data!AI71</f>
        <v>788495</v>
      </c>
      <c r="H149" s="14">
        <f>data!AJ71</f>
        <v>0</v>
      </c>
      <c r="I149" s="14">
        <f>data!AK71</f>
        <v>189783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 t="e">
        <f>+data!#REF!</f>
        <v>#REF!</v>
      </c>
      <c r="D151" s="48" t="e">
        <f>+data!#REF!</f>
        <v>#REF!</v>
      </c>
      <c r="E151" s="48" t="e">
        <f>+data!#REF!</f>
        <v>#REF!</v>
      </c>
      <c r="F151" s="48" t="e">
        <f>+data!#REF!</f>
        <v>#REF!</v>
      </c>
      <c r="G151" s="48" t="e">
        <f>+data!#REF!</f>
        <v>#REF!</v>
      </c>
      <c r="H151" s="48" t="e">
        <f>+data!#REF!</f>
        <v>#REF!</v>
      </c>
      <c r="I151" s="48" t="e">
        <f>+data!#REF!</f>
        <v>#REF!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392584</v>
      </c>
      <c r="D152" s="14">
        <f>data!AF73</f>
        <v>0</v>
      </c>
      <c r="E152" s="14">
        <f>data!AG73</f>
        <v>3534349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263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1806410</v>
      </c>
      <c r="D153" s="14">
        <f>data!AF74</f>
        <v>0</v>
      </c>
      <c r="E153" s="14">
        <f>data!AG74</f>
        <v>31861636</v>
      </c>
      <c r="F153" s="14">
        <f>data!AH74</f>
        <v>0</v>
      </c>
      <c r="G153" s="14">
        <f>data!AI74</f>
        <v>2128589</v>
      </c>
      <c r="H153" s="14">
        <f>data!AJ74</f>
        <v>0</v>
      </c>
      <c r="I153" s="14">
        <f>data!AK74</f>
        <v>883657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2198994</v>
      </c>
      <c r="D154" s="14">
        <f>data!AF75</f>
        <v>0</v>
      </c>
      <c r="E154" s="14">
        <f>data!AG75</f>
        <v>35395985</v>
      </c>
      <c r="F154" s="14">
        <f>data!AH75</f>
        <v>0</v>
      </c>
      <c r="G154" s="14">
        <f>data!AI75</f>
        <v>2128589</v>
      </c>
      <c r="H154" s="14">
        <f>data!AJ75</f>
        <v>0</v>
      </c>
      <c r="I154" s="14">
        <f>data!AK75</f>
        <v>883920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260</v>
      </c>
      <c r="D156" s="14">
        <f>data!AF76</f>
        <v>0</v>
      </c>
      <c r="E156" s="14">
        <f>data!AG76</f>
        <v>7800</v>
      </c>
      <c r="F156" s="14">
        <f>data!AH76</f>
        <v>0</v>
      </c>
      <c r="G156" s="14">
        <f>data!AI76</f>
        <v>600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912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147</v>
      </c>
      <c r="D158" s="14">
        <f>data!AF78</f>
        <v>0</v>
      </c>
      <c r="E158" s="14">
        <f>data!AG78</f>
        <v>4426</v>
      </c>
      <c r="F158" s="14">
        <f>data!AH78</f>
        <v>0</v>
      </c>
      <c r="G158" s="14">
        <f>data!AI78</f>
        <v>341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6831</v>
      </c>
      <c r="D159" s="14">
        <f>data!AF79</f>
        <v>0</v>
      </c>
      <c r="E159" s="14">
        <f>data!AG79</f>
        <v>39704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17.07</v>
      </c>
      <c r="F160" s="26">
        <f>data!AH80</f>
        <v>0</v>
      </c>
      <c r="G160" s="26">
        <f>data!AI80</f>
        <v>4.05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EvergreenHealth Monroe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697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0.12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14400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3174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17574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 t="e">
        <f>+data!#REF!</f>
        <v>#REF!</v>
      </c>
      <c r="D183" s="48" t="e">
        <f>+data!#REF!</f>
        <v>#REF!</v>
      </c>
      <c r="E183" s="48" t="e">
        <f>+data!#REF!</f>
        <v>#REF!</v>
      </c>
      <c r="F183" s="48" t="e">
        <f>+data!#REF!</f>
        <v>#REF!</v>
      </c>
      <c r="G183" s="48" t="e">
        <f>+data!#REF!</f>
        <v>#REF!</v>
      </c>
      <c r="H183" s="48" t="e">
        <f>+data!#REF!</f>
        <v>#REF!</v>
      </c>
      <c r="I183" s="48" t="e">
        <f>+data!#REF!</f>
        <v>#REF!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EvergreenHealth Monroe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104684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14.23</v>
      </c>
      <c r="G202" s="26">
        <f>data!AW60</f>
        <v>0</v>
      </c>
      <c r="H202" s="26">
        <f>data!AX60</f>
        <v>0.04</v>
      </c>
      <c r="I202" s="26">
        <f>data!AY60</f>
        <v>18.809999999999999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2824181</v>
      </c>
      <c r="G203" s="14">
        <f>data!AW61</f>
        <v>0</v>
      </c>
      <c r="H203" s="14">
        <f>data!AX61</f>
        <v>0</v>
      </c>
      <c r="I203" s="14">
        <f>data!AY61</f>
        <v>775800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622546</v>
      </c>
      <c r="G204" s="14">
        <f>data!AW62</f>
        <v>0</v>
      </c>
      <c r="H204" s="14">
        <f>data!AX62</f>
        <v>0</v>
      </c>
      <c r="I204" s="14">
        <f>data!AY62</f>
        <v>171013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33575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357512</v>
      </c>
      <c r="G206" s="14">
        <f>data!AW64</f>
        <v>0</v>
      </c>
      <c r="H206" s="14">
        <f>data!AX64</f>
        <v>31167</v>
      </c>
      <c r="I206" s="14">
        <f>data!AY64</f>
        <v>556882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550273.97</v>
      </c>
      <c r="G208" s="14">
        <f>data!AW66</f>
        <v>0</v>
      </c>
      <c r="H208" s="14">
        <f>data!AX66</f>
        <v>0</v>
      </c>
      <c r="I208" s="14">
        <f>data!AY66</f>
        <v>7783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487236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104862</v>
      </c>
      <c r="G210" s="14">
        <f>data!AW68</f>
        <v>0</v>
      </c>
      <c r="H210" s="14">
        <f>data!AX68</f>
        <v>-4323</v>
      </c>
      <c r="I210" s="14">
        <f>data!AY68</f>
        <v>1304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15932</v>
      </c>
      <c r="G211" s="14">
        <f>data!AW69</f>
        <v>0</v>
      </c>
      <c r="H211" s="14">
        <f>data!AX69</f>
        <v>0</v>
      </c>
      <c r="I211" s="14">
        <f>data!AY69</f>
        <v>-182745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4962542.97</v>
      </c>
      <c r="G213" s="14">
        <f>data!AW71</f>
        <v>0</v>
      </c>
      <c r="H213" s="14">
        <f>data!AX71</f>
        <v>26844</v>
      </c>
      <c r="I213" s="14">
        <f>data!AY71</f>
        <v>1363612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 t="e">
        <f>+data!#REF!</f>
        <v>#REF!</v>
      </c>
      <c r="D215" s="48" t="e">
        <f>+data!#REF!</f>
        <v>#REF!</v>
      </c>
      <c r="E215" s="48" t="e">
        <f>+data!#REF!</f>
        <v>#REF!</v>
      </c>
      <c r="F215" s="48" t="e">
        <f>+data!#REF!</f>
        <v>#REF!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700200.56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10517687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11217887.560000001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24751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14054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40987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2.15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EvergreenHealth Monroe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99240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3.02</v>
      </c>
      <c r="H234" s="26">
        <f>data!BE60</f>
        <v>7.46</v>
      </c>
      <c r="I234" s="26">
        <f>data!BF60</f>
        <v>20.010000000000002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83754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147430</v>
      </c>
      <c r="H235" s="14">
        <f>data!BE61</f>
        <v>422223</v>
      </c>
      <c r="I235" s="14">
        <f>data!BF61</f>
        <v>850879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18462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32499</v>
      </c>
      <c r="H236" s="14">
        <f>data!BE62</f>
        <v>93072</v>
      </c>
      <c r="I236" s="14">
        <f>data!BF62</f>
        <v>187563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3730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22</v>
      </c>
      <c r="D238" s="14">
        <f>data!BA64</f>
        <v>364</v>
      </c>
      <c r="E238" s="14">
        <f>data!BB64</f>
        <v>0</v>
      </c>
      <c r="F238" s="14">
        <f>data!BC64</f>
        <v>0</v>
      </c>
      <c r="G238" s="14">
        <f>data!BD64</f>
        <v>-163799</v>
      </c>
      <c r="H238" s="14">
        <f>data!BE64</f>
        <v>35768</v>
      </c>
      <c r="I238" s="14">
        <f>data!BF64</f>
        <v>75571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456077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261613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457684</v>
      </c>
      <c r="I240" s="14">
        <f>data!BF66</f>
        <v>66382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1104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1798</v>
      </c>
      <c r="H243" s="14">
        <f>data!BE69</f>
        <v>6447</v>
      </c>
      <c r="I243" s="14">
        <f>data!BF69</f>
        <v>310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102238</v>
      </c>
      <c r="D245" s="14">
        <f>data!BA71</f>
        <v>261977</v>
      </c>
      <c r="E245" s="14">
        <f>data!BB71</f>
        <v>0</v>
      </c>
      <c r="F245" s="14">
        <f>data!BC71</f>
        <v>0</v>
      </c>
      <c r="G245" s="14">
        <f>data!BD71</f>
        <v>17928</v>
      </c>
      <c r="H245" s="14">
        <f>data!BE71</f>
        <v>1472375</v>
      </c>
      <c r="I245" s="14">
        <f>data!BF71</f>
        <v>1184435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EvergreenHealth Monroe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5.75</v>
      </c>
      <c r="E266" s="26">
        <f>data!BI60</f>
        <v>0</v>
      </c>
      <c r="F266" s="26">
        <f>data!BJ60</f>
        <v>2.64</v>
      </c>
      <c r="G266" s="26">
        <f>data!BK60</f>
        <v>9.2899999999999991</v>
      </c>
      <c r="H266" s="26">
        <f>data!BL60</f>
        <v>14.46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498367</v>
      </c>
      <c r="E267" s="14">
        <f>data!BI61</f>
        <v>0</v>
      </c>
      <c r="F267" s="14">
        <f>data!BJ61</f>
        <v>184532</v>
      </c>
      <c r="G267" s="14">
        <f>data!BK61</f>
        <v>552423</v>
      </c>
      <c r="H267" s="14">
        <f>data!BL61</f>
        <v>655118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109857</v>
      </c>
      <c r="E268" s="14">
        <f>data!BI62</f>
        <v>0</v>
      </c>
      <c r="F268" s="14">
        <f>data!BJ62</f>
        <v>40677</v>
      </c>
      <c r="G268" s="14">
        <f>data!BK62</f>
        <v>121773</v>
      </c>
      <c r="H268" s="14">
        <f>data!BL62</f>
        <v>144410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202406</v>
      </c>
      <c r="E269" s="14">
        <f>data!BI63</f>
        <v>0</v>
      </c>
      <c r="F269" s="14">
        <f>data!BJ63</f>
        <v>293817</v>
      </c>
      <c r="G269" s="14">
        <f>data!BK63</f>
        <v>117175</v>
      </c>
      <c r="H269" s="14">
        <f>data!BL63</f>
        <v>264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19513</v>
      </c>
      <c r="E270" s="14">
        <f>data!BI64</f>
        <v>0</v>
      </c>
      <c r="F270" s="14">
        <f>data!BJ64</f>
        <v>4353</v>
      </c>
      <c r="G270" s="14">
        <f>data!BK64</f>
        <v>2495</v>
      </c>
      <c r="H270" s="14">
        <f>data!BL64</f>
        <v>6691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100912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-417</v>
      </c>
      <c r="D272" s="14">
        <f>data!BH66</f>
        <v>926332</v>
      </c>
      <c r="E272" s="14">
        <f>data!BI66</f>
        <v>83944</v>
      </c>
      <c r="F272" s="14">
        <f>data!BJ66</f>
        <v>15683</v>
      </c>
      <c r="G272" s="14">
        <f>data!BK66</f>
        <v>239271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4359</v>
      </c>
      <c r="E274" s="14">
        <f>data!BI68</f>
        <v>0</v>
      </c>
      <c r="F274" s="14">
        <f>data!BJ68</f>
        <v>0</v>
      </c>
      <c r="G274" s="14">
        <f>data!BK68</f>
        <v>727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4230</v>
      </c>
      <c r="E275" s="14">
        <f>data!BI69</f>
        <v>0</v>
      </c>
      <c r="F275" s="14">
        <f>data!BJ69</f>
        <v>1139</v>
      </c>
      <c r="G275" s="14">
        <f>data!BK69</f>
        <v>17554</v>
      </c>
      <c r="H275" s="14">
        <f>data!BL69</f>
        <v>307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100495</v>
      </c>
      <c r="D277" s="14">
        <f>data!BH71</f>
        <v>1765064</v>
      </c>
      <c r="E277" s="14">
        <f>data!BI71</f>
        <v>83944</v>
      </c>
      <c r="F277" s="14">
        <f>data!BJ71</f>
        <v>540201</v>
      </c>
      <c r="G277" s="14">
        <f>data!BK71</f>
        <v>1051418</v>
      </c>
      <c r="H277" s="14">
        <f>data!BL71</f>
        <v>806790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EvergreenHealth Monroe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5.78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2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789598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242388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174054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53431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1402202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4497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1626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595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1258800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30971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215372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125182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3845118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453598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EvergreenHealth Monroe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8.08</v>
      </c>
      <c r="E330" s="26">
        <f>data!BW60</f>
        <v>1.19</v>
      </c>
      <c r="F330" s="26">
        <f>data!BX60</f>
        <v>3.51</v>
      </c>
      <c r="G330" s="26">
        <f>data!BY60</f>
        <v>0</v>
      </c>
      <c r="H330" s="26">
        <f>data!BZ60</f>
        <v>0</v>
      </c>
      <c r="I330" s="26">
        <f>data!CA60</f>
        <v>0.56000000000000005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437228</v>
      </c>
      <c r="E331" s="86">
        <f>data!BW61</f>
        <v>67722</v>
      </c>
      <c r="F331" s="86">
        <f>data!BX61</f>
        <v>315099</v>
      </c>
      <c r="G331" s="86">
        <f>data!BY61</f>
        <v>399498</v>
      </c>
      <c r="H331" s="86">
        <f>data!BZ61</f>
        <v>0</v>
      </c>
      <c r="I331" s="86">
        <f>data!CA61</f>
        <v>49933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96380</v>
      </c>
      <c r="E332" s="86">
        <f>data!BW62</f>
        <v>14928</v>
      </c>
      <c r="F332" s="86">
        <f>data!BX62</f>
        <v>69459</v>
      </c>
      <c r="G332" s="86">
        <f>data!BY62</f>
        <v>88063</v>
      </c>
      <c r="H332" s="86">
        <f>data!BZ62</f>
        <v>0</v>
      </c>
      <c r="I332" s="86">
        <f>data!CA62</f>
        <v>11007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60643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2353</v>
      </c>
      <c r="E334" s="86">
        <f>data!BW64</f>
        <v>501</v>
      </c>
      <c r="F334" s="86">
        <f>data!BX64</f>
        <v>112</v>
      </c>
      <c r="G334" s="86">
        <f>data!BY64</f>
        <v>37</v>
      </c>
      <c r="H334" s="86">
        <f>data!BZ64</f>
        <v>0</v>
      </c>
      <c r="I334" s="86">
        <f>data!CA64</f>
        <v>450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188331</v>
      </c>
      <c r="E336" s="86">
        <f>data!BW66</f>
        <v>4559</v>
      </c>
      <c r="F336" s="86">
        <f>data!BX66</f>
        <v>26435</v>
      </c>
      <c r="G336" s="86">
        <f>data!BY66</f>
        <v>0</v>
      </c>
      <c r="H336" s="86">
        <f>data!BZ66</f>
        <v>0</v>
      </c>
      <c r="I336" s="86">
        <f>data!CA66</f>
        <v>2211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593</v>
      </c>
      <c r="E339" s="86">
        <f>data!BW69</f>
        <v>3309</v>
      </c>
      <c r="F339" s="86">
        <f>data!BX69</f>
        <v>45877</v>
      </c>
      <c r="G339" s="86">
        <f>data!BY69</f>
        <v>45</v>
      </c>
      <c r="H339" s="86">
        <f>data!BZ69</f>
        <v>0</v>
      </c>
      <c r="I339" s="86">
        <f>data!CA69</f>
        <v>5889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724885</v>
      </c>
      <c r="E341" s="14">
        <f>data!BW71</f>
        <v>91019</v>
      </c>
      <c r="F341" s="14">
        <f>data!BX71</f>
        <v>517625</v>
      </c>
      <c r="G341" s="14">
        <f>data!BY71</f>
        <v>487643</v>
      </c>
      <c r="H341" s="14">
        <f>data!BZ71</f>
        <v>0</v>
      </c>
      <c r="I341" s="14">
        <f>data!CA71</f>
        <v>69490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EvergreenHealth Monroe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4.6899999999999995</v>
      </c>
      <c r="E362" s="217"/>
      <c r="F362" s="211"/>
      <c r="G362" s="211"/>
      <c r="H362" s="211"/>
      <c r="I362" s="87">
        <f>data!CE60</f>
        <v>272.77899999999994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165454</v>
      </c>
      <c r="E363" s="218"/>
      <c r="F363" s="219"/>
      <c r="G363" s="219"/>
      <c r="H363" s="219"/>
      <c r="I363" s="86">
        <f>data!CE61</f>
        <v>23726188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36472</v>
      </c>
      <c r="E364" s="218"/>
      <c r="F364" s="219"/>
      <c r="G364" s="219"/>
      <c r="H364" s="219"/>
      <c r="I364" s="86">
        <f>data!CE62</f>
        <v>5230059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4035046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15729</v>
      </c>
      <c r="E366" s="218"/>
      <c r="F366" s="219"/>
      <c r="G366" s="219"/>
      <c r="H366" s="219"/>
      <c r="I366" s="86">
        <f>data!CE64</f>
        <v>6030616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1740</v>
      </c>
      <c r="E367" s="218"/>
      <c r="F367" s="219"/>
      <c r="G367" s="219"/>
      <c r="H367" s="219"/>
      <c r="I367" s="86">
        <f>data!CE65</f>
        <v>610504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75565</v>
      </c>
      <c r="E368" s="218"/>
      <c r="F368" s="219"/>
      <c r="G368" s="219"/>
      <c r="H368" s="219"/>
      <c r="I368" s="86">
        <f>data!CE66</f>
        <v>5423070.9699999997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509776</v>
      </c>
      <c r="E369" s="218"/>
      <c r="F369" s="219"/>
      <c r="G369" s="219"/>
      <c r="H369" s="219"/>
      <c r="I369" s="86">
        <f>data!CE67</f>
        <v>1953590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102102</v>
      </c>
      <c r="E370" s="218"/>
      <c r="F370" s="219"/>
      <c r="G370" s="219"/>
      <c r="H370" s="219"/>
      <c r="I370" s="86">
        <f>data!CE68</f>
        <v>1067941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35100</v>
      </c>
      <c r="E371" s="86">
        <f>data!CD69</f>
        <v>1302327</v>
      </c>
      <c r="F371" s="219"/>
      <c r="G371" s="219"/>
      <c r="H371" s="219"/>
      <c r="I371" s="86">
        <f>data!CE69</f>
        <v>1810117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941938</v>
      </c>
      <c r="E373" s="86">
        <f>data!CD71</f>
        <v>1302327</v>
      </c>
      <c r="F373" s="219"/>
      <c r="G373" s="219"/>
      <c r="H373" s="219"/>
      <c r="I373" s="14">
        <f>data!CE71</f>
        <v>49887131.969999999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-4736049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40109032.560000002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96342554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136451586.56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25896</v>
      </c>
      <c r="E380" s="214"/>
      <c r="F380" s="211"/>
      <c r="G380" s="211"/>
      <c r="H380" s="211"/>
      <c r="I380" s="14">
        <f>data!CE76</f>
        <v>99240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34228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41624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217645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EvergreenHealth Monroe Year End Report</dc:title>
  <dc:subject>2018 EvergreenHealth Monroe Year End Report</dc:subject>
  <dc:creator>Washington State Dept of Health - HSQA - Community Health Systems</dc:creator>
  <cp:keywords>hospital financial reports</cp:keywords>
  <cp:lastModifiedBy>Huyck, Randall  (DOH)</cp:lastModifiedBy>
  <cp:lastPrinted>2019-06-18T21:22:23Z</cp:lastPrinted>
  <dcterms:created xsi:type="dcterms:W3CDTF">1999-06-02T22:01:56Z</dcterms:created>
  <dcterms:modified xsi:type="dcterms:W3CDTF">2019-09-24T15:10:45Z</dcterms:modified>
</cp:coreProperties>
</file>