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8800" windowHeight="1272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data!$A$44:$CE$80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615" i="1" l="1"/>
  <c r="A493" i="1" l="1"/>
  <c r="F493" i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7" i="10"/>
  <c r="M817" i="10"/>
  <c r="K817" i="10"/>
  <c r="J817" i="10"/>
  <c r="I817" i="10"/>
  <c r="H817" i="10"/>
  <c r="G817" i="10"/>
  <c r="F817" i="10"/>
  <c r="E817" i="10"/>
  <c r="D817" i="10"/>
  <c r="W815" i="10"/>
  <c r="X813" i="10"/>
  <c r="X815" i="10" s="1"/>
  <c r="W813" i="10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H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H773" i="10"/>
  <c r="C773" i="10"/>
  <c r="B773" i="10"/>
  <c r="A773" i="10"/>
  <c r="T772" i="10"/>
  <c r="S772" i="10"/>
  <c r="R772" i="10"/>
  <c r="Q772" i="10"/>
  <c r="P772" i="10"/>
  <c r="O772" i="10"/>
  <c r="M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K756" i="10"/>
  <c r="H756" i="10"/>
  <c r="F756" i="10"/>
  <c r="C756" i="10"/>
  <c r="A756" i="10"/>
  <c r="T755" i="10"/>
  <c r="S755" i="10"/>
  <c r="R755" i="10"/>
  <c r="Q755" i="10"/>
  <c r="P755" i="10"/>
  <c r="O755" i="10"/>
  <c r="M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O815" i="10" s="1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K734" i="10"/>
  <c r="I734" i="10"/>
  <c r="H734" i="10"/>
  <c r="G734" i="10"/>
  <c r="F734" i="10"/>
  <c r="D734" i="10"/>
  <c r="C734" i="10"/>
  <c r="C815" i="10" s="1"/>
  <c r="B734" i="10"/>
  <c r="A734" i="10"/>
  <c r="CF730" i="10"/>
  <c r="CE730" i="10"/>
  <c r="CD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B722" i="10"/>
  <c r="BZ722" i="10"/>
  <c r="BY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D722" i="10"/>
  <c r="AC722" i="10"/>
  <c r="AB722" i="10"/>
  <c r="AA722" i="10"/>
  <c r="Z722" i="10"/>
  <c r="Y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G722" i="10"/>
  <c r="F722" i="10"/>
  <c r="E722" i="10"/>
  <c r="D722" i="10"/>
  <c r="C722" i="10"/>
  <c r="B722" i="10"/>
  <c r="A722" i="10"/>
  <c r="C615" i="10"/>
  <c r="D612" i="10"/>
  <c r="F550" i="10"/>
  <c r="E550" i="10"/>
  <c r="E546" i="10"/>
  <c r="E545" i="10"/>
  <c r="H545" i="10"/>
  <c r="F544" i="10"/>
  <c r="E544" i="10"/>
  <c r="F540" i="10"/>
  <c r="E540" i="10"/>
  <c r="H540" i="10"/>
  <c r="E539" i="10"/>
  <c r="H538" i="10"/>
  <c r="E538" i="10"/>
  <c r="F538" i="10"/>
  <c r="H537" i="10"/>
  <c r="F537" i="10"/>
  <c r="E537" i="10"/>
  <c r="F536" i="10"/>
  <c r="E536" i="10"/>
  <c r="H536" i="10"/>
  <c r="E535" i="10"/>
  <c r="F535" i="10"/>
  <c r="E534" i="10"/>
  <c r="F534" i="10"/>
  <c r="F533" i="10"/>
  <c r="E533" i="10"/>
  <c r="H533" i="10"/>
  <c r="E532" i="10"/>
  <c r="H531" i="10"/>
  <c r="E531" i="10"/>
  <c r="F531" i="10"/>
  <c r="H530" i="10"/>
  <c r="E530" i="10"/>
  <c r="F530" i="10"/>
  <c r="E529" i="10"/>
  <c r="E528" i="10"/>
  <c r="H527" i="10"/>
  <c r="F527" i="10"/>
  <c r="E527" i="10"/>
  <c r="E526" i="10"/>
  <c r="F526" i="10"/>
  <c r="E525" i="10"/>
  <c r="E524" i="10"/>
  <c r="H523" i="10"/>
  <c r="F523" i="10"/>
  <c r="E523" i="10"/>
  <c r="E522" i="10"/>
  <c r="E520" i="10"/>
  <c r="F520" i="10"/>
  <c r="F519" i="10"/>
  <c r="E519" i="10"/>
  <c r="H519" i="10"/>
  <c r="E518" i="10"/>
  <c r="E517" i="10"/>
  <c r="E516" i="10"/>
  <c r="F516" i="10"/>
  <c r="E515" i="10"/>
  <c r="F515" i="10"/>
  <c r="E514" i="10"/>
  <c r="F513" i="10"/>
  <c r="F512" i="10"/>
  <c r="E511" i="10"/>
  <c r="E510" i="10"/>
  <c r="F509" i="10"/>
  <c r="E509" i="10"/>
  <c r="E508" i="10"/>
  <c r="F508" i="10"/>
  <c r="E507" i="10"/>
  <c r="E506" i="10"/>
  <c r="H505" i="10"/>
  <c r="F505" i="10"/>
  <c r="E505" i="10"/>
  <c r="H504" i="10"/>
  <c r="E504" i="10"/>
  <c r="F504" i="10"/>
  <c r="E503" i="10"/>
  <c r="E502" i="10"/>
  <c r="H501" i="10"/>
  <c r="F501" i="10"/>
  <c r="E501" i="10"/>
  <c r="H500" i="10"/>
  <c r="F500" i="10"/>
  <c r="E500" i="10"/>
  <c r="E499" i="10"/>
  <c r="E498" i="10"/>
  <c r="H497" i="10"/>
  <c r="F497" i="10"/>
  <c r="E497" i="10"/>
  <c r="E496" i="10"/>
  <c r="G493" i="10"/>
  <c r="E493" i="10"/>
  <c r="C493" i="10"/>
  <c r="A493" i="10"/>
  <c r="B478" i="10"/>
  <c r="B476" i="10"/>
  <c r="C475" i="10"/>
  <c r="B475" i="10"/>
  <c r="B474" i="10"/>
  <c r="B473" i="10"/>
  <c r="B472" i="10"/>
  <c r="C471" i="10"/>
  <c r="B471" i="10"/>
  <c r="B470" i="10"/>
  <c r="B469" i="10"/>
  <c r="B468" i="10"/>
  <c r="B464" i="10"/>
  <c r="B463" i="10"/>
  <c r="C459" i="10"/>
  <c r="B459" i="10"/>
  <c r="C458" i="10"/>
  <c r="B458" i="10"/>
  <c r="B455" i="10"/>
  <c r="B453" i="10"/>
  <c r="C448" i="10"/>
  <c r="C447" i="10"/>
  <c r="B447" i="10"/>
  <c r="C446" i="10"/>
  <c r="C445" i="10"/>
  <c r="C444" i="10"/>
  <c r="B444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C420" i="10"/>
  <c r="B420" i="10"/>
  <c r="D418" i="10"/>
  <c r="B418" i="10"/>
  <c r="B417" i="10"/>
  <c r="D415" i="10"/>
  <c r="C415" i="10"/>
  <c r="B415" i="10"/>
  <c r="B414" i="10"/>
  <c r="A412" i="10"/>
  <c r="C389" i="10"/>
  <c r="D372" i="10"/>
  <c r="D367" i="10"/>
  <c r="D361" i="10"/>
  <c r="B465" i="10" s="1"/>
  <c r="D330" i="10"/>
  <c r="D339" i="10" s="1"/>
  <c r="C482" i="10" s="1"/>
  <c r="D329" i="10"/>
  <c r="D328" i="10"/>
  <c r="D319" i="10"/>
  <c r="D314" i="10"/>
  <c r="D290" i="10"/>
  <c r="D283" i="10"/>
  <c r="D277" i="10"/>
  <c r="D292" i="10" s="1"/>
  <c r="D341" i="10" s="1"/>
  <c r="C481" i="10" s="1"/>
  <c r="D275" i="10"/>
  <c r="D265" i="10"/>
  <c r="D260" i="10"/>
  <c r="D240" i="10"/>
  <c r="C239" i="10"/>
  <c r="CC722" i="10" s="1"/>
  <c r="C233" i="10"/>
  <c r="C227" i="10"/>
  <c r="BX722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E202" i="10"/>
  <c r="C474" i="10" s="1"/>
  <c r="E201" i="10"/>
  <c r="E200" i="10"/>
  <c r="E199" i="10"/>
  <c r="C472" i="10" s="1"/>
  <c r="C199" i="10"/>
  <c r="AE722" i="10" s="1"/>
  <c r="E198" i="10"/>
  <c r="E197" i="10"/>
  <c r="C470" i="10" s="1"/>
  <c r="B197" i="10"/>
  <c r="X722" i="10" s="1"/>
  <c r="E196" i="10"/>
  <c r="C469" i="10" s="1"/>
  <c r="E195" i="10"/>
  <c r="D190" i="10"/>
  <c r="D186" i="10"/>
  <c r="D436" i="10" s="1"/>
  <c r="D181" i="10"/>
  <c r="D435" i="10" s="1"/>
  <c r="C175" i="10"/>
  <c r="C171" i="10"/>
  <c r="E154" i="10"/>
  <c r="E153" i="10"/>
  <c r="E152" i="10"/>
  <c r="E151" i="10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E138" i="10"/>
  <c r="C414" i="10" s="1"/>
  <c r="E127" i="10"/>
  <c r="CE80" i="10"/>
  <c r="CF79" i="10"/>
  <c r="CE79" i="10"/>
  <c r="CE78" i="10"/>
  <c r="CE77" i="10"/>
  <c r="G612" i="10" s="1"/>
  <c r="CE76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C75" i="10"/>
  <c r="N734" i="10" s="1"/>
  <c r="AV74" i="10"/>
  <c r="AV75" i="10" s="1"/>
  <c r="N779" i="10" s="1"/>
  <c r="AP74" i="10"/>
  <c r="AP75" i="10" s="1"/>
  <c r="N773" i="10" s="1"/>
  <c r="CE73" i="10"/>
  <c r="CD71" i="10"/>
  <c r="C575" i="10" s="1"/>
  <c r="CE70" i="10"/>
  <c r="M816" i="10" s="1"/>
  <c r="CC69" i="10"/>
  <c r="L812" i="10" s="1"/>
  <c r="BY69" i="10"/>
  <c r="L808" i="10" s="1"/>
  <c r="BX69" i="10"/>
  <c r="L807" i="10" s="1"/>
  <c r="BW69" i="10"/>
  <c r="L806" i="10" s="1"/>
  <c r="BV69" i="10"/>
  <c r="L805" i="10" s="1"/>
  <c r="BN69" i="10"/>
  <c r="L797" i="10" s="1"/>
  <c r="BL69" i="10"/>
  <c r="L795" i="10" s="1"/>
  <c r="BF69" i="10"/>
  <c r="L789" i="10" s="1"/>
  <c r="BE69" i="10"/>
  <c r="L788" i="10" s="1"/>
  <c r="BD69" i="10"/>
  <c r="L787" i="10" s="1"/>
  <c r="AY69" i="10"/>
  <c r="L782" i="10" s="1"/>
  <c r="AP69" i="10"/>
  <c r="L773" i="10" s="1"/>
  <c r="AO69" i="10"/>
  <c r="L772" i="10" s="1"/>
  <c r="AJ69" i="10"/>
  <c r="L767" i="10" s="1"/>
  <c r="AG69" i="10"/>
  <c r="L764" i="10" s="1"/>
  <c r="AE69" i="10"/>
  <c r="L762" i="10" s="1"/>
  <c r="AC69" i="10"/>
  <c r="L760" i="10" s="1"/>
  <c r="AB69" i="10"/>
  <c r="L759" i="10" s="1"/>
  <c r="AA69" i="10"/>
  <c r="L758" i="10" s="1"/>
  <c r="Y69" i="10"/>
  <c r="L756" i="10" s="1"/>
  <c r="X69" i="10"/>
  <c r="L755" i="10" s="1"/>
  <c r="U69" i="10"/>
  <c r="L752" i="10" s="1"/>
  <c r="S69" i="10"/>
  <c r="L750" i="10" s="1"/>
  <c r="R69" i="10"/>
  <c r="L749" i="10" s="1"/>
  <c r="Q69" i="10"/>
  <c r="L748" i="10" s="1"/>
  <c r="P69" i="10"/>
  <c r="L747" i="10" s="1"/>
  <c r="F69" i="10"/>
  <c r="L737" i="10" s="1"/>
  <c r="E69" i="10"/>
  <c r="L736" i="10" s="1"/>
  <c r="C69" i="10"/>
  <c r="AP68" i="10"/>
  <c r="CC66" i="10"/>
  <c r="I812" i="10" s="1"/>
  <c r="AP66" i="10"/>
  <c r="I773" i="10" s="1"/>
  <c r="Y66" i="10"/>
  <c r="CE65" i="10"/>
  <c r="H816" i="10" s="1"/>
  <c r="CC64" i="10"/>
  <c r="G812" i="10" s="1"/>
  <c r="AP64" i="10"/>
  <c r="G773" i="10" s="1"/>
  <c r="Y64" i="10"/>
  <c r="G756" i="10" s="1"/>
  <c r="CC63" i="10"/>
  <c r="F812" i="10" s="1"/>
  <c r="AP63" i="10"/>
  <c r="AP61" i="10"/>
  <c r="Y61" i="10"/>
  <c r="CE60" i="10"/>
  <c r="Y59" i="10"/>
  <c r="B756" i="10" s="1"/>
  <c r="B53" i="10"/>
  <c r="CE51" i="10"/>
  <c r="B49" i="10"/>
  <c r="CE47" i="10"/>
  <c r="B440" i="10" l="1"/>
  <c r="N735" i="10"/>
  <c r="N815" i="10" s="1"/>
  <c r="CE75" i="10"/>
  <c r="D773" i="10"/>
  <c r="H528" i="10"/>
  <c r="F528" i="10"/>
  <c r="K773" i="10"/>
  <c r="K815" i="10" s="1"/>
  <c r="CE68" i="10"/>
  <c r="C468" i="10"/>
  <c r="E204" i="10"/>
  <c r="C476" i="10" s="1"/>
  <c r="F773" i="10"/>
  <c r="CE63" i="10"/>
  <c r="L734" i="10"/>
  <c r="L815" i="10" s="1"/>
  <c r="C439" i="10"/>
  <c r="CE69" i="10"/>
  <c r="D756" i="10"/>
  <c r="CE61" i="10"/>
  <c r="E217" i="10"/>
  <c r="C478" i="10" s="1"/>
  <c r="F498" i="10"/>
  <c r="S816" i="10"/>
  <c r="J612" i="10"/>
  <c r="I756" i="10"/>
  <c r="I815" i="10" s="1"/>
  <c r="CE66" i="10"/>
  <c r="D437" i="10"/>
  <c r="D438" i="10"/>
  <c r="C473" i="10"/>
  <c r="L817" i="10"/>
  <c r="CC730" i="10"/>
  <c r="B439" i="10"/>
  <c r="F511" i="10"/>
  <c r="F517" i="10"/>
  <c r="H525" i="10"/>
  <c r="F525" i="10"/>
  <c r="H532" i="10"/>
  <c r="F532" i="10"/>
  <c r="F539" i="10"/>
  <c r="H539" i="10"/>
  <c r="O816" i="10"/>
  <c r="C463" i="10"/>
  <c r="T816" i="10"/>
  <c r="L612" i="10"/>
  <c r="D390" i="10"/>
  <c r="B441" i="10" s="1"/>
  <c r="H502" i="10"/>
  <c r="F502" i="10"/>
  <c r="F521" i="10"/>
  <c r="H722" i="10"/>
  <c r="D173" i="10"/>
  <c r="D428" i="10" s="1"/>
  <c r="F499" i="10"/>
  <c r="F514" i="10"/>
  <c r="F529" i="10"/>
  <c r="D463" i="10"/>
  <c r="D465" i="10" s="1"/>
  <c r="I722" i="10"/>
  <c r="D177" i="10"/>
  <c r="D434" i="10" s="1"/>
  <c r="CA722" i="10"/>
  <c r="B454" i="10"/>
  <c r="H506" i="10"/>
  <c r="F506" i="10"/>
  <c r="F518" i="10"/>
  <c r="R815" i="10"/>
  <c r="G815" i="10"/>
  <c r="H507" i="10"/>
  <c r="F507" i="10"/>
  <c r="CE64" i="10"/>
  <c r="CE74" i="10"/>
  <c r="C464" i="10" s="1"/>
  <c r="P816" i="10"/>
  <c r="CF76" i="10"/>
  <c r="D236" i="10"/>
  <c r="B446" i="10" s="1"/>
  <c r="C431" i="10"/>
  <c r="F510" i="10"/>
  <c r="F524" i="10"/>
  <c r="F546" i="10"/>
  <c r="BI730" i="10"/>
  <c r="C816" i="10"/>
  <c r="H612" i="10"/>
  <c r="Q816" i="10"/>
  <c r="CF77" i="10"/>
  <c r="N817" i="10"/>
  <c r="D368" i="10"/>
  <c r="D373" i="10" s="1"/>
  <c r="D391" i="10" s="1"/>
  <c r="D393" i="10" s="1"/>
  <c r="D396" i="10" s="1"/>
  <c r="F503" i="10"/>
  <c r="D242" i="10"/>
  <c r="B448" i="10" s="1"/>
  <c r="R816" i="10"/>
  <c r="I612" i="10"/>
  <c r="D229" i="10"/>
  <c r="B445" i="10" s="1"/>
  <c r="F496" i="10"/>
  <c r="F522" i="10"/>
  <c r="F545" i="10"/>
  <c r="F815" i="10"/>
  <c r="P815" i="10"/>
  <c r="D815" i="10"/>
  <c r="M815" i="10"/>
  <c r="H815" i="10"/>
  <c r="Q815" i="10"/>
  <c r="S815" i="10"/>
  <c r="T815" i="10"/>
  <c r="BY52" i="10" l="1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BM52" i="10"/>
  <c r="BM67" i="10" s="1"/>
  <c r="J796" i="10" s="1"/>
  <c r="Y52" i="10"/>
  <c r="Y67" i="10" s="1"/>
  <c r="J756" i="10" s="1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AW52" i="10"/>
  <c r="AW67" i="10" s="1"/>
  <c r="J780" i="10" s="1"/>
  <c r="I52" i="10"/>
  <c r="I67" i="10" s="1"/>
  <c r="J740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N52" i="10"/>
  <c r="BN67" i="10" s="1"/>
  <c r="J797" i="10" s="1"/>
  <c r="BF52" i="10"/>
  <c r="BF67" i="10" s="1"/>
  <c r="J789" i="10" s="1"/>
  <c r="AP52" i="10"/>
  <c r="AP67" i="10" s="1"/>
  <c r="J773" i="10" s="1"/>
  <c r="AH52" i="10"/>
  <c r="AH67" i="10" s="1"/>
  <c r="J765" i="10" s="1"/>
  <c r="R52" i="10"/>
  <c r="R67" i="10" s="1"/>
  <c r="J749" i="10" s="1"/>
  <c r="BU52" i="10"/>
  <c r="BU67" i="10" s="1"/>
  <c r="J804" i="10" s="1"/>
  <c r="AG52" i="10"/>
  <c r="AG67" i="10" s="1"/>
  <c r="J764" i="10" s="1"/>
  <c r="BV52" i="10"/>
  <c r="BV67" i="10" s="1"/>
  <c r="J805" i="10" s="1"/>
  <c r="AX52" i="10"/>
  <c r="AX67" i="10" s="1"/>
  <c r="J781" i="10" s="1"/>
  <c r="Z52" i="10"/>
  <c r="Z67" i="10" s="1"/>
  <c r="J757" i="10" s="1"/>
  <c r="J52" i="10"/>
  <c r="J67" i="10" s="1"/>
  <c r="J741" i="10" s="1"/>
  <c r="CC52" i="10"/>
  <c r="CC67" i="10" s="1"/>
  <c r="J812" i="10" s="1"/>
  <c r="AO52" i="10"/>
  <c r="AO67" i="10" s="1"/>
  <c r="J772" i="10" s="1"/>
  <c r="BE52" i="10"/>
  <c r="BE67" i="10" s="1"/>
  <c r="J788" i="10" s="1"/>
  <c r="Q52" i="10"/>
  <c r="Q67" i="10" s="1"/>
  <c r="J748" i="10" s="1"/>
  <c r="CB52" i="10"/>
  <c r="CB67" i="10" s="1"/>
  <c r="J811" i="10" s="1"/>
  <c r="BT52" i="10"/>
  <c r="BT67" i="10" s="1"/>
  <c r="J803" i="10" s="1"/>
  <c r="BL52" i="10"/>
  <c r="BL67" i="10" s="1"/>
  <c r="J795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BZ52" i="10"/>
  <c r="BZ67" i="10" s="1"/>
  <c r="J809" i="10" s="1"/>
  <c r="AT52" i="10"/>
  <c r="AT67" i="10" s="1"/>
  <c r="J777" i="10" s="1"/>
  <c r="N52" i="10"/>
  <c r="N67" i="10" s="1"/>
  <c r="J745" i="10" s="1"/>
  <c r="BS52" i="10"/>
  <c r="BS67" i="10" s="1"/>
  <c r="J802" i="10" s="1"/>
  <c r="AM52" i="10"/>
  <c r="AM67" i="10" s="1"/>
  <c r="J770" i="10" s="1"/>
  <c r="G52" i="10"/>
  <c r="G67" i="10" s="1"/>
  <c r="J738" i="10" s="1"/>
  <c r="AE52" i="10"/>
  <c r="AE67" i="10" s="1"/>
  <c r="J762" i="10" s="1"/>
  <c r="AU52" i="10"/>
  <c r="AU67" i="10" s="1"/>
  <c r="J778" i="10" s="1"/>
  <c r="BR52" i="10"/>
  <c r="BR67" i="10" s="1"/>
  <c r="J801" i="10" s="1"/>
  <c r="AL52" i="10"/>
  <c r="AL67" i="10" s="1"/>
  <c r="J769" i="10" s="1"/>
  <c r="F52" i="10"/>
  <c r="F67" i="10" s="1"/>
  <c r="J737" i="10" s="1"/>
  <c r="BK52" i="10"/>
  <c r="BK67" i="10" s="1"/>
  <c r="J794" i="10" s="1"/>
  <c r="BJ52" i="10"/>
  <c r="BJ67" i="10" s="1"/>
  <c r="J793" i="10" s="1"/>
  <c r="V52" i="10"/>
  <c r="V67" i="10" s="1"/>
  <c r="J753" i="10" s="1"/>
  <c r="O52" i="10"/>
  <c r="O67" i="10" s="1"/>
  <c r="J746" i="10" s="1"/>
  <c r="AD52" i="10"/>
  <c r="AD67" i="10" s="1"/>
  <c r="J761" i="10" s="1"/>
  <c r="CA52" i="10"/>
  <c r="CA67" i="10" s="1"/>
  <c r="J810" i="10" s="1"/>
  <c r="BC52" i="10"/>
  <c r="BC67" i="10" s="1"/>
  <c r="J786" i="10" s="1"/>
  <c r="W52" i="10"/>
  <c r="W67" i="10" s="1"/>
  <c r="J754" i="10" s="1"/>
  <c r="BB52" i="10"/>
  <c r="BB67" i="10" s="1"/>
  <c r="J785" i="10" s="1"/>
  <c r="D816" i="10"/>
  <c r="C427" i="10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O48" i="10"/>
  <c r="BO62" i="10" s="1"/>
  <c r="S48" i="10"/>
  <c r="S62" i="10" s="1"/>
  <c r="AH48" i="10"/>
  <c r="AH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AY48" i="10"/>
  <c r="AY62" i="10" s="1"/>
  <c r="AA48" i="10"/>
  <c r="AA62" i="10" s="1"/>
  <c r="C48" i="10"/>
  <c r="J48" i="10"/>
  <c r="J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P48" i="10"/>
  <c r="BP62" i="10" s="1"/>
  <c r="AZ48" i="10"/>
  <c r="AZ62" i="10" s="1"/>
  <c r="AR48" i="10"/>
  <c r="AR62" i="10" s="1"/>
  <c r="T48" i="10"/>
  <c r="T62" i="10" s="1"/>
  <c r="D48" i="10"/>
  <c r="D62" i="10" s="1"/>
  <c r="AI48" i="10"/>
  <c r="AI62" i="10" s="1"/>
  <c r="AP48" i="10"/>
  <c r="AP62" i="10" s="1"/>
  <c r="BX48" i="10"/>
  <c r="BX62" i="10" s="1"/>
  <c r="BH48" i="10"/>
  <c r="BH62" i="10" s="1"/>
  <c r="AJ48" i="10"/>
  <c r="AJ62" i="10" s="1"/>
  <c r="AB48" i="10"/>
  <c r="AB62" i="10" s="1"/>
  <c r="L48" i="10"/>
  <c r="L62" i="10" s="1"/>
  <c r="BW48" i="10"/>
  <c r="BW62" i="10" s="1"/>
  <c r="AQ48" i="10"/>
  <c r="AQ62" i="10" s="1"/>
  <c r="Z48" i="10"/>
  <c r="Z62" i="10" s="1"/>
  <c r="BG48" i="10"/>
  <c r="BG62" i="10" s="1"/>
  <c r="K48" i="10"/>
  <c r="K62" i="10" s="1"/>
  <c r="R48" i="10"/>
  <c r="R62" i="10" s="1"/>
  <c r="BV48" i="10"/>
  <c r="BV62" i="10" s="1"/>
  <c r="BN48" i="10"/>
  <c r="BN62" i="10" s="1"/>
  <c r="BF48" i="10"/>
  <c r="BF62" i="10" s="1"/>
  <c r="AX48" i="10"/>
  <c r="AX62" i="10" s="1"/>
  <c r="BT48" i="10"/>
  <c r="BT62" i="10" s="1"/>
  <c r="AN48" i="10"/>
  <c r="AN62" i="10" s="1"/>
  <c r="H48" i="10"/>
  <c r="H62" i="10" s="1"/>
  <c r="CB48" i="10"/>
  <c r="CB62" i="10" s="1"/>
  <c r="BM48" i="10"/>
  <c r="BM62" i="10" s="1"/>
  <c r="AG48" i="10"/>
  <c r="AG62" i="10" s="1"/>
  <c r="Y48" i="10"/>
  <c r="Y62" i="10" s="1"/>
  <c r="X48" i="10"/>
  <c r="X62" i="10" s="1"/>
  <c r="AV48" i="10"/>
  <c r="AV62" i="10" s="1"/>
  <c r="I48" i="10"/>
  <c r="I62" i="10" s="1"/>
  <c r="BL48" i="10"/>
  <c r="BL62" i="10" s="1"/>
  <c r="AF48" i="10"/>
  <c r="AF62" i="10" s="1"/>
  <c r="BE48" i="10"/>
  <c r="BE62" i="10" s="1"/>
  <c r="BD48" i="10"/>
  <c r="BD62" i="10" s="1"/>
  <c r="P48" i="10"/>
  <c r="P62" i="10" s="1"/>
  <c r="CC48" i="10"/>
  <c r="CC62" i="10" s="1"/>
  <c r="AW48" i="10"/>
  <c r="AW62" i="10" s="1"/>
  <c r="Q48" i="10"/>
  <c r="Q62" i="10" s="1"/>
  <c r="BU48" i="10"/>
  <c r="BU62" i="10" s="1"/>
  <c r="AO48" i="10"/>
  <c r="AO62" i="10" s="1"/>
  <c r="F816" i="10"/>
  <c r="C429" i="10"/>
  <c r="G816" i="10"/>
  <c r="C430" i="10"/>
  <c r="F612" i="10"/>
  <c r="I816" i="10"/>
  <c r="C432" i="10"/>
  <c r="N816" i="10"/>
  <c r="K612" i="10"/>
  <c r="C465" i="10"/>
  <c r="L816" i="10"/>
  <c r="C440" i="10"/>
  <c r="K816" i="10"/>
  <c r="C434" i="10"/>
  <c r="E767" i="10" l="1"/>
  <c r="AJ71" i="10"/>
  <c r="E748" i="10"/>
  <c r="Q71" i="10"/>
  <c r="E740" i="10"/>
  <c r="I71" i="10"/>
  <c r="E771" i="10"/>
  <c r="AN71" i="10"/>
  <c r="E790" i="10"/>
  <c r="BG71" i="10"/>
  <c r="E807" i="10"/>
  <c r="BX71" i="10"/>
  <c r="E736" i="10"/>
  <c r="E71" i="10"/>
  <c r="E800" i="10"/>
  <c r="BQ71" i="10"/>
  <c r="E753" i="10"/>
  <c r="V71" i="10"/>
  <c r="E765" i="10"/>
  <c r="AH71" i="10"/>
  <c r="E778" i="10"/>
  <c r="AU71" i="10"/>
  <c r="E811" i="10"/>
  <c r="CB71" i="10"/>
  <c r="E737" i="10"/>
  <c r="F71" i="10"/>
  <c r="E804" i="10"/>
  <c r="BU71" i="10"/>
  <c r="E742" i="10"/>
  <c r="K71" i="10"/>
  <c r="E791" i="10"/>
  <c r="BH71" i="10"/>
  <c r="E799" i="10"/>
  <c r="BP71" i="10"/>
  <c r="E792" i="10"/>
  <c r="BI71" i="10"/>
  <c r="E745" i="10"/>
  <c r="N71" i="10"/>
  <c r="E809" i="10"/>
  <c r="BZ71" i="10"/>
  <c r="E770" i="10"/>
  <c r="AM71" i="10"/>
  <c r="E780" i="10"/>
  <c r="AW71" i="10"/>
  <c r="E779" i="10"/>
  <c r="AV71" i="10"/>
  <c r="E803" i="10"/>
  <c r="BT71" i="10"/>
  <c r="E757" i="10"/>
  <c r="Z71" i="10"/>
  <c r="E773" i="10"/>
  <c r="AP71" i="10"/>
  <c r="E744" i="10"/>
  <c r="M71" i="10"/>
  <c r="E808" i="10"/>
  <c r="BY71" i="10"/>
  <c r="E761" i="10"/>
  <c r="AD71" i="10"/>
  <c r="E750" i="10"/>
  <c r="S71" i="10"/>
  <c r="E786" i="10"/>
  <c r="BC71" i="10"/>
  <c r="E749" i="10"/>
  <c r="R71" i="10"/>
  <c r="E812" i="10"/>
  <c r="CC71" i="10"/>
  <c r="E755" i="10"/>
  <c r="X71" i="10"/>
  <c r="E781" i="10"/>
  <c r="AX71" i="10"/>
  <c r="E774" i="10"/>
  <c r="AQ71" i="10"/>
  <c r="E766" i="10"/>
  <c r="AI71" i="10"/>
  <c r="E752" i="10"/>
  <c r="U71" i="10"/>
  <c r="E741" i="10"/>
  <c r="J71" i="10"/>
  <c r="AL71" i="10"/>
  <c r="E769" i="10"/>
  <c r="E798" i="10"/>
  <c r="BO71" i="10"/>
  <c r="E794" i="10"/>
  <c r="BK71" i="10"/>
  <c r="E772" i="10"/>
  <c r="AO71" i="10"/>
  <c r="E783" i="10"/>
  <c r="AZ71" i="10"/>
  <c r="E762" i="10"/>
  <c r="AE71" i="10"/>
  <c r="E795" i="10"/>
  <c r="BL71" i="10"/>
  <c r="E747" i="10"/>
  <c r="P71" i="10"/>
  <c r="E789" i="10"/>
  <c r="BF71" i="10"/>
  <c r="E735" i="10"/>
  <c r="D71" i="10"/>
  <c r="E802" i="10"/>
  <c r="BS71" i="10"/>
  <c r="E763" i="10"/>
  <c r="AF71" i="10"/>
  <c r="E784" i="10"/>
  <c r="BA71" i="10"/>
  <c r="E801" i="10"/>
  <c r="BR71" i="10"/>
  <c r="E739" i="10"/>
  <c r="H71" i="10"/>
  <c r="E756" i="10"/>
  <c r="Y71" i="10"/>
  <c r="E806" i="10"/>
  <c r="BW71" i="10"/>
  <c r="E760" i="10"/>
  <c r="AC71" i="10"/>
  <c r="C62" i="10"/>
  <c r="CE48" i="10"/>
  <c r="E777" i="10"/>
  <c r="AT71" i="10"/>
  <c r="E738" i="10"/>
  <c r="G71" i="10"/>
  <c r="E787" i="10"/>
  <c r="BD71" i="10"/>
  <c r="E764" i="10"/>
  <c r="AG71" i="10"/>
  <c r="E797" i="10"/>
  <c r="BN71" i="10"/>
  <c r="E743" i="10"/>
  <c r="L71" i="10"/>
  <c r="E751" i="10"/>
  <c r="T71" i="10"/>
  <c r="E768" i="10"/>
  <c r="AK71" i="10"/>
  <c r="E758" i="10"/>
  <c r="AA71" i="10"/>
  <c r="E785" i="10"/>
  <c r="BB71" i="10"/>
  <c r="E746" i="10"/>
  <c r="O71" i="10"/>
  <c r="E810" i="10"/>
  <c r="CA71" i="10"/>
  <c r="CE52" i="10"/>
  <c r="C67" i="10"/>
  <c r="E788" i="10"/>
  <c r="BE71" i="10"/>
  <c r="E796" i="10"/>
  <c r="BM71" i="10"/>
  <c r="E805" i="10"/>
  <c r="BV71" i="10"/>
  <c r="E759" i="10"/>
  <c r="AB71" i="10"/>
  <c r="E775" i="10"/>
  <c r="AR71" i="10"/>
  <c r="E776" i="10"/>
  <c r="AS71" i="10"/>
  <c r="AY71" i="10"/>
  <c r="E782" i="10"/>
  <c r="E793" i="10"/>
  <c r="BJ71" i="10"/>
  <c r="E754" i="10"/>
  <c r="W71" i="10"/>
  <c r="C562" i="10" l="1"/>
  <c r="C623" i="10"/>
  <c r="C692" i="10"/>
  <c r="C520" i="10"/>
  <c r="C681" i="10"/>
  <c r="C509" i="10"/>
  <c r="C548" i="10"/>
  <c r="C633" i="10"/>
  <c r="C506" i="10"/>
  <c r="G506" i="10" s="1"/>
  <c r="C678" i="10"/>
  <c r="C713" i="10"/>
  <c r="C541" i="10"/>
  <c r="C679" i="10"/>
  <c r="C507" i="10"/>
  <c r="G507" i="10" s="1"/>
  <c r="C676" i="10"/>
  <c r="C504" i="10"/>
  <c r="G504" i="10" s="1"/>
  <c r="C712" i="10"/>
  <c r="C540" i="10"/>
  <c r="G540" i="10" s="1"/>
  <c r="C498" i="10"/>
  <c r="C670" i="10"/>
  <c r="C674" i="10"/>
  <c r="C502" i="10"/>
  <c r="G502" i="10" s="1"/>
  <c r="C703" i="10"/>
  <c r="C531" i="10"/>
  <c r="G531" i="10" s="1"/>
  <c r="C565" i="10"/>
  <c r="C640" i="10"/>
  <c r="C693" i="10"/>
  <c r="C521" i="10"/>
  <c r="C616" i="10"/>
  <c r="C543" i="10"/>
  <c r="C572" i="10"/>
  <c r="C647" i="10"/>
  <c r="C698" i="10"/>
  <c r="C526" i="10"/>
  <c r="C635" i="10"/>
  <c r="C556" i="10"/>
  <c r="C686" i="10"/>
  <c r="C514" i="10"/>
  <c r="C689" i="10"/>
  <c r="C517" i="10"/>
  <c r="C683" i="10"/>
  <c r="C511" i="10"/>
  <c r="C646" i="10"/>
  <c r="C571" i="10"/>
  <c r="C711" i="10"/>
  <c r="C539" i="10"/>
  <c r="G539" i="10" s="1"/>
  <c r="C675" i="10"/>
  <c r="C503" i="10"/>
  <c r="C642" i="10"/>
  <c r="C567" i="10"/>
  <c r="C564" i="10"/>
  <c r="C639" i="10"/>
  <c r="C544" i="10"/>
  <c r="C625" i="10"/>
  <c r="E734" i="10"/>
  <c r="E815" i="10" s="1"/>
  <c r="CE62" i="10"/>
  <c r="C71" i="10"/>
  <c r="C684" i="10"/>
  <c r="C512" i="10"/>
  <c r="C707" i="10"/>
  <c r="C535" i="10"/>
  <c r="C631" i="10"/>
  <c r="C542" i="10"/>
  <c r="C554" i="10"/>
  <c r="C634" i="10"/>
  <c r="C566" i="10"/>
  <c r="C641" i="10"/>
  <c r="C699" i="10"/>
  <c r="C527" i="10"/>
  <c r="G527" i="10" s="1"/>
  <c r="C644" i="10"/>
  <c r="C569" i="10"/>
  <c r="C510" i="10"/>
  <c r="C682" i="10"/>
  <c r="C570" i="10"/>
  <c r="C645" i="10"/>
  <c r="C553" i="10"/>
  <c r="C636" i="10"/>
  <c r="C617" i="10"/>
  <c r="C555" i="10"/>
  <c r="C690" i="10"/>
  <c r="C518" i="10"/>
  <c r="C702" i="10"/>
  <c r="C530" i="10"/>
  <c r="G530" i="10" s="1"/>
  <c r="C501" i="10"/>
  <c r="G501" i="10" s="1"/>
  <c r="C673" i="10"/>
  <c r="C710" i="10"/>
  <c r="C538" i="10"/>
  <c r="G538" i="10" s="1"/>
  <c r="C558" i="10"/>
  <c r="C638" i="10"/>
  <c r="C680" i="10"/>
  <c r="C508" i="10"/>
  <c r="C685" i="10"/>
  <c r="C513" i="10"/>
  <c r="C624" i="10"/>
  <c r="C549" i="10"/>
  <c r="C694" i="10"/>
  <c r="C522" i="10"/>
  <c r="C626" i="10"/>
  <c r="C563" i="10"/>
  <c r="C669" i="10"/>
  <c r="C497" i="10"/>
  <c r="G497" i="10" s="1"/>
  <c r="C696" i="10"/>
  <c r="C524" i="10"/>
  <c r="C560" i="10"/>
  <c r="C627" i="10"/>
  <c r="C700" i="10"/>
  <c r="C528" i="10"/>
  <c r="G528" i="10" s="1"/>
  <c r="C574" i="10"/>
  <c r="C620" i="10"/>
  <c r="C622" i="10"/>
  <c r="C573" i="10"/>
  <c r="C559" i="10"/>
  <c r="C619" i="10"/>
  <c r="C706" i="10"/>
  <c r="C534" i="10"/>
  <c r="C637" i="10"/>
  <c r="C557" i="10"/>
  <c r="C695" i="10"/>
  <c r="C523" i="10"/>
  <c r="G523" i="10" s="1"/>
  <c r="C691" i="10"/>
  <c r="C519" i="10"/>
  <c r="G519" i="10" s="1"/>
  <c r="C704" i="10"/>
  <c r="C532" i="10"/>
  <c r="G532" i="10" s="1"/>
  <c r="C621" i="10"/>
  <c r="C561" i="10"/>
  <c r="C671" i="10"/>
  <c r="C499" i="10"/>
  <c r="C687" i="10"/>
  <c r="C515" i="10"/>
  <c r="C552" i="10"/>
  <c r="C618" i="10"/>
  <c r="C701" i="10"/>
  <c r="C529" i="10"/>
  <c r="C705" i="10"/>
  <c r="C533" i="10"/>
  <c r="G533" i="10" s="1"/>
  <c r="J734" i="10"/>
  <c r="J815" i="10" s="1"/>
  <c r="CE67" i="10"/>
  <c r="C697" i="10"/>
  <c r="C525" i="10"/>
  <c r="G525" i="10" s="1"/>
  <c r="C688" i="10"/>
  <c r="C516" i="10"/>
  <c r="C709" i="10"/>
  <c r="C537" i="10"/>
  <c r="G537" i="10" s="1"/>
  <c r="C614" i="10"/>
  <c r="C550" i="10"/>
  <c r="C632" i="10"/>
  <c r="C547" i="10"/>
  <c r="C677" i="10"/>
  <c r="C505" i="10"/>
  <c r="G505" i="10" s="1"/>
  <c r="C672" i="10"/>
  <c r="C500" i="10"/>
  <c r="G500" i="10" s="1"/>
  <c r="C568" i="10"/>
  <c r="C643" i="10"/>
  <c r="C630" i="10"/>
  <c r="C546" i="10"/>
  <c r="C629" i="10"/>
  <c r="C551" i="10"/>
  <c r="C545" i="10"/>
  <c r="G545" i="10" s="1"/>
  <c r="C628" i="10"/>
  <c r="C708" i="10"/>
  <c r="C536" i="10"/>
  <c r="G536" i="10" s="1"/>
  <c r="C648" i="10" l="1"/>
  <c r="M716" i="10" s="1"/>
  <c r="Y816" i="10" s="1"/>
  <c r="D615" i="10"/>
  <c r="E816" i="10"/>
  <c r="C428" i="10"/>
  <c r="CE71" i="10"/>
  <c r="C716" i="10" s="1"/>
  <c r="G499" i="10"/>
  <c r="H499" i="10"/>
  <c r="G510" i="10"/>
  <c r="H510" i="10"/>
  <c r="G503" i="10"/>
  <c r="H503" i="10" s="1"/>
  <c r="G517" i="10"/>
  <c r="H517" i="10" s="1"/>
  <c r="G524" i="10"/>
  <c r="H524" i="10"/>
  <c r="G514" i="10"/>
  <c r="H514" i="10" s="1"/>
  <c r="G509" i="10"/>
  <c r="H509" i="10"/>
  <c r="G516" i="10"/>
  <c r="H516" i="10" s="1"/>
  <c r="G513" i="10"/>
  <c r="H513" i="10"/>
  <c r="G535" i="10"/>
  <c r="H535" i="10" s="1"/>
  <c r="G521" i="10"/>
  <c r="H521" i="10"/>
  <c r="G520" i="10"/>
  <c r="H520" i="10" s="1"/>
  <c r="G546" i="10"/>
  <c r="H546" i="10"/>
  <c r="H534" i="10"/>
  <c r="G534" i="10"/>
  <c r="G508" i="10"/>
  <c r="H508" i="10" s="1"/>
  <c r="G512" i="10"/>
  <c r="H512" i="10"/>
  <c r="G498" i="10"/>
  <c r="H498" i="10"/>
  <c r="G529" i="10"/>
  <c r="H529" i="10"/>
  <c r="G544" i="10"/>
  <c r="H544" i="10"/>
  <c r="G511" i="10"/>
  <c r="H511" i="10"/>
  <c r="H526" i="10"/>
  <c r="G526" i="10"/>
  <c r="G550" i="10"/>
  <c r="H550" i="10" s="1"/>
  <c r="J816" i="10"/>
  <c r="C433" i="10"/>
  <c r="G515" i="10"/>
  <c r="H515" i="10"/>
  <c r="H522" i="10"/>
  <c r="G522" i="10"/>
  <c r="G518" i="10"/>
  <c r="H518" i="10" s="1"/>
  <c r="C668" i="10"/>
  <c r="C715" i="10" s="1"/>
  <c r="C496" i="10"/>
  <c r="C441" i="10" l="1"/>
  <c r="D706" i="10"/>
  <c r="D698" i="10"/>
  <c r="D690" i="10"/>
  <c r="D711" i="10"/>
  <c r="D703" i="10"/>
  <c r="D695" i="10"/>
  <c r="D687" i="10"/>
  <c r="D716" i="10"/>
  <c r="D696" i="10"/>
  <c r="D694" i="10"/>
  <c r="D692" i="10"/>
  <c r="D683" i="10"/>
  <c r="D693" i="10"/>
  <c r="D691" i="10"/>
  <c r="D689" i="10"/>
  <c r="D680" i="10"/>
  <c r="D712" i="10"/>
  <c r="D688" i="10"/>
  <c r="D686" i="10"/>
  <c r="D682" i="10"/>
  <c r="D674" i="10"/>
  <c r="D710" i="10"/>
  <c r="D704" i="10"/>
  <c r="D702" i="10"/>
  <c r="D700" i="10"/>
  <c r="D681" i="10"/>
  <c r="D673" i="10"/>
  <c r="D701" i="10"/>
  <c r="D676" i="10"/>
  <c r="D675" i="10"/>
  <c r="D642" i="10"/>
  <c r="D638" i="10"/>
  <c r="D632" i="10"/>
  <c r="D620" i="10"/>
  <c r="D616" i="10"/>
  <c r="D705" i="10"/>
  <c r="D677" i="10"/>
  <c r="D672" i="10"/>
  <c r="D671" i="10"/>
  <c r="D670" i="10"/>
  <c r="D647" i="10"/>
  <c r="D633" i="10"/>
  <c r="D627" i="10"/>
  <c r="D699" i="10"/>
  <c r="D644" i="10"/>
  <c r="D640" i="10"/>
  <c r="D636" i="10"/>
  <c r="D628" i="10"/>
  <c r="D622" i="10"/>
  <c r="D618" i="10"/>
  <c r="D685" i="10"/>
  <c r="D646" i="10"/>
  <c r="D679" i="10"/>
  <c r="D630" i="10"/>
  <c r="D621" i="10"/>
  <c r="D709" i="10"/>
  <c r="D684" i="10"/>
  <c r="D669" i="10"/>
  <c r="D639" i="10"/>
  <c r="D637" i="10"/>
  <c r="D635" i="10"/>
  <c r="D625" i="10"/>
  <c r="D708" i="10"/>
  <c r="D645" i="10"/>
  <c r="D643" i="10"/>
  <c r="D641" i="10"/>
  <c r="D619" i="10"/>
  <c r="D634" i="10"/>
  <c r="D617" i="10"/>
  <c r="D626" i="10"/>
  <c r="D697" i="10"/>
  <c r="D713" i="10"/>
  <c r="D678" i="10"/>
  <c r="D629" i="10"/>
  <c r="D624" i="10"/>
  <c r="D623" i="10"/>
  <c r="D668" i="10"/>
  <c r="D631" i="10"/>
  <c r="D707" i="10"/>
  <c r="H496" i="10"/>
  <c r="G496" i="10"/>
  <c r="E612" i="10" l="1"/>
  <c r="D715" i="10"/>
  <c r="E623" i="10"/>
  <c r="E711" i="10" l="1"/>
  <c r="E703" i="10"/>
  <c r="E695" i="10"/>
  <c r="E687" i="10"/>
  <c r="E708" i="10"/>
  <c r="E700" i="10"/>
  <c r="E692" i="10"/>
  <c r="E713" i="10"/>
  <c r="E712" i="10"/>
  <c r="E693" i="10"/>
  <c r="E691" i="10"/>
  <c r="E689" i="10"/>
  <c r="E690" i="10"/>
  <c r="E688" i="10"/>
  <c r="E686" i="10"/>
  <c r="E677" i="10"/>
  <c r="E682" i="10"/>
  <c r="E716" i="10"/>
  <c r="E685" i="10"/>
  <c r="E679" i="10"/>
  <c r="E671" i="10"/>
  <c r="E701" i="10"/>
  <c r="E699" i="10"/>
  <c r="E697" i="10"/>
  <c r="E678" i="10"/>
  <c r="E670" i="10"/>
  <c r="E647" i="10"/>
  <c r="E646" i="10"/>
  <c r="E645" i="10"/>
  <c r="E706" i="10"/>
  <c r="E705" i="10"/>
  <c r="E674" i="10"/>
  <c r="E673" i="10"/>
  <c r="E672" i="10"/>
  <c r="E633" i="10"/>
  <c r="E627" i="10"/>
  <c r="E669" i="10"/>
  <c r="E668" i="10"/>
  <c r="E643" i="10"/>
  <c r="E639" i="10"/>
  <c r="E634" i="10"/>
  <c r="E709" i="10"/>
  <c r="E704" i="10"/>
  <c r="E710" i="10"/>
  <c r="E630" i="10"/>
  <c r="E628" i="10"/>
  <c r="E694" i="10"/>
  <c r="E684" i="10"/>
  <c r="E637" i="10"/>
  <c r="E635" i="10"/>
  <c r="E625" i="10"/>
  <c r="E681" i="10"/>
  <c r="E641" i="10"/>
  <c r="E698" i="10"/>
  <c r="E675" i="10"/>
  <c r="E631" i="10"/>
  <c r="E696" i="10"/>
  <c r="E676" i="10"/>
  <c r="E638" i="10"/>
  <c r="E626" i="10"/>
  <c r="E642" i="10"/>
  <c r="E702" i="10"/>
  <c r="E629" i="10"/>
  <c r="E624" i="10"/>
  <c r="E683" i="10"/>
  <c r="E636" i="10"/>
  <c r="E640" i="10"/>
  <c r="E644" i="10"/>
  <c r="E632" i="10"/>
  <c r="E707" i="10"/>
  <c r="E680" i="10"/>
  <c r="E715" i="10" l="1"/>
  <c r="F624" i="10"/>
  <c r="F708" i="10" l="1"/>
  <c r="F700" i="10"/>
  <c r="F692" i="10"/>
  <c r="F684" i="10"/>
  <c r="F713" i="10"/>
  <c r="F705" i="10"/>
  <c r="F697" i="10"/>
  <c r="F689" i="10"/>
  <c r="F716" i="10"/>
  <c r="F709" i="10"/>
  <c r="F690" i="10"/>
  <c r="F688" i="10"/>
  <c r="F686" i="10"/>
  <c r="F712" i="10"/>
  <c r="F687" i="10"/>
  <c r="F682" i="10"/>
  <c r="F685" i="10"/>
  <c r="F707" i="10"/>
  <c r="F676" i="10"/>
  <c r="F668" i="10"/>
  <c r="F698" i="10"/>
  <c r="F696" i="10"/>
  <c r="F694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93" i="10"/>
  <c r="F711" i="10"/>
  <c r="F695" i="10"/>
  <c r="F677" i="10"/>
  <c r="F671" i="10"/>
  <c r="F670" i="10"/>
  <c r="F669" i="10"/>
  <c r="F647" i="10"/>
  <c r="F710" i="10"/>
  <c r="F702" i="10"/>
  <c r="F678" i="10"/>
  <c r="F625" i="10"/>
  <c r="F691" i="10"/>
  <c r="F680" i="10"/>
  <c r="F645" i="10"/>
  <c r="F629" i="10"/>
  <c r="F626" i="10"/>
  <c r="F679" i="10"/>
  <c r="F674" i="10"/>
  <c r="F704" i="10"/>
  <c r="F699" i="10"/>
  <c r="F681" i="10"/>
  <c r="F672" i="10"/>
  <c r="F703" i="10"/>
  <c r="F627" i="10"/>
  <c r="F706" i="10"/>
  <c r="F646" i="10"/>
  <c r="F630" i="10"/>
  <c r="F701" i="10"/>
  <c r="F628" i="10"/>
  <c r="F673" i="10"/>
  <c r="F715" i="10" l="1"/>
  <c r="G625" i="10"/>
  <c r="G713" i="10" l="1"/>
  <c r="G705" i="10"/>
  <c r="G697" i="10"/>
  <c r="G689" i="10"/>
  <c r="G710" i="10"/>
  <c r="G702" i="10"/>
  <c r="G694" i="10"/>
  <c r="G686" i="10"/>
  <c r="G716" i="10"/>
  <c r="G712" i="10"/>
  <c r="G687" i="10"/>
  <c r="G682" i="10"/>
  <c r="G685" i="10"/>
  <c r="G679" i="10"/>
  <c r="G707" i="10"/>
  <c r="G709" i="10"/>
  <c r="G708" i="10"/>
  <c r="G706" i="10"/>
  <c r="G704" i="10"/>
  <c r="G684" i="10"/>
  <c r="G681" i="10"/>
  <c r="G673" i="10"/>
  <c r="G711" i="10"/>
  <c r="G695" i="10"/>
  <c r="G693" i="10"/>
  <c r="G691" i="10"/>
  <c r="G680" i="10"/>
  <c r="G672" i="10"/>
  <c r="G703" i="10"/>
  <c r="G698" i="10"/>
  <c r="G700" i="10"/>
  <c r="G678" i="10"/>
  <c r="G668" i="10"/>
  <c r="G643" i="10"/>
  <c r="G639" i="10"/>
  <c r="G634" i="10"/>
  <c r="G692" i="10"/>
  <c r="G635" i="10"/>
  <c r="G628" i="10"/>
  <c r="G701" i="10"/>
  <c r="G696" i="10"/>
  <c r="G641" i="10"/>
  <c r="G637" i="10"/>
  <c r="G630" i="10"/>
  <c r="G699" i="10"/>
  <c r="G677" i="10"/>
  <c r="G669" i="10"/>
  <c r="G688" i="10"/>
  <c r="G675" i="10"/>
  <c r="G645" i="10"/>
  <c r="G633" i="10"/>
  <c r="G631" i="10"/>
  <c r="G627" i="10"/>
  <c r="G647" i="10"/>
  <c r="G629" i="10"/>
  <c r="G646" i="10"/>
  <c r="G642" i="10"/>
  <c r="G683" i="10"/>
  <c r="G636" i="10"/>
  <c r="G640" i="10"/>
  <c r="G644" i="10"/>
  <c r="G632" i="10"/>
  <c r="G690" i="10"/>
  <c r="G674" i="10"/>
  <c r="G671" i="10"/>
  <c r="G670" i="10"/>
  <c r="G638" i="10"/>
  <c r="G676" i="10"/>
  <c r="G626" i="10"/>
  <c r="H628" i="10" l="1"/>
  <c r="G715" i="10"/>
  <c r="H710" i="10" l="1"/>
  <c r="H702" i="10"/>
  <c r="H694" i="10"/>
  <c r="H686" i="10"/>
  <c r="H716" i="10"/>
  <c r="H707" i="10"/>
  <c r="H699" i="10"/>
  <c r="H691" i="10"/>
  <c r="H712" i="10"/>
  <c r="H711" i="10"/>
  <c r="H685" i="10"/>
  <c r="H676" i="10"/>
  <c r="H709" i="10"/>
  <c r="H708" i="10"/>
  <c r="H706" i="10"/>
  <c r="H704" i="10"/>
  <c r="H684" i="10"/>
  <c r="H681" i="10"/>
  <c r="H713" i="10"/>
  <c r="H705" i="10"/>
  <c r="H703" i="10"/>
  <c r="H701" i="10"/>
  <c r="H678" i="10"/>
  <c r="H670" i="10"/>
  <c r="H647" i="10"/>
  <c r="H646" i="10"/>
  <c r="H645" i="10"/>
  <c r="H692" i="10"/>
  <c r="H690" i="10"/>
  <c r="H688" i="10"/>
  <c r="H677" i="10"/>
  <c r="H669" i="10"/>
  <c r="H687" i="10"/>
  <c r="H635" i="10"/>
  <c r="H697" i="10"/>
  <c r="H679" i="10"/>
  <c r="H644" i="10"/>
  <c r="H640" i="10"/>
  <c r="H636" i="10"/>
  <c r="H631" i="10"/>
  <c r="H689" i="10"/>
  <c r="H637" i="10"/>
  <c r="H675" i="10"/>
  <c r="H672" i="10"/>
  <c r="H641" i="10"/>
  <c r="H639" i="10"/>
  <c r="H633" i="10"/>
  <c r="H698" i="10"/>
  <c r="H693" i="10"/>
  <c r="H643" i="10"/>
  <c r="H629" i="10"/>
  <c r="H683" i="10"/>
  <c r="H630" i="10"/>
  <c r="H695" i="10"/>
  <c r="H680" i="10"/>
  <c r="H632" i="10"/>
  <c r="H673" i="10"/>
  <c r="H682" i="10"/>
  <c r="H674" i="10"/>
  <c r="H671" i="10"/>
  <c r="H668" i="10"/>
  <c r="H638" i="10"/>
  <c r="H700" i="10"/>
  <c r="H696" i="10"/>
  <c r="H634" i="10"/>
  <c r="H642" i="10"/>
  <c r="H715" i="10" l="1"/>
  <c r="I629" i="10"/>
  <c r="I716" i="10" l="1"/>
  <c r="I707" i="10"/>
  <c r="I699" i="10"/>
  <c r="I691" i="10"/>
  <c r="I712" i="10"/>
  <c r="I704" i="10"/>
  <c r="I696" i="10"/>
  <c r="I688" i="10"/>
  <c r="I709" i="10"/>
  <c r="I708" i="10"/>
  <c r="I706" i="10"/>
  <c r="I684" i="10"/>
  <c r="I681" i="10"/>
  <c r="I713" i="10"/>
  <c r="I705" i="10"/>
  <c r="I703" i="10"/>
  <c r="I701" i="10"/>
  <c r="I710" i="10"/>
  <c r="I702" i="10"/>
  <c r="I700" i="10"/>
  <c r="I698" i="10"/>
  <c r="I683" i="10"/>
  <c r="I675" i="10"/>
  <c r="I644" i="10"/>
  <c r="I643" i="10"/>
  <c r="I642" i="10"/>
  <c r="I641" i="10"/>
  <c r="I640" i="10"/>
  <c r="I639" i="10"/>
  <c r="I638" i="10"/>
  <c r="I637" i="10"/>
  <c r="I636" i="10"/>
  <c r="I689" i="10"/>
  <c r="I687" i="10"/>
  <c r="I682" i="10"/>
  <c r="I674" i="10"/>
  <c r="I695" i="10"/>
  <c r="I690" i="10"/>
  <c r="I697" i="10"/>
  <c r="I692" i="10"/>
  <c r="I679" i="10"/>
  <c r="I693" i="10"/>
  <c r="I646" i="10"/>
  <c r="I632" i="10"/>
  <c r="I694" i="10"/>
  <c r="I677" i="10"/>
  <c r="I672" i="10"/>
  <c r="I669" i="10"/>
  <c r="I635" i="10"/>
  <c r="I633" i="10"/>
  <c r="I645" i="10"/>
  <c r="I631" i="10"/>
  <c r="I647" i="10"/>
  <c r="I680" i="10"/>
  <c r="I673" i="10"/>
  <c r="I670" i="10"/>
  <c r="I685" i="10"/>
  <c r="I678" i="10"/>
  <c r="I634" i="10"/>
  <c r="I671" i="10"/>
  <c r="I668" i="10"/>
  <c r="I676" i="10"/>
  <c r="I711" i="10"/>
  <c r="I686" i="10"/>
  <c r="I630" i="10"/>
  <c r="I715" i="10" l="1"/>
  <c r="J630" i="10"/>
  <c r="J712" i="10" l="1"/>
  <c r="J704" i="10"/>
  <c r="J696" i="10"/>
  <c r="J688" i="10"/>
  <c r="J709" i="10"/>
  <c r="J701" i="10"/>
  <c r="J693" i="10"/>
  <c r="J713" i="10"/>
  <c r="J708" i="10"/>
  <c r="J706" i="10"/>
  <c r="J684" i="10"/>
  <c r="J681" i="10"/>
  <c r="J707" i="10"/>
  <c r="J705" i="10"/>
  <c r="J703" i="10"/>
  <c r="J678" i="10"/>
  <c r="J716" i="10"/>
  <c r="J710" i="10"/>
  <c r="J702" i="10"/>
  <c r="J700" i="10"/>
  <c r="J698" i="10"/>
  <c r="J683" i="10"/>
  <c r="J699" i="10"/>
  <c r="J697" i="10"/>
  <c r="J695" i="10"/>
  <c r="J680" i="10"/>
  <c r="J672" i="10"/>
  <c r="J686" i="10"/>
  <c r="J685" i="10"/>
  <c r="J679" i="10"/>
  <c r="J671" i="10"/>
  <c r="J711" i="10"/>
  <c r="J644" i="10"/>
  <c r="J640" i="10"/>
  <c r="J636" i="10"/>
  <c r="J694" i="10"/>
  <c r="J689" i="10"/>
  <c r="J682" i="10"/>
  <c r="J645" i="10"/>
  <c r="J676" i="10"/>
  <c r="J675" i="10"/>
  <c r="J674" i="10"/>
  <c r="J673" i="10"/>
  <c r="J642" i="10"/>
  <c r="J638" i="10"/>
  <c r="J633" i="10"/>
  <c r="J641" i="10"/>
  <c r="J639" i="10"/>
  <c r="J631" i="10"/>
  <c r="J647" i="10"/>
  <c r="J643" i="10"/>
  <c r="J670" i="10"/>
  <c r="J692" i="10"/>
  <c r="J687" i="10"/>
  <c r="J634" i="10"/>
  <c r="J669" i="10"/>
  <c r="J637" i="10"/>
  <c r="J668" i="10"/>
  <c r="J632" i="10"/>
  <c r="J691" i="10"/>
  <c r="J690" i="10"/>
  <c r="J677" i="10"/>
  <c r="J635" i="10"/>
  <c r="J646" i="10"/>
  <c r="L647" i="10" l="1"/>
  <c r="J715" i="10"/>
  <c r="K644" i="10"/>
  <c r="K709" i="10" l="1"/>
  <c r="K701" i="10"/>
  <c r="K693" i="10"/>
  <c r="K685" i="10"/>
  <c r="K706" i="10"/>
  <c r="K698" i="10"/>
  <c r="K690" i="10"/>
  <c r="K711" i="10"/>
  <c r="K710" i="10"/>
  <c r="K707" i="10"/>
  <c r="K705" i="10"/>
  <c r="K703" i="10"/>
  <c r="K716" i="10"/>
  <c r="K713" i="10"/>
  <c r="K704" i="10"/>
  <c r="K702" i="10"/>
  <c r="K700" i="10"/>
  <c r="K683" i="10"/>
  <c r="K699" i="10"/>
  <c r="K697" i="10"/>
  <c r="K695" i="10"/>
  <c r="K680" i="10"/>
  <c r="K696" i="10"/>
  <c r="K694" i="10"/>
  <c r="K692" i="10"/>
  <c r="K677" i="10"/>
  <c r="K669" i="10"/>
  <c r="K676" i="10"/>
  <c r="K668" i="10"/>
  <c r="K708" i="10"/>
  <c r="K687" i="10"/>
  <c r="K689" i="10"/>
  <c r="K682" i="10"/>
  <c r="K684" i="10"/>
  <c r="K688" i="10"/>
  <c r="K672" i="10"/>
  <c r="K671" i="10"/>
  <c r="K670" i="10"/>
  <c r="K681" i="10"/>
  <c r="K675" i="10"/>
  <c r="K673" i="10"/>
  <c r="K678" i="10"/>
  <c r="K686" i="10"/>
  <c r="K679" i="10"/>
  <c r="K691" i="10"/>
  <c r="K674" i="10"/>
  <c r="K712" i="10"/>
  <c r="L706" i="10"/>
  <c r="M706" i="10" s="1"/>
  <c r="Y772" i="10" s="1"/>
  <c r="L698" i="10"/>
  <c r="L690" i="10"/>
  <c r="M690" i="10" s="1"/>
  <c r="Y756" i="10" s="1"/>
  <c r="L711" i="10"/>
  <c r="L703" i="10"/>
  <c r="M703" i="10" s="1"/>
  <c r="Y769" i="10" s="1"/>
  <c r="L695" i="10"/>
  <c r="M695" i="10" s="1"/>
  <c r="Y761" i="10" s="1"/>
  <c r="L687" i="10"/>
  <c r="M687" i="10" s="1"/>
  <c r="Y753" i="10" s="1"/>
  <c r="L713" i="10"/>
  <c r="M713" i="10" s="1"/>
  <c r="Y779" i="10" s="1"/>
  <c r="L716" i="10"/>
  <c r="L709" i="10"/>
  <c r="M709" i="10" s="1"/>
  <c r="Y775" i="10" s="1"/>
  <c r="L704" i="10"/>
  <c r="M704" i="10" s="1"/>
  <c r="Y770" i="10" s="1"/>
  <c r="L702" i="10"/>
  <c r="L700" i="10"/>
  <c r="M700" i="10" s="1"/>
  <c r="Y766" i="10" s="1"/>
  <c r="L683" i="10"/>
  <c r="M683" i="10" s="1"/>
  <c r="Y749" i="10" s="1"/>
  <c r="L710" i="10"/>
  <c r="M710" i="10" s="1"/>
  <c r="Y776" i="10" s="1"/>
  <c r="L701" i="10"/>
  <c r="M701" i="10" s="1"/>
  <c r="Y767" i="10" s="1"/>
  <c r="L699" i="10"/>
  <c r="M699" i="10" s="1"/>
  <c r="Y765" i="10" s="1"/>
  <c r="L697" i="10"/>
  <c r="M697" i="10" s="1"/>
  <c r="Y763" i="10" s="1"/>
  <c r="L680" i="10"/>
  <c r="M680" i="10" s="1"/>
  <c r="Y746" i="10" s="1"/>
  <c r="L696" i="10"/>
  <c r="M696" i="10" s="1"/>
  <c r="Y762" i="10" s="1"/>
  <c r="L694" i="10"/>
  <c r="L692" i="10"/>
  <c r="M692" i="10" s="1"/>
  <c r="Y758" i="10" s="1"/>
  <c r="L693" i="10"/>
  <c r="M693" i="10" s="1"/>
  <c r="Y759" i="10" s="1"/>
  <c r="L691" i="10"/>
  <c r="M691" i="10" s="1"/>
  <c r="Y757" i="10" s="1"/>
  <c r="L689" i="10"/>
  <c r="M689" i="10" s="1"/>
  <c r="Y755" i="10" s="1"/>
  <c r="L682" i="10"/>
  <c r="M682" i="10" s="1"/>
  <c r="Y748" i="10" s="1"/>
  <c r="L674" i="10"/>
  <c r="M674" i="10" s="1"/>
  <c r="Y740" i="10" s="1"/>
  <c r="L712" i="10"/>
  <c r="M712" i="10" s="1"/>
  <c r="Y778" i="10" s="1"/>
  <c r="L708" i="10"/>
  <c r="M708" i="10" s="1"/>
  <c r="Y774" i="10" s="1"/>
  <c r="L684" i="10"/>
  <c r="M684" i="10" s="1"/>
  <c r="Y750" i="10" s="1"/>
  <c r="L681" i="10"/>
  <c r="M681" i="10" s="1"/>
  <c r="Y747" i="10" s="1"/>
  <c r="L673" i="10"/>
  <c r="M673" i="10" s="1"/>
  <c r="Y739" i="10" s="1"/>
  <c r="L707" i="10"/>
  <c r="M707" i="10" s="1"/>
  <c r="Y773" i="10" s="1"/>
  <c r="L686" i="10"/>
  <c r="M686" i="10" s="1"/>
  <c r="Y752" i="10" s="1"/>
  <c r="L677" i="10"/>
  <c r="M677" i="10" s="1"/>
  <c r="Y743" i="10" s="1"/>
  <c r="L669" i="10"/>
  <c r="M669" i="10" s="1"/>
  <c r="Y735" i="10" s="1"/>
  <c r="L668" i="10"/>
  <c r="L688" i="10"/>
  <c r="M688" i="10" s="1"/>
  <c r="Y754" i="10" s="1"/>
  <c r="L670" i="10"/>
  <c r="M670" i="10" s="1"/>
  <c r="Y736" i="10" s="1"/>
  <c r="L678" i="10"/>
  <c r="M678" i="10" s="1"/>
  <c r="Y744" i="10" s="1"/>
  <c r="L676" i="10"/>
  <c r="M676" i="10" s="1"/>
  <c r="Y742" i="10" s="1"/>
  <c r="L685" i="10"/>
  <c r="M685" i="10" s="1"/>
  <c r="Y751" i="10" s="1"/>
  <c r="L679" i="10"/>
  <c r="M679" i="10" s="1"/>
  <c r="Y745" i="10" s="1"/>
  <c r="L705" i="10"/>
  <c r="M705" i="10" s="1"/>
  <c r="Y771" i="10" s="1"/>
  <c r="L675" i="10"/>
  <c r="L672" i="10"/>
  <c r="M672" i="10" s="1"/>
  <c r="Y738" i="10" s="1"/>
  <c r="L671" i="10"/>
  <c r="M671" i="10" s="1"/>
  <c r="Y737" i="10" s="1"/>
  <c r="K715" i="10" l="1"/>
  <c r="M675" i="10"/>
  <c r="Y741" i="10" s="1"/>
  <c r="M694" i="10"/>
  <c r="Y760" i="10" s="1"/>
  <c r="L715" i="10"/>
  <c r="M668" i="10"/>
  <c r="M702" i="10"/>
  <c r="Y768" i="10" s="1"/>
  <c r="M711" i="10"/>
  <c r="Y777" i="10" s="1"/>
  <c r="M698" i="10"/>
  <c r="Y764" i="10" s="1"/>
  <c r="Y734" i="10" l="1"/>
  <c r="Y815" i="10" s="1"/>
  <c r="M715" i="10"/>
  <c r="BY78" i="1" l="1"/>
  <c r="BX78" i="1"/>
  <c r="BW78" i="1"/>
  <c r="BV78" i="1"/>
  <c r="BL78" i="1"/>
  <c r="BA78" i="1"/>
  <c r="AV78" i="1"/>
  <c r="AO78" i="1"/>
  <c r="AJ78" i="1"/>
  <c r="AG78" i="1"/>
  <c r="AE78" i="1"/>
  <c r="AC78" i="1"/>
  <c r="AB78" i="1"/>
  <c r="AA78" i="1"/>
  <c r="Y78" i="1"/>
  <c r="X78" i="1"/>
  <c r="V78" i="1"/>
  <c r="U78" i="1"/>
  <c r="T78" i="1"/>
  <c r="S78" i="1"/>
  <c r="R78" i="1"/>
  <c r="Q78" i="1"/>
  <c r="P78" i="1"/>
  <c r="O78" i="1"/>
  <c r="J78" i="1"/>
  <c r="F78" i="1"/>
  <c r="E78" i="1"/>
  <c r="C78" i="1"/>
  <c r="F77" i="1"/>
  <c r="E77" i="1"/>
  <c r="C77" i="1"/>
  <c r="P74" i="1" l="1"/>
  <c r="AJ74" i="1"/>
  <c r="Y74" i="1"/>
  <c r="U74" i="1"/>
  <c r="U73" i="1"/>
  <c r="AJ69" i="1"/>
  <c r="P68" i="1"/>
  <c r="CC66" i="1"/>
  <c r="P66" i="1" l="1"/>
  <c r="P64" i="1"/>
  <c r="AJ64" i="1"/>
  <c r="P63" i="1" l="1"/>
  <c r="C360" i="1" l="1"/>
  <c r="C213" i="1" l="1"/>
  <c r="C171" i="1" l="1"/>
  <c r="C387" i="1"/>
  <c r="C115" i="8" l="1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/>
  <c r="G75" i="1"/>
  <c r="F75" i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CE73" i="1"/>
  <c r="CE74" i="1"/>
  <c r="C464" i="1" s="1"/>
  <c r="C75" i="1"/>
  <c r="C26" i="9" s="1"/>
  <c r="CE80" i="1"/>
  <c r="L612" i="1" s="1"/>
  <c r="CE78" i="1"/>
  <c r="D361" i="1"/>
  <c r="B465" i="1" s="1"/>
  <c r="D372" i="1"/>
  <c r="C125" i="8" s="1"/>
  <c r="D260" i="1"/>
  <c r="C16" i="8" s="1"/>
  <c r="D265" i="1"/>
  <c r="C22" i="8" s="1"/>
  <c r="D275" i="1"/>
  <c r="B476" i="1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38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F12" i="6"/>
  <c r="C469" i="1"/>
  <c r="F8" i="6"/>
  <c r="I26" i="9"/>
  <c r="D366" i="9"/>
  <c r="CE64" i="1"/>
  <c r="F612" i="1" s="1"/>
  <c r="D368" i="9"/>
  <c r="C276" i="9"/>
  <c r="CE70" i="1"/>
  <c r="C458" i="1" s="1"/>
  <c r="CE77" i="1"/>
  <c r="I29" i="9"/>
  <c r="C95" i="9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C575" i="1" s="1"/>
  <c r="E372" i="9"/>
  <c r="F499" i="1"/>
  <c r="F511" i="1"/>
  <c r="F517" i="1"/>
  <c r="H505" i="1"/>
  <c r="F505" i="1"/>
  <c r="H501" i="1"/>
  <c r="F501" i="1"/>
  <c r="F497" i="1"/>
  <c r="H497" i="1"/>
  <c r="I382" i="9" l="1"/>
  <c r="I612" i="1"/>
  <c r="C473" i="1"/>
  <c r="I381" i="9"/>
  <c r="G612" i="1"/>
  <c r="E373" i="9"/>
  <c r="G19" i="4"/>
  <c r="C218" i="9"/>
  <c r="I90" i="9"/>
  <c r="F26" i="9"/>
  <c r="E26" i="9"/>
  <c r="D330" i="1"/>
  <c r="C86" i="8" s="1"/>
  <c r="C84" i="8"/>
  <c r="F11" i="6"/>
  <c r="C27" i="5"/>
  <c r="C112" i="8"/>
  <c r="D13" i="7"/>
  <c r="F15" i="6"/>
  <c r="D463" i="1"/>
  <c r="G10" i="4"/>
  <c r="B10" i="4"/>
  <c r="F154" i="9"/>
  <c r="BE48" i="1"/>
  <c r="BE62" i="1" s="1"/>
  <c r="H236" i="9" s="1"/>
  <c r="AU48" i="1"/>
  <c r="AU62" i="1" s="1"/>
  <c r="E204" i="9" s="1"/>
  <c r="V48" i="1"/>
  <c r="V62" i="1" s="1"/>
  <c r="H76" i="9" s="1"/>
  <c r="AL48" i="1"/>
  <c r="AL62" i="1" s="1"/>
  <c r="C172" i="9" s="1"/>
  <c r="G90" i="9"/>
  <c r="I365" i="9"/>
  <c r="AC48" i="1"/>
  <c r="AC62" i="1" s="1"/>
  <c r="H108" i="9" s="1"/>
  <c r="Y48" i="1"/>
  <c r="Y62" i="1" s="1"/>
  <c r="D108" i="9" s="1"/>
  <c r="D368" i="1"/>
  <c r="C120" i="8" s="1"/>
  <c r="C33" i="8"/>
  <c r="D32" i="6"/>
  <c r="F9" i="6"/>
  <c r="C34" i="5"/>
  <c r="C14" i="5"/>
  <c r="C415" i="1"/>
  <c r="AF48" i="1"/>
  <c r="AF62" i="1" s="1"/>
  <c r="D140" i="9" s="1"/>
  <c r="I363" i="9"/>
  <c r="BD48" i="1"/>
  <c r="BD62" i="1" s="1"/>
  <c r="G236" i="9" s="1"/>
  <c r="BP48" i="1"/>
  <c r="BP62" i="1" s="1"/>
  <c r="E300" i="9" s="1"/>
  <c r="BR48" i="1"/>
  <c r="BR62" i="1" s="1"/>
  <c r="G300" i="9" s="1"/>
  <c r="AA48" i="1"/>
  <c r="AA62" i="1" s="1"/>
  <c r="F108" i="9" s="1"/>
  <c r="AH48" i="1"/>
  <c r="AH62" i="1" s="1"/>
  <c r="S48" i="1"/>
  <c r="S62" i="1" s="1"/>
  <c r="BF48" i="1"/>
  <c r="BF62" i="1" s="1"/>
  <c r="CB48" i="1"/>
  <c r="CB62" i="1" s="1"/>
  <c r="C364" i="9" s="1"/>
  <c r="AG48" i="1"/>
  <c r="AG62" i="1" s="1"/>
  <c r="BH48" i="1"/>
  <c r="BH62" i="1" s="1"/>
  <c r="D268" i="9" s="1"/>
  <c r="AW48" i="1"/>
  <c r="AW62" i="1" s="1"/>
  <c r="BI48" i="1"/>
  <c r="BI62" i="1" s="1"/>
  <c r="E268" i="9" s="1"/>
  <c r="R48" i="1"/>
  <c r="R62" i="1" s="1"/>
  <c r="D76" i="9" s="1"/>
  <c r="AZ48" i="1"/>
  <c r="AZ62" i="1" s="1"/>
  <c r="BX48" i="1"/>
  <c r="BX62" i="1" s="1"/>
  <c r="BG48" i="1"/>
  <c r="BG62" i="1" s="1"/>
  <c r="C268" i="9" s="1"/>
  <c r="BS48" i="1"/>
  <c r="BS62" i="1" s="1"/>
  <c r="AB48" i="1"/>
  <c r="AB62" i="1" s="1"/>
  <c r="W48" i="1"/>
  <c r="W62" i="1" s="1"/>
  <c r="AT48" i="1"/>
  <c r="AT62" i="1" s="1"/>
  <c r="BT48" i="1"/>
  <c r="BT62" i="1" s="1"/>
  <c r="C48" i="1"/>
  <c r="C62" i="1" s="1"/>
  <c r="AI48" i="1"/>
  <c r="AI62" i="1" s="1"/>
  <c r="AK48" i="1"/>
  <c r="AK62" i="1" s="1"/>
  <c r="O48" i="1"/>
  <c r="O62" i="1" s="1"/>
  <c r="D48" i="1"/>
  <c r="D62" i="1" s="1"/>
  <c r="AX48" i="1"/>
  <c r="AX62" i="1" s="1"/>
  <c r="AY48" i="1"/>
  <c r="AY62" i="1" s="1"/>
  <c r="BA48" i="1"/>
  <c r="BA62" i="1" s="1"/>
  <c r="D236" i="9" s="1"/>
  <c r="BC48" i="1"/>
  <c r="BC62" i="1" s="1"/>
  <c r="F236" i="9" s="1"/>
  <c r="P48" i="1"/>
  <c r="P62" i="1" s="1"/>
  <c r="I44" i="9" s="1"/>
  <c r="G122" i="9"/>
  <c r="F48" i="1"/>
  <c r="F62" i="1" s="1"/>
  <c r="F12" i="9" s="1"/>
  <c r="CC48" i="1"/>
  <c r="CC62" i="1" s="1"/>
  <c r="BU48" i="1"/>
  <c r="BU62" i="1" s="1"/>
  <c r="T48" i="1"/>
  <c r="T62" i="1" s="1"/>
  <c r="J48" i="1"/>
  <c r="J62" i="1" s="1"/>
  <c r="C44" i="9" s="1"/>
  <c r="AR48" i="1"/>
  <c r="AR62" i="1" s="1"/>
  <c r="BL48" i="1"/>
  <c r="BL62" i="1" s="1"/>
  <c r="I48" i="1"/>
  <c r="I62" i="1" s="1"/>
  <c r="I12" i="9" s="1"/>
  <c r="C427" i="1"/>
  <c r="BZ48" i="1"/>
  <c r="BZ62" i="1" s="1"/>
  <c r="H332" i="9" s="1"/>
  <c r="X48" i="1"/>
  <c r="X62" i="1" s="1"/>
  <c r="I372" i="9"/>
  <c r="C430" i="1"/>
  <c r="I366" i="9"/>
  <c r="N48" i="1"/>
  <c r="N62" i="1" s="1"/>
  <c r="AJ48" i="1"/>
  <c r="AJ62" i="1" s="1"/>
  <c r="H140" i="9" s="1"/>
  <c r="AV48" i="1"/>
  <c r="AV62" i="1" s="1"/>
  <c r="F204" i="9" s="1"/>
  <c r="BJ48" i="1"/>
  <c r="BJ62" i="1" s="1"/>
  <c r="BV48" i="1"/>
  <c r="BV62" i="1" s="1"/>
  <c r="D332" i="9" s="1"/>
  <c r="AQ48" i="1"/>
  <c r="AQ62" i="1" s="1"/>
  <c r="Q48" i="1"/>
  <c r="Q62" i="1" s="1"/>
  <c r="C76" i="9" s="1"/>
  <c r="BM48" i="1"/>
  <c r="BM62" i="1" s="1"/>
  <c r="I268" i="9" s="1"/>
  <c r="BQ48" i="1"/>
  <c r="BQ62" i="1" s="1"/>
  <c r="F300" i="9" s="1"/>
  <c r="AM48" i="1"/>
  <c r="AM62" i="1" s="1"/>
  <c r="D172" i="9" s="1"/>
  <c r="G48" i="1"/>
  <c r="G62" i="1" s="1"/>
  <c r="G12" i="9" s="1"/>
  <c r="Z48" i="1"/>
  <c r="Z62" i="1" s="1"/>
  <c r="AN48" i="1"/>
  <c r="AN62" i="1" s="1"/>
  <c r="BB48" i="1"/>
  <c r="BB62" i="1" s="1"/>
  <c r="E236" i="9" s="1"/>
  <c r="BN48" i="1"/>
  <c r="BN62" i="1" s="1"/>
  <c r="BY48" i="1"/>
  <c r="BY62" i="1" s="1"/>
  <c r="G332" i="9" s="1"/>
  <c r="BO48" i="1"/>
  <c r="BO62" i="1" s="1"/>
  <c r="D300" i="9" s="1"/>
  <c r="E48" i="1"/>
  <c r="E62" i="1" s="1"/>
  <c r="AE48" i="1"/>
  <c r="AE62" i="1" s="1"/>
  <c r="H48" i="1"/>
  <c r="H62" i="1" s="1"/>
  <c r="AD48" i="1"/>
  <c r="AD62" i="1" s="1"/>
  <c r="AP48" i="1"/>
  <c r="AP62" i="1" s="1"/>
  <c r="G172" i="9" s="1"/>
  <c r="CA48" i="1"/>
  <c r="CA62" i="1" s="1"/>
  <c r="K48" i="1"/>
  <c r="K62" i="1" s="1"/>
  <c r="BW48" i="1"/>
  <c r="BW62" i="1" s="1"/>
  <c r="E332" i="9" s="1"/>
  <c r="AO48" i="1"/>
  <c r="AO62" i="1" s="1"/>
  <c r="U48" i="1"/>
  <c r="U62" i="1" s="1"/>
  <c r="M48" i="1"/>
  <c r="M62" i="1" s="1"/>
  <c r="L48" i="1"/>
  <c r="L62" i="1" s="1"/>
  <c r="AS48" i="1"/>
  <c r="AS62" i="1" s="1"/>
  <c r="I377" i="9"/>
  <c r="CF77" i="1"/>
  <c r="C434" i="1"/>
  <c r="C432" i="1"/>
  <c r="I362" i="9"/>
  <c r="B446" i="1"/>
  <c r="D242" i="1"/>
  <c r="C418" i="1"/>
  <c r="D438" i="1"/>
  <c r="F14" i="6"/>
  <c r="C471" i="1"/>
  <c r="F10" i="6"/>
  <c r="D339" i="1"/>
  <c r="D26" i="9"/>
  <c r="CE75" i="1"/>
  <c r="K612" i="1" s="1"/>
  <c r="F7" i="6"/>
  <c r="E204" i="1"/>
  <c r="C468" i="1"/>
  <c r="D22" i="7"/>
  <c r="C40" i="5"/>
  <c r="C420" i="1"/>
  <c r="B28" i="4"/>
  <c r="F186" i="9"/>
  <c r="I376" i="9"/>
  <c r="C463" i="1"/>
  <c r="D58" i="9"/>
  <c r="G26" i="9"/>
  <c r="E217" i="1"/>
  <c r="I384" i="9"/>
  <c r="F218" i="9"/>
  <c r="D90" i="9"/>
  <c r="D464" i="1"/>
  <c r="H154" i="9"/>
  <c r="I367" i="9"/>
  <c r="D434" i="1"/>
  <c r="C58" i="9"/>
  <c r="D373" i="1" l="1"/>
  <c r="C126" i="8" s="1"/>
  <c r="D277" i="1"/>
  <c r="B478" i="1"/>
  <c r="C34" i="8"/>
  <c r="D465" i="1"/>
  <c r="I76" i="9"/>
  <c r="I236" i="9"/>
  <c r="E140" i="9"/>
  <c r="I300" i="9"/>
  <c r="I204" i="9"/>
  <c r="I172" i="9"/>
  <c r="I108" i="9"/>
  <c r="E76" i="9"/>
  <c r="H44" i="9"/>
  <c r="F76" i="9"/>
  <c r="G108" i="9"/>
  <c r="D12" i="9"/>
  <c r="H300" i="9"/>
  <c r="G204" i="9"/>
  <c r="C12" i="9"/>
  <c r="C236" i="9"/>
  <c r="F140" i="9"/>
  <c r="G140" i="9"/>
  <c r="F172" i="9"/>
  <c r="F268" i="9"/>
  <c r="F332" i="9"/>
  <c r="C300" i="9"/>
  <c r="G44" i="9"/>
  <c r="I332" i="9"/>
  <c r="H204" i="9"/>
  <c r="D204" i="9"/>
  <c r="H268" i="9"/>
  <c r="I140" i="9"/>
  <c r="F44" i="9"/>
  <c r="CE62" i="1"/>
  <c r="C428" i="1" s="1"/>
  <c r="C108" i="9"/>
  <c r="D44" i="9"/>
  <c r="G76" i="9"/>
  <c r="C332" i="9"/>
  <c r="D364" i="9"/>
  <c r="C140" i="9"/>
  <c r="E108" i="9"/>
  <c r="E12" i="9"/>
  <c r="E172" i="9"/>
  <c r="C204" i="9"/>
  <c r="CE48" i="1"/>
  <c r="H172" i="9"/>
  <c r="H12" i="9"/>
  <c r="E44" i="9"/>
  <c r="D27" i="7"/>
  <c r="B448" i="1"/>
  <c r="F544" i="1"/>
  <c r="H536" i="1"/>
  <c r="F536" i="1"/>
  <c r="F528" i="1"/>
  <c r="H528" i="1"/>
  <c r="F520" i="1"/>
  <c r="I378" i="9"/>
  <c r="C465" i="1"/>
  <c r="F32" i="6"/>
  <c r="C478" i="1"/>
  <c r="C102" i="8"/>
  <c r="C482" i="1"/>
  <c r="F498" i="1"/>
  <c r="C476" i="1"/>
  <c r="F16" i="6"/>
  <c r="F516" i="1"/>
  <c r="F540" i="1"/>
  <c r="H540" i="1"/>
  <c r="F532" i="1"/>
  <c r="H532" i="1"/>
  <c r="F524" i="1"/>
  <c r="F550" i="1"/>
  <c r="C35" i="8" l="1"/>
  <c r="D292" i="1"/>
  <c r="I364" i="9"/>
  <c r="F522" i="1"/>
  <c r="F510" i="1"/>
  <c r="F513" i="1"/>
  <c r="F538" i="1"/>
  <c r="H538" i="1"/>
  <c r="F496" i="1"/>
  <c r="F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D341" i="1" l="1"/>
  <c r="C481" i="1" s="1"/>
  <c r="C50" i="8"/>
  <c r="H545" i="1"/>
  <c r="F545" i="1"/>
  <c r="H525" i="1"/>
  <c r="F525" i="1"/>
  <c r="F529" i="1"/>
  <c r="F521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115" i="9" l="1"/>
  <c r="C439" i="1"/>
  <c r="CE69" i="1"/>
  <c r="I371" i="9" l="1"/>
  <c r="C440" i="1"/>
  <c r="B439" i="1" l="1"/>
  <c r="B440" i="1" s="1"/>
  <c r="C140" i="8"/>
  <c r="D390" i="1"/>
  <c r="C141" i="8" l="1"/>
  <c r="B441" i="1"/>
  <c r="D391" i="1"/>
  <c r="C142" i="8" l="1"/>
  <c r="D393" i="1"/>
  <c r="C146" i="8" l="1"/>
  <c r="D396" i="1"/>
  <c r="C151" i="8" s="1"/>
  <c r="I348" i="9"/>
  <c r="CE76" i="1"/>
  <c r="D612" i="1" s="1"/>
  <c r="CF76" i="1" l="1"/>
  <c r="G52" i="1" s="1"/>
  <c r="G67" i="1" s="1"/>
  <c r="I380" i="9"/>
  <c r="AC52" i="1" l="1"/>
  <c r="AC67" i="1" s="1"/>
  <c r="Q52" i="1"/>
  <c r="Q67" i="1" s="1"/>
  <c r="AE52" i="1"/>
  <c r="AE67" i="1" s="1"/>
  <c r="BB52" i="1"/>
  <c r="BB67" i="1" s="1"/>
  <c r="BB71" i="1" s="1"/>
  <c r="C632" i="1" s="1"/>
  <c r="AH52" i="1"/>
  <c r="AH67" i="1" s="1"/>
  <c r="BN52" i="1"/>
  <c r="BN67" i="1" s="1"/>
  <c r="AO52" i="1"/>
  <c r="AO67" i="1" s="1"/>
  <c r="AO71" i="1" s="1"/>
  <c r="C706" i="1" s="1"/>
  <c r="AN52" i="1"/>
  <c r="AN67" i="1" s="1"/>
  <c r="AM52" i="1"/>
  <c r="AM67" i="1" s="1"/>
  <c r="AP52" i="1"/>
  <c r="AP67" i="1" s="1"/>
  <c r="H113" i="9"/>
  <c r="AC71" i="1"/>
  <c r="C694" i="1" s="1"/>
  <c r="F145" i="9"/>
  <c r="AH71" i="1"/>
  <c r="C699" i="1" s="1"/>
  <c r="AF52" i="1"/>
  <c r="AF67" i="1" s="1"/>
  <c r="BT52" i="1"/>
  <c r="BT67" i="1" s="1"/>
  <c r="H52" i="1"/>
  <c r="H67" i="1" s="1"/>
  <c r="BU52" i="1"/>
  <c r="BU67" i="1" s="1"/>
  <c r="N52" i="1"/>
  <c r="N67" i="1" s="1"/>
  <c r="AW52" i="1"/>
  <c r="AW67" i="1" s="1"/>
  <c r="AI52" i="1"/>
  <c r="AI67" i="1" s="1"/>
  <c r="J52" i="1"/>
  <c r="J67" i="1" s="1"/>
  <c r="BQ52" i="1"/>
  <c r="BQ67" i="1" s="1"/>
  <c r="CC52" i="1"/>
  <c r="CC67" i="1" s="1"/>
  <c r="AK52" i="1"/>
  <c r="AK67" i="1" s="1"/>
  <c r="BD52" i="1"/>
  <c r="BD67" i="1" s="1"/>
  <c r="R52" i="1"/>
  <c r="R67" i="1" s="1"/>
  <c r="C52" i="1"/>
  <c r="BJ52" i="1"/>
  <c r="BJ67" i="1" s="1"/>
  <c r="CB52" i="1"/>
  <c r="CB67" i="1" s="1"/>
  <c r="AA52" i="1"/>
  <c r="AA67" i="1" s="1"/>
  <c r="BW52" i="1"/>
  <c r="BW67" i="1" s="1"/>
  <c r="F52" i="1"/>
  <c r="F67" i="1" s="1"/>
  <c r="K52" i="1"/>
  <c r="K67" i="1" s="1"/>
  <c r="AR52" i="1"/>
  <c r="AR67" i="1" s="1"/>
  <c r="AS52" i="1"/>
  <c r="AS67" i="1" s="1"/>
  <c r="Y52" i="1"/>
  <c r="Y67" i="1" s="1"/>
  <c r="BM52" i="1"/>
  <c r="BM67" i="1" s="1"/>
  <c r="AZ52" i="1"/>
  <c r="AZ67" i="1" s="1"/>
  <c r="BE52" i="1"/>
  <c r="BE67" i="1" s="1"/>
  <c r="AB52" i="1"/>
  <c r="AB67" i="1" s="1"/>
  <c r="G17" i="9"/>
  <c r="G71" i="1"/>
  <c r="C672" i="1" s="1"/>
  <c r="C145" i="9"/>
  <c r="AE71" i="1"/>
  <c r="C696" i="1" s="1"/>
  <c r="AN71" i="1"/>
  <c r="C705" i="1" s="1"/>
  <c r="E177" i="9"/>
  <c r="P52" i="1"/>
  <c r="P67" i="1" s="1"/>
  <c r="AD52" i="1"/>
  <c r="AD67" i="1" s="1"/>
  <c r="W52" i="1"/>
  <c r="W67" i="1" s="1"/>
  <c r="T52" i="1"/>
  <c r="T67" i="1" s="1"/>
  <c r="BY52" i="1"/>
  <c r="BY67" i="1" s="1"/>
  <c r="BC52" i="1"/>
  <c r="BC67" i="1" s="1"/>
  <c r="M52" i="1"/>
  <c r="M67" i="1" s="1"/>
  <c r="BX52" i="1"/>
  <c r="BX67" i="1" s="1"/>
  <c r="AU52" i="1"/>
  <c r="AU67" i="1" s="1"/>
  <c r="E52" i="1"/>
  <c r="E67" i="1" s="1"/>
  <c r="BZ52" i="1"/>
  <c r="BZ67" i="1" s="1"/>
  <c r="BL52" i="1"/>
  <c r="BL67" i="1" s="1"/>
  <c r="U52" i="1"/>
  <c r="U67" i="1" s="1"/>
  <c r="CA52" i="1"/>
  <c r="CA67" i="1" s="1"/>
  <c r="BO52" i="1"/>
  <c r="BO67" i="1" s="1"/>
  <c r="D177" i="9"/>
  <c r="AM71" i="1"/>
  <c r="C704" i="1" s="1"/>
  <c r="C81" i="9"/>
  <c r="Q71" i="1"/>
  <c r="C682" i="1" s="1"/>
  <c r="G177" i="9"/>
  <c r="AP71" i="1"/>
  <c r="C707" i="1" s="1"/>
  <c r="BK52" i="1"/>
  <c r="BK67" i="1" s="1"/>
  <c r="BA52" i="1"/>
  <c r="BA67" i="1" s="1"/>
  <c r="BG52" i="1"/>
  <c r="BG67" i="1" s="1"/>
  <c r="AX52" i="1"/>
  <c r="AX67" i="1" s="1"/>
  <c r="AG52" i="1"/>
  <c r="AG67" i="1" s="1"/>
  <c r="L52" i="1"/>
  <c r="L67" i="1" s="1"/>
  <c r="BI52" i="1"/>
  <c r="BI67" i="1" s="1"/>
  <c r="BV52" i="1"/>
  <c r="BV67" i="1" s="1"/>
  <c r="AQ52" i="1"/>
  <c r="AQ67" i="1" s="1"/>
  <c r="I52" i="1"/>
  <c r="I67" i="1" s="1"/>
  <c r="AL52" i="1"/>
  <c r="AL67" i="1" s="1"/>
  <c r="BF52" i="1"/>
  <c r="BF67" i="1" s="1"/>
  <c r="AT52" i="1"/>
  <c r="AT67" i="1" s="1"/>
  <c r="D52" i="1"/>
  <c r="D67" i="1" s="1"/>
  <c r="O52" i="1"/>
  <c r="O67" i="1" s="1"/>
  <c r="V52" i="1"/>
  <c r="V67" i="1" s="1"/>
  <c r="BS52" i="1"/>
  <c r="BS67" i="1" s="1"/>
  <c r="Z52" i="1"/>
  <c r="Z67" i="1" s="1"/>
  <c r="BP52" i="1"/>
  <c r="BP67" i="1" s="1"/>
  <c r="S52" i="1"/>
  <c r="S67" i="1" s="1"/>
  <c r="BH52" i="1"/>
  <c r="BH67" i="1" s="1"/>
  <c r="AV52" i="1"/>
  <c r="AV67" i="1" s="1"/>
  <c r="AJ52" i="1"/>
  <c r="AJ67" i="1" s="1"/>
  <c r="AY52" i="1"/>
  <c r="AY67" i="1" s="1"/>
  <c r="BR52" i="1"/>
  <c r="BR67" i="1" s="1"/>
  <c r="X52" i="1"/>
  <c r="X67" i="1" s="1"/>
  <c r="E241" i="9" l="1"/>
  <c r="BN71" i="1"/>
  <c r="C305" i="9"/>
  <c r="F177" i="9"/>
  <c r="I209" i="9"/>
  <c r="AY71" i="1"/>
  <c r="C625" i="1" s="1"/>
  <c r="H145" i="9"/>
  <c r="AJ71" i="1"/>
  <c r="C701" i="1" s="1"/>
  <c r="C113" i="9"/>
  <c r="X71" i="1"/>
  <c r="C689" i="1" s="1"/>
  <c r="G305" i="9"/>
  <c r="BR71" i="1"/>
  <c r="C626" i="1" s="1"/>
  <c r="D273" i="9"/>
  <c r="BH71" i="1"/>
  <c r="C636" i="1" s="1"/>
  <c r="H305" i="9"/>
  <c r="BS71" i="1"/>
  <c r="C639" i="1" s="1"/>
  <c r="D209" i="9"/>
  <c r="AT71" i="1"/>
  <c r="C711" i="1" s="1"/>
  <c r="H177" i="9"/>
  <c r="AQ71" i="1"/>
  <c r="C708" i="1" s="1"/>
  <c r="E145" i="9"/>
  <c r="AG71" i="1"/>
  <c r="C698" i="1" s="1"/>
  <c r="G273" i="9"/>
  <c r="BK71" i="1"/>
  <c r="C635" i="1" s="1"/>
  <c r="C85" i="9"/>
  <c r="C510" i="1"/>
  <c r="BL71" i="1"/>
  <c r="C637" i="1" s="1"/>
  <c r="H273" i="9"/>
  <c r="F337" i="9"/>
  <c r="BX71" i="1"/>
  <c r="C644" i="1" s="1"/>
  <c r="F81" i="9"/>
  <c r="T71" i="1"/>
  <c r="C685" i="1" s="1"/>
  <c r="I273" i="9"/>
  <c r="BM71" i="1"/>
  <c r="C638" i="1" s="1"/>
  <c r="D49" i="9"/>
  <c r="K71" i="1"/>
  <c r="C676" i="1" s="1"/>
  <c r="C369" i="9"/>
  <c r="CB71" i="1"/>
  <c r="C622" i="1" s="1"/>
  <c r="G241" i="9"/>
  <c r="BD71" i="1"/>
  <c r="C624" i="1" s="1"/>
  <c r="C49" i="9"/>
  <c r="J71" i="1"/>
  <c r="C675" i="1" s="1"/>
  <c r="C337" i="9"/>
  <c r="BU71" i="1"/>
  <c r="C641" i="1" s="1"/>
  <c r="H81" i="9"/>
  <c r="V71" i="1"/>
  <c r="C687" i="1" s="1"/>
  <c r="BV71" i="1"/>
  <c r="C642" i="1" s="1"/>
  <c r="D337" i="9"/>
  <c r="H209" i="9"/>
  <c r="AX71" i="1"/>
  <c r="C616" i="1" s="1"/>
  <c r="G181" i="9"/>
  <c r="C535" i="1"/>
  <c r="D305" i="9"/>
  <c r="BO71" i="1"/>
  <c r="C627" i="1" s="1"/>
  <c r="H337" i="9"/>
  <c r="BZ71" i="1"/>
  <c r="C646" i="1" s="1"/>
  <c r="F49" i="9"/>
  <c r="M71" i="1"/>
  <c r="C678" i="1" s="1"/>
  <c r="I81" i="9"/>
  <c r="W71" i="1"/>
  <c r="C688" i="1" s="1"/>
  <c r="G113" i="9"/>
  <c r="AB71" i="1"/>
  <c r="C693" i="1" s="1"/>
  <c r="D113" i="9"/>
  <c r="Y71" i="1"/>
  <c r="C690" i="1" s="1"/>
  <c r="F17" i="9"/>
  <c r="F71" i="1"/>
  <c r="C671" i="1" s="1"/>
  <c r="F273" i="9"/>
  <c r="BJ71" i="1"/>
  <c r="C617" i="1" s="1"/>
  <c r="I145" i="9"/>
  <c r="AK71" i="1"/>
  <c r="C702" i="1" s="1"/>
  <c r="G145" i="9"/>
  <c r="AI71" i="1"/>
  <c r="C700" i="1" s="1"/>
  <c r="H17" i="9"/>
  <c r="H71" i="1"/>
  <c r="C673" i="1" s="1"/>
  <c r="F181" i="9"/>
  <c r="C534" i="1"/>
  <c r="I241" i="9"/>
  <c r="BF71" i="1"/>
  <c r="C629" i="1" s="1"/>
  <c r="BP71" i="1"/>
  <c r="C621" i="1" s="1"/>
  <c r="E305" i="9"/>
  <c r="C177" i="9"/>
  <c r="AL71" i="1"/>
  <c r="C703" i="1" s="1"/>
  <c r="E273" i="9"/>
  <c r="BI71" i="1"/>
  <c r="C634" i="1" s="1"/>
  <c r="C273" i="9"/>
  <c r="BG71" i="1"/>
  <c r="C618" i="1" s="1"/>
  <c r="I337" i="9"/>
  <c r="CA71" i="1"/>
  <c r="C647" i="1" s="1"/>
  <c r="E17" i="9"/>
  <c r="E71" i="1"/>
  <c r="C670" i="1" s="1"/>
  <c r="F241" i="9"/>
  <c r="BC71" i="1"/>
  <c r="C633" i="1" s="1"/>
  <c r="I113" i="9"/>
  <c r="AD71" i="1"/>
  <c r="C695" i="1" s="1"/>
  <c r="E181" i="9"/>
  <c r="C533" i="1"/>
  <c r="G533" i="1" s="1"/>
  <c r="G21" i="9"/>
  <c r="C500" i="1"/>
  <c r="G500" i="1" s="1"/>
  <c r="H241" i="9"/>
  <c r="BE71" i="1"/>
  <c r="C614" i="1" s="1"/>
  <c r="C209" i="9"/>
  <c r="AS71" i="1"/>
  <c r="C710" i="1" s="1"/>
  <c r="E337" i="9"/>
  <c r="BW71" i="1"/>
  <c r="C643" i="1" s="1"/>
  <c r="CE52" i="1"/>
  <c r="C67" i="1"/>
  <c r="CC71" i="1"/>
  <c r="C620" i="1" s="1"/>
  <c r="D369" i="9"/>
  <c r="G209" i="9"/>
  <c r="AW71" i="1"/>
  <c r="C631" i="1" s="1"/>
  <c r="I305" i="9"/>
  <c r="BT71" i="1"/>
  <c r="C640" i="1" s="1"/>
  <c r="E245" i="9"/>
  <c r="C547" i="1"/>
  <c r="H117" i="9"/>
  <c r="C522" i="1"/>
  <c r="E81" i="9"/>
  <c r="S71" i="1"/>
  <c r="C684" i="1" s="1"/>
  <c r="H49" i="9"/>
  <c r="O71" i="1"/>
  <c r="C680" i="1" s="1"/>
  <c r="F209" i="9"/>
  <c r="AV71" i="1"/>
  <c r="C713" i="1" s="1"/>
  <c r="E113" i="9"/>
  <c r="Z71" i="1"/>
  <c r="C691" i="1" s="1"/>
  <c r="D17" i="9"/>
  <c r="D71" i="1"/>
  <c r="C669" i="1" s="1"/>
  <c r="I17" i="9"/>
  <c r="I71" i="1"/>
  <c r="C674" i="1" s="1"/>
  <c r="E49" i="9"/>
  <c r="L71" i="1"/>
  <c r="C677" i="1" s="1"/>
  <c r="D241" i="9"/>
  <c r="BA71" i="1"/>
  <c r="C630" i="1" s="1"/>
  <c r="D181" i="9"/>
  <c r="C532" i="1"/>
  <c r="G532" i="1" s="1"/>
  <c r="G81" i="9"/>
  <c r="U71" i="1"/>
  <c r="C686" i="1" s="1"/>
  <c r="AU71" i="1"/>
  <c r="C712" i="1" s="1"/>
  <c r="E209" i="9"/>
  <c r="G337" i="9"/>
  <c r="BY71" i="1"/>
  <c r="C645" i="1" s="1"/>
  <c r="I49" i="9"/>
  <c r="P71" i="1"/>
  <c r="C681" i="1" s="1"/>
  <c r="C149" i="9"/>
  <c r="C524" i="1"/>
  <c r="C241" i="9"/>
  <c r="AZ71" i="1"/>
  <c r="C628" i="1" s="1"/>
  <c r="I177" i="9"/>
  <c r="AR71" i="1"/>
  <c r="C709" i="1" s="1"/>
  <c r="F113" i="9"/>
  <c r="AA71" i="1"/>
  <c r="C692" i="1" s="1"/>
  <c r="D81" i="9"/>
  <c r="R71" i="1"/>
  <c r="C683" i="1" s="1"/>
  <c r="F305" i="9"/>
  <c r="BQ71" i="1"/>
  <c r="C623" i="1" s="1"/>
  <c r="G49" i="9"/>
  <c r="N71" i="1"/>
  <c r="C679" i="1" s="1"/>
  <c r="D145" i="9"/>
  <c r="AF71" i="1"/>
  <c r="C697" i="1" s="1"/>
  <c r="F149" i="9"/>
  <c r="C527" i="1"/>
  <c r="G527" i="1" s="1"/>
  <c r="G524" i="1" l="1"/>
  <c r="H524" i="1"/>
  <c r="G534" i="1"/>
  <c r="H534" i="1" s="1"/>
  <c r="G535" i="1"/>
  <c r="H535" i="1"/>
  <c r="D615" i="1"/>
  <c r="C648" i="1"/>
  <c r="M716" i="1" s="1"/>
  <c r="G522" i="1"/>
  <c r="H522" i="1" s="1"/>
  <c r="G510" i="1"/>
  <c r="H510" i="1"/>
  <c r="C309" i="9"/>
  <c r="C619" i="1"/>
  <c r="C715" i="1" s="1"/>
  <c r="C559" i="1"/>
  <c r="F117" i="9"/>
  <c r="C520" i="1"/>
  <c r="E213" i="9"/>
  <c r="C540" i="1"/>
  <c r="G540" i="1" s="1"/>
  <c r="D85" i="9"/>
  <c r="C511" i="1"/>
  <c r="G85" i="9"/>
  <c r="C514" i="1"/>
  <c r="I21" i="9"/>
  <c r="C502" i="1"/>
  <c r="G502" i="1" s="1"/>
  <c r="H53" i="9"/>
  <c r="C508" i="1"/>
  <c r="C565" i="1"/>
  <c r="I309" i="9"/>
  <c r="D373" i="9"/>
  <c r="C574" i="1"/>
  <c r="E21" i="9"/>
  <c r="C498" i="1"/>
  <c r="C572" i="1"/>
  <c r="I341" i="9"/>
  <c r="C554" i="1"/>
  <c r="E277" i="9"/>
  <c r="F277" i="9"/>
  <c r="C555" i="1"/>
  <c r="I85" i="9"/>
  <c r="C516" i="1"/>
  <c r="C341" i="9"/>
  <c r="C566" i="1"/>
  <c r="C504" i="1"/>
  <c r="G504" i="1" s="1"/>
  <c r="D53" i="9"/>
  <c r="H181" i="9"/>
  <c r="C536" i="1"/>
  <c r="G536" i="1" s="1"/>
  <c r="G309" i="9"/>
  <c r="C563" i="1"/>
  <c r="C562" i="1"/>
  <c r="F309" i="9"/>
  <c r="C245" i="9"/>
  <c r="C545" i="1"/>
  <c r="G545" i="1" s="1"/>
  <c r="E53" i="9"/>
  <c r="C505" i="1"/>
  <c r="G505" i="1" s="1"/>
  <c r="F213" i="9"/>
  <c r="C541" i="1"/>
  <c r="C17" i="9"/>
  <c r="C71" i="1"/>
  <c r="C668" i="1" s="1"/>
  <c r="CE67" i="1"/>
  <c r="H245" i="9"/>
  <c r="C550" i="1"/>
  <c r="C548" i="1"/>
  <c r="F245" i="9"/>
  <c r="C277" i="9"/>
  <c r="C552" i="1"/>
  <c r="C551" i="1"/>
  <c r="I245" i="9"/>
  <c r="I149" i="9"/>
  <c r="C530" i="1"/>
  <c r="G530" i="1" s="1"/>
  <c r="G117" i="9"/>
  <c r="C521" i="1"/>
  <c r="D309" i="9"/>
  <c r="C560" i="1"/>
  <c r="H85" i="9"/>
  <c r="C515" i="1"/>
  <c r="C573" i="1"/>
  <c r="C373" i="9"/>
  <c r="F341" i="9"/>
  <c r="C569" i="1"/>
  <c r="E149" i="9"/>
  <c r="C526" i="1"/>
  <c r="D277" i="9"/>
  <c r="C553" i="1"/>
  <c r="I213" i="9"/>
  <c r="C544" i="1"/>
  <c r="D149" i="9"/>
  <c r="C525" i="1"/>
  <c r="G525" i="1" s="1"/>
  <c r="G53" i="9"/>
  <c r="C507" i="1"/>
  <c r="G507" i="1" s="1"/>
  <c r="C537" i="1"/>
  <c r="G537" i="1" s="1"/>
  <c r="I181" i="9"/>
  <c r="G341" i="9"/>
  <c r="C570" i="1"/>
  <c r="D245" i="9"/>
  <c r="C546" i="1"/>
  <c r="E117" i="9"/>
  <c r="C519" i="1"/>
  <c r="G519" i="1" s="1"/>
  <c r="C213" i="9"/>
  <c r="C538" i="1"/>
  <c r="G538" i="1" s="1"/>
  <c r="I117" i="9"/>
  <c r="C523" i="1"/>
  <c r="G523" i="1" s="1"/>
  <c r="G149" i="9"/>
  <c r="C528" i="1"/>
  <c r="G528" i="1" s="1"/>
  <c r="D117" i="9"/>
  <c r="C518" i="1"/>
  <c r="C571" i="1"/>
  <c r="H341" i="9"/>
  <c r="G245" i="9"/>
  <c r="C549" i="1"/>
  <c r="F85" i="9"/>
  <c r="C513" i="1"/>
  <c r="C557" i="1"/>
  <c r="H277" i="9"/>
  <c r="C556" i="1"/>
  <c r="G277" i="9"/>
  <c r="H309" i="9"/>
  <c r="C564" i="1"/>
  <c r="H149" i="9"/>
  <c r="C529" i="1"/>
  <c r="C509" i="1"/>
  <c r="I53" i="9"/>
  <c r="D21" i="9"/>
  <c r="C497" i="1"/>
  <c r="G497" i="1" s="1"/>
  <c r="E85" i="9"/>
  <c r="C512" i="1"/>
  <c r="C542" i="1"/>
  <c r="G213" i="9"/>
  <c r="E341" i="9"/>
  <c r="C568" i="1"/>
  <c r="C181" i="9"/>
  <c r="C531" i="1"/>
  <c r="G531" i="1" s="1"/>
  <c r="C561" i="1"/>
  <c r="E309" i="9"/>
  <c r="H21" i="9"/>
  <c r="C501" i="1"/>
  <c r="G501" i="1" s="1"/>
  <c r="F21" i="9"/>
  <c r="C499" i="1"/>
  <c r="F53" i="9"/>
  <c r="C506" i="1"/>
  <c r="G506" i="1" s="1"/>
  <c r="H213" i="9"/>
  <c r="C543" i="1"/>
  <c r="D341" i="9"/>
  <c r="C567" i="1"/>
  <c r="C53" i="9"/>
  <c r="C503" i="1"/>
  <c r="C558" i="1"/>
  <c r="I277" i="9"/>
  <c r="D213" i="9"/>
  <c r="C539" i="1"/>
  <c r="G539" i="1" s="1"/>
  <c r="C117" i="9"/>
  <c r="C517" i="1"/>
  <c r="G517" i="1" l="1"/>
  <c r="H517" i="1"/>
  <c r="G513" i="1"/>
  <c r="H513" i="1"/>
  <c r="G509" i="1"/>
  <c r="H509" i="1"/>
  <c r="G516" i="1"/>
  <c r="H516" i="1" s="1"/>
  <c r="G498" i="1"/>
  <c r="H498" i="1"/>
  <c r="G520" i="1"/>
  <c r="H520" i="1"/>
  <c r="G514" i="1"/>
  <c r="H514" i="1"/>
  <c r="G546" i="1"/>
  <c r="H546" i="1"/>
  <c r="G550" i="1"/>
  <c r="H550" i="1"/>
  <c r="D627" i="1"/>
  <c r="D674" i="1"/>
  <c r="D682" i="1"/>
  <c r="D700" i="1"/>
  <c r="D673" i="1"/>
  <c r="D646" i="1"/>
  <c r="D669" i="1"/>
  <c r="D628" i="1"/>
  <c r="D633" i="1"/>
  <c r="D629" i="1"/>
  <c r="D641" i="1"/>
  <c r="D672" i="1"/>
  <c r="D622" i="1"/>
  <c r="D626" i="1"/>
  <c r="D706" i="1"/>
  <c r="D712" i="1"/>
  <c r="D684" i="1"/>
  <c r="D702" i="1"/>
  <c r="D637" i="1"/>
  <c r="D701" i="1"/>
  <c r="D698" i="1"/>
  <c r="D681" i="1"/>
  <c r="D624" i="1"/>
  <c r="D683" i="1"/>
  <c r="D692" i="1"/>
  <c r="D710" i="1"/>
  <c r="D645" i="1"/>
  <c r="D625" i="1"/>
  <c r="D709" i="1"/>
  <c r="D642" i="1"/>
  <c r="D711" i="1"/>
  <c r="D618" i="1"/>
  <c r="D621" i="1"/>
  <c r="D638" i="1"/>
  <c r="D671" i="1"/>
  <c r="D636" i="1"/>
  <c r="D704" i="1"/>
  <c r="D713" i="1"/>
  <c r="D694" i="1"/>
  <c r="D703" i="1"/>
  <c r="D690" i="1"/>
  <c r="D632" i="1"/>
  <c r="D693" i="1"/>
  <c r="D617" i="1"/>
  <c r="D716" i="1"/>
  <c r="D634" i="1"/>
  <c r="D689" i="1"/>
  <c r="D639" i="1"/>
  <c r="D640" i="1"/>
  <c r="D691" i="1"/>
  <c r="D696" i="1"/>
  <c r="D705" i="1"/>
  <c r="D686" i="1"/>
  <c r="D695" i="1"/>
  <c r="D668" i="1"/>
  <c r="D620" i="1"/>
  <c r="D685" i="1"/>
  <c r="D676" i="1"/>
  <c r="D707" i="1"/>
  <c r="D623" i="1"/>
  <c r="D678" i="1"/>
  <c r="D643" i="1"/>
  <c r="D644" i="1"/>
  <c r="D699" i="1"/>
  <c r="D680" i="1"/>
  <c r="D679" i="1"/>
  <c r="D630" i="1"/>
  <c r="D708" i="1"/>
  <c r="D647" i="1"/>
  <c r="D635" i="1"/>
  <c r="D675" i="1"/>
  <c r="D688" i="1"/>
  <c r="D697" i="1"/>
  <c r="D687" i="1"/>
  <c r="D677" i="1"/>
  <c r="D616" i="1"/>
  <c r="D619" i="1"/>
  <c r="D670" i="1"/>
  <c r="D631" i="1"/>
  <c r="G521" i="1"/>
  <c r="H521" i="1"/>
  <c r="G512" i="1"/>
  <c r="H512" i="1"/>
  <c r="G544" i="1"/>
  <c r="H544" i="1"/>
  <c r="G511" i="1"/>
  <c r="H511" i="1" s="1"/>
  <c r="G515" i="1"/>
  <c r="H515" i="1"/>
  <c r="G508" i="1"/>
  <c r="H508" i="1" s="1"/>
  <c r="G529" i="1"/>
  <c r="H529" i="1"/>
  <c r="G503" i="1"/>
  <c r="H503" i="1" s="1"/>
  <c r="G499" i="1"/>
  <c r="H499" i="1"/>
  <c r="G518" i="1"/>
  <c r="H518" i="1"/>
  <c r="G526" i="1"/>
  <c r="H526" i="1"/>
  <c r="I369" i="9"/>
  <c r="C433" i="1"/>
  <c r="C441" i="1" s="1"/>
  <c r="CE71" i="1"/>
  <c r="C716" i="1" s="1"/>
  <c r="C21" i="9"/>
  <c r="C496" i="1"/>
  <c r="D715" i="1" l="1"/>
  <c r="G496" i="1"/>
  <c r="H496" i="1" s="1"/>
  <c r="E623" i="1"/>
  <c r="E612" i="1"/>
  <c r="I351" i="9"/>
  <c r="CE79" i="1"/>
  <c r="J612" i="1" s="1"/>
  <c r="I373" i="9"/>
  <c r="E701" i="1" l="1"/>
  <c r="E710" i="1"/>
  <c r="E645" i="1"/>
  <c r="E643" i="1"/>
  <c r="E635" i="1"/>
  <c r="E712" i="1"/>
  <c r="E680" i="1"/>
  <c r="E624" i="1"/>
  <c r="E679" i="1"/>
  <c r="E629" i="1"/>
  <c r="E676" i="1"/>
  <c r="E685" i="1"/>
  <c r="E694" i="1"/>
  <c r="E707" i="1"/>
  <c r="E704" i="1"/>
  <c r="E698" i="1"/>
  <c r="E682" i="1"/>
  <c r="E647" i="1"/>
  <c r="E688" i="1"/>
  <c r="E687" i="1"/>
  <c r="E693" i="1"/>
  <c r="E702" i="1"/>
  <c r="E716" i="1"/>
  <c r="E642" i="1"/>
  <c r="E634" i="1"/>
  <c r="E708" i="1"/>
  <c r="E671" i="1"/>
  <c r="E641" i="1"/>
  <c r="E633" i="1"/>
  <c r="E626" i="1"/>
  <c r="E669" i="1"/>
  <c r="E625" i="1"/>
  <c r="E637" i="1"/>
  <c r="E695" i="1"/>
  <c r="E681" i="1"/>
  <c r="E646" i="1"/>
  <c r="E684" i="1"/>
  <c r="E713" i="1"/>
  <c r="E686" i="1"/>
  <c r="E699" i="1"/>
  <c r="E640" i="1"/>
  <c r="E668" i="1"/>
  <c r="E700" i="1"/>
  <c r="E690" i="1"/>
  <c r="E636" i="1"/>
  <c r="E705" i="1"/>
  <c r="E678" i="1"/>
  <c r="E691" i="1"/>
  <c r="E639" i="1"/>
  <c r="E628" i="1"/>
  <c r="E696" i="1"/>
  <c r="E677" i="1"/>
  <c r="E711" i="1"/>
  <c r="E673" i="1"/>
  <c r="E670" i="1"/>
  <c r="E683" i="1"/>
  <c r="E706" i="1"/>
  <c r="E632" i="1"/>
  <c r="E703" i="1"/>
  <c r="E675" i="1"/>
  <c r="E709" i="1"/>
  <c r="E644" i="1"/>
  <c r="E697" i="1"/>
  <c r="E638" i="1"/>
  <c r="E692" i="1"/>
  <c r="E672" i="1"/>
  <c r="E631" i="1"/>
  <c r="E630" i="1"/>
  <c r="E689" i="1"/>
  <c r="E674" i="1"/>
  <c r="E627" i="1"/>
  <c r="I383" i="9"/>
  <c r="E715" i="1" l="1"/>
  <c r="F624" i="1"/>
  <c r="F690" i="1" l="1"/>
  <c r="F707" i="1"/>
  <c r="F641" i="1"/>
  <c r="F633" i="1"/>
  <c r="F708" i="1"/>
  <c r="F626" i="1"/>
  <c r="F630" i="1"/>
  <c r="F676" i="1"/>
  <c r="F679" i="1"/>
  <c r="F682" i="1"/>
  <c r="F699" i="1"/>
  <c r="F640" i="1"/>
  <c r="F632" i="1"/>
  <c r="F700" i="1"/>
  <c r="F673" i="1"/>
  <c r="F674" i="1"/>
  <c r="F645" i="1"/>
  <c r="F669" i="1"/>
  <c r="F670" i="1"/>
  <c r="F681" i="1"/>
  <c r="F710" i="1"/>
  <c r="F691" i="1"/>
  <c r="F639" i="1"/>
  <c r="F712" i="1"/>
  <c r="F692" i="1"/>
  <c r="F709" i="1"/>
  <c r="F627" i="1"/>
  <c r="F711" i="1"/>
  <c r="F625" i="1"/>
  <c r="F702" i="1"/>
  <c r="F683" i="1"/>
  <c r="F638" i="1"/>
  <c r="F704" i="1"/>
  <c r="F684" i="1"/>
  <c r="F701" i="1"/>
  <c r="F713" i="1"/>
  <c r="F687" i="1"/>
  <c r="F694" i="1"/>
  <c r="F675" i="1"/>
  <c r="F637" i="1"/>
  <c r="F696" i="1"/>
  <c r="F647" i="1"/>
  <c r="F693" i="1"/>
  <c r="F705" i="1"/>
  <c r="F668" i="1"/>
  <c r="F628" i="1"/>
  <c r="F706" i="1"/>
  <c r="F643" i="1"/>
  <c r="F680" i="1"/>
  <c r="F677" i="1"/>
  <c r="F671" i="1"/>
  <c r="F716" i="1"/>
  <c r="F634" i="1"/>
  <c r="F631" i="1"/>
  <c r="F686" i="1"/>
  <c r="F644" i="1"/>
  <c r="F636" i="1"/>
  <c r="F688" i="1"/>
  <c r="F703" i="1"/>
  <c r="F685" i="1"/>
  <c r="F697" i="1"/>
  <c r="F678" i="1"/>
  <c r="F635" i="1"/>
  <c r="F695" i="1"/>
  <c r="F689" i="1"/>
  <c r="F698" i="1"/>
  <c r="F642" i="1"/>
  <c r="F672" i="1"/>
  <c r="F629" i="1"/>
  <c r="F646" i="1"/>
  <c r="F715" i="1" l="1"/>
  <c r="G625" i="1"/>
  <c r="G695" i="1" l="1"/>
  <c r="G712" i="1"/>
  <c r="G693" i="1"/>
  <c r="G626" i="1"/>
  <c r="G710" i="1"/>
  <c r="G644" i="1"/>
  <c r="G633" i="1"/>
  <c r="G708" i="1"/>
  <c r="G668" i="1"/>
  <c r="G687" i="1"/>
  <c r="G704" i="1"/>
  <c r="G685" i="1"/>
  <c r="G702" i="1"/>
  <c r="G694" i="1"/>
  <c r="G640" i="1"/>
  <c r="G674" i="1"/>
  <c r="G700" i="1"/>
  <c r="G638" i="1"/>
  <c r="G688" i="1"/>
  <c r="G669" i="1"/>
  <c r="G705" i="1"/>
  <c r="G627" i="1"/>
  <c r="G703" i="1"/>
  <c r="G675" i="1"/>
  <c r="G642" i="1"/>
  <c r="G679" i="1"/>
  <c r="G696" i="1"/>
  <c r="G677" i="1"/>
  <c r="G678" i="1"/>
  <c r="G713" i="1"/>
  <c r="G636" i="1"/>
  <c r="G645" i="1"/>
  <c r="G692" i="1"/>
  <c r="G628" i="1"/>
  <c r="G716" i="1"/>
  <c r="G671" i="1"/>
  <c r="G632" i="1"/>
  <c r="G684" i="1"/>
  <c r="G629" i="1"/>
  <c r="G686" i="1"/>
  <c r="G707" i="1"/>
  <c r="G680" i="1"/>
  <c r="G643" i="1"/>
  <c r="G646" i="1"/>
  <c r="G697" i="1"/>
  <c r="G706" i="1"/>
  <c r="G673" i="1"/>
  <c r="G647" i="1"/>
  <c r="G691" i="1"/>
  <c r="G630" i="1"/>
  <c r="G682" i="1"/>
  <c r="G634" i="1"/>
  <c r="G683" i="1"/>
  <c r="G676" i="1"/>
  <c r="G699" i="1"/>
  <c r="G672" i="1"/>
  <c r="G639" i="1"/>
  <c r="G631" i="1"/>
  <c r="G689" i="1"/>
  <c r="G698" i="1"/>
  <c r="G641" i="1"/>
  <c r="G670" i="1"/>
  <c r="G711" i="1"/>
  <c r="G709" i="1"/>
  <c r="G635" i="1"/>
  <c r="G681" i="1"/>
  <c r="G690" i="1"/>
  <c r="G701" i="1"/>
  <c r="G637" i="1"/>
  <c r="G715" i="1" l="1"/>
  <c r="H628" i="1"/>
  <c r="H692" i="1" l="1"/>
  <c r="H701" i="1"/>
  <c r="H682" i="1"/>
  <c r="H697" i="1"/>
  <c r="H702" i="1"/>
  <c r="H641" i="1"/>
  <c r="H703" i="1"/>
  <c r="H707" i="1"/>
  <c r="H684" i="1"/>
  <c r="H693" i="1"/>
  <c r="H674" i="1"/>
  <c r="H689" i="1"/>
  <c r="H646" i="1"/>
  <c r="H637" i="1"/>
  <c r="H695" i="1"/>
  <c r="H643" i="1"/>
  <c r="H630" i="1"/>
  <c r="H645" i="1"/>
  <c r="H679" i="1"/>
  <c r="H700" i="1"/>
  <c r="H632" i="1"/>
  <c r="H683" i="1"/>
  <c r="H712" i="1"/>
  <c r="H685" i="1"/>
  <c r="H631" i="1"/>
  <c r="H681" i="1"/>
  <c r="H638" i="1"/>
  <c r="H633" i="1"/>
  <c r="H687" i="1"/>
  <c r="H639" i="1"/>
  <c r="H704" i="1"/>
  <c r="H677" i="1"/>
  <c r="H676" i="1"/>
  <c r="H710" i="1"/>
  <c r="H635" i="1"/>
  <c r="H709" i="1"/>
  <c r="H673" i="1"/>
  <c r="H696" i="1"/>
  <c r="H669" i="1"/>
  <c r="H642" i="1"/>
  <c r="H644" i="1"/>
  <c r="H686" i="1"/>
  <c r="H694" i="1"/>
  <c r="H672" i="1"/>
  <c r="H629" i="1"/>
  <c r="H713" i="1"/>
  <c r="H675" i="1"/>
  <c r="H668" i="1"/>
  <c r="H705" i="1"/>
  <c r="H716" i="1"/>
  <c r="H688" i="1"/>
  <c r="H706" i="1"/>
  <c r="H699" i="1"/>
  <c r="H640" i="1"/>
  <c r="H671" i="1"/>
  <c r="H678" i="1"/>
  <c r="H670" i="1"/>
  <c r="H647" i="1"/>
  <c r="H708" i="1"/>
  <c r="H680" i="1"/>
  <c r="H698" i="1"/>
  <c r="H636" i="1"/>
  <c r="H634" i="1"/>
  <c r="H691" i="1"/>
  <c r="H690" i="1"/>
  <c r="H711" i="1"/>
  <c r="H715" i="1" l="1"/>
  <c r="I629" i="1"/>
  <c r="I705" i="1" l="1"/>
  <c r="I677" i="1"/>
  <c r="I695" i="1"/>
  <c r="I680" i="1"/>
  <c r="I692" i="1"/>
  <c r="I647" i="1"/>
  <c r="I710" i="1"/>
  <c r="I716" i="1"/>
  <c r="I637" i="1"/>
  <c r="I639" i="1"/>
  <c r="I697" i="1"/>
  <c r="I706" i="1"/>
  <c r="I687" i="1"/>
  <c r="I676" i="1"/>
  <c r="I645" i="1"/>
  <c r="I675" i="1"/>
  <c r="I702" i="1"/>
  <c r="I691" i="1"/>
  <c r="I689" i="1"/>
  <c r="I679" i="1"/>
  <c r="I644" i="1"/>
  <c r="I672" i="1"/>
  <c r="I673" i="1"/>
  <c r="I694" i="1"/>
  <c r="I631" i="1"/>
  <c r="I686" i="1"/>
  <c r="I630" i="1"/>
  <c r="I709" i="1"/>
  <c r="I682" i="1"/>
  <c r="I642" i="1"/>
  <c r="I683" i="1"/>
  <c r="I698" i="1"/>
  <c r="I712" i="1"/>
  <c r="I678" i="1"/>
  <c r="I681" i="1"/>
  <c r="I690" i="1"/>
  <c r="I671" i="1"/>
  <c r="I640" i="1"/>
  <c r="I670" i="1"/>
  <c r="I641" i="1"/>
  <c r="I636" i="1"/>
  <c r="I684" i="1"/>
  <c r="I701" i="1"/>
  <c r="I674" i="1"/>
  <c r="I704" i="1"/>
  <c r="I632" i="1"/>
  <c r="I638" i="1"/>
  <c r="I633" i="1"/>
  <c r="I646" i="1"/>
  <c r="I635" i="1"/>
  <c r="I643" i="1"/>
  <c r="I713" i="1"/>
  <c r="I703" i="1"/>
  <c r="I669" i="1"/>
  <c r="I707" i="1"/>
  <c r="I693" i="1"/>
  <c r="I711" i="1"/>
  <c r="I696" i="1"/>
  <c r="I699" i="1"/>
  <c r="I634" i="1"/>
  <c r="I668" i="1"/>
  <c r="I708" i="1"/>
  <c r="I685" i="1"/>
  <c r="I688" i="1"/>
  <c r="I700" i="1"/>
  <c r="I715" i="1" l="1"/>
  <c r="J630" i="1"/>
  <c r="J710" i="1" l="1"/>
  <c r="J682" i="1"/>
  <c r="J700" i="1"/>
  <c r="J689" i="1"/>
  <c r="J677" i="1"/>
  <c r="J699" i="1"/>
  <c r="J634" i="1"/>
  <c r="J696" i="1"/>
  <c r="J692" i="1"/>
  <c r="J681" i="1"/>
  <c r="J691" i="1"/>
  <c r="J683" i="1"/>
  <c r="J688" i="1"/>
  <c r="J673" i="1"/>
  <c r="J669" i="1"/>
  <c r="J680" i="1"/>
  <c r="J639" i="1"/>
  <c r="J644" i="1"/>
  <c r="J668" i="1"/>
  <c r="J643" i="1"/>
  <c r="J716" i="1"/>
  <c r="J631" i="1"/>
  <c r="J702" i="1"/>
  <c r="J711" i="1"/>
  <c r="J675" i="1"/>
  <c r="J641" i="1"/>
  <c r="J687" i="1"/>
  <c r="J672" i="1"/>
  <c r="J712" i="1"/>
  <c r="J707" i="1"/>
  <c r="J694" i="1"/>
  <c r="J703" i="1"/>
  <c r="J684" i="1"/>
  <c r="J645" i="1"/>
  <c r="J674" i="1"/>
  <c r="J647" i="1"/>
  <c r="J678" i="1"/>
  <c r="J637" i="1"/>
  <c r="J640" i="1"/>
  <c r="J705" i="1"/>
  <c r="J690" i="1"/>
  <c r="J638" i="1"/>
  <c r="J686" i="1"/>
  <c r="J695" i="1"/>
  <c r="J676" i="1"/>
  <c r="J646" i="1"/>
  <c r="J671" i="1"/>
  <c r="J642" i="1"/>
  <c r="J708" i="1"/>
  <c r="J704" i="1"/>
  <c r="J709" i="1"/>
  <c r="J632" i="1"/>
  <c r="J697" i="1"/>
  <c r="J706" i="1"/>
  <c r="J679" i="1"/>
  <c r="J713" i="1"/>
  <c r="J701" i="1"/>
  <c r="J633" i="1"/>
  <c r="J670" i="1"/>
  <c r="J635" i="1"/>
  <c r="J636" i="1"/>
  <c r="J698" i="1"/>
  <c r="J693" i="1"/>
  <c r="J685" i="1"/>
  <c r="J715" i="1" l="1"/>
  <c r="L647" i="1"/>
  <c r="K644" i="1"/>
  <c r="K716" i="1" l="1"/>
  <c r="K687" i="1"/>
  <c r="K713" i="1"/>
  <c r="K693" i="1"/>
  <c r="K686" i="1"/>
  <c r="K671" i="1"/>
  <c r="K677" i="1"/>
  <c r="K672" i="1"/>
  <c r="K704" i="1"/>
  <c r="K676" i="1"/>
  <c r="K668" i="1"/>
  <c r="K707" i="1"/>
  <c r="K679" i="1"/>
  <c r="K705" i="1"/>
  <c r="K685" i="1"/>
  <c r="K678" i="1"/>
  <c r="K669" i="1"/>
  <c r="K699" i="1"/>
  <c r="K708" i="1"/>
  <c r="K697" i="1"/>
  <c r="K702" i="1"/>
  <c r="M702" i="1" s="1"/>
  <c r="I151" i="9" s="1"/>
  <c r="K695" i="1"/>
  <c r="K682" i="1"/>
  <c r="K691" i="1"/>
  <c r="K700" i="1"/>
  <c r="K689" i="1"/>
  <c r="K675" i="1"/>
  <c r="K670" i="1"/>
  <c r="K696" i="1"/>
  <c r="K711" i="1"/>
  <c r="K673" i="1"/>
  <c r="K698" i="1"/>
  <c r="K703" i="1"/>
  <c r="K680" i="1"/>
  <c r="K694" i="1"/>
  <c r="K683" i="1"/>
  <c r="K692" i="1"/>
  <c r="K681" i="1"/>
  <c r="K674" i="1"/>
  <c r="K706" i="1"/>
  <c r="K712" i="1"/>
  <c r="K684" i="1"/>
  <c r="K710" i="1"/>
  <c r="K688" i="1"/>
  <c r="K709" i="1"/>
  <c r="K690" i="1"/>
  <c r="K701" i="1"/>
  <c r="L712" i="1"/>
  <c r="L684" i="1"/>
  <c r="L702" i="1"/>
  <c r="L695" i="1"/>
  <c r="L669" i="1"/>
  <c r="M669" i="1" s="1"/>
  <c r="D23" i="9" s="1"/>
  <c r="L709" i="1"/>
  <c r="L689" i="1"/>
  <c r="M689" i="1" s="1"/>
  <c r="C119" i="9" s="1"/>
  <c r="L698" i="1"/>
  <c r="M698" i="1" s="1"/>
  <c r="E151" i="9" s="1"/>
  <c r="L690" i="1"/>
  <c r="L668" i="1"/>
  <c r="L703" i="1"/>
  <c r="L704" i="1"/>
  <c r="M704" i="1" s="1"/>
  <c r="D183" i="9" s="1"/>
  <c r="L713" i="1"/>
  <c r="M713" i="1" s="1"/>
  <c r="F215" i="9" s="1"/>
  <c r="L694" i="1"/>
  <c r="M694" i="1" s="1"/>
  <c r="H119" i="9" s="1"/>
  <c r="L687" i="1"/>
  <c r="M687" i="1" s="1"/>
  <c r="H87" i="9" s="1"/>
  <c r="L716" i="1"/>
  <c r="L701" i="1"/>
  <c r="M701" i="1" s="1"/>
  <c r="H151" i="9" s="1"/>
  <c r="L708" i="1"/>
  <c r="M708" i="1" s="1"/>
  <c r="H183" i="9" s="1"/>
  <c r="L683" i="1"/>
  <c r="L672" i="1"/>
  <c r="M672" i="1" s="1"/>
  <c r="G23" i="9" s="1"/>
  <c r="L710" i="1"/>
  <c r="L696" i="1"/>
  <c r="M696" i="1" s="1"/>
  <c r="C151" i="9" s="1"/>
  <c r="L705" i="1"/>
  <c r="M705" i="1" s="1"/>
  <c r="E183" i="9" s="1"/>
  <c r="L686" i="1"/>
  <c r="M686" i="1" s="1"/>
  <c r="G87" i="9" s="1"/>
  <c r="L679" i="1"/>
  <c r="M679" i="1" s="1"/>
  <c r="G55" i="9" s="1"/>
  <c r="L707" i="1"/>
  <c r="M707" i="1" s="1"/>
  <c r="G183" i="9" s="1"/>
  <c r="L693" i="1"/>
  <c r="M693" i="1" s="1"/>
  <c r="G119" i="9" s="1"/>
  <c r="L685" i="1"/>
  <c r="M685" i="1" s="1"/>
  <c r="F87" i="9" s="1"/>
  <c r="L677" i="1"/>
  <c r="M677" i="1" s="1"/>
  <c r="E55" i="9" s="1"/>
  <c r="L674" i="1"/>
  <c r="M674" i="1" s="1"/>
  <c r="I23" i="9" s="1"/>
  <c r="L700" i="1"/>
  <c r="M700" i="1" s="1"/>
  <c r="G151" i="9" s="1"/>
  <c r="L675" i="1"/>
  <c r="M675" i="1" s="1"/>
  <c r="C55" i="9" s="1"/>
  <c r="L711" i="1"/>
  <c r="L688" i="1"/>
  <c r="L697" i="1"/>
  <c r="M697" i="1" s="1"/>
  <c r="D151" i="9" s="1"/>
  <c r="L678" i="1"/>
  <c r="M678" i="1" s="1"/>
  <c r="F55" i="9" s="1"/>
  <c r="L706" i="1"/>
  <c r="M706" i="1" s="1"/>
  <c r="F183" i="9" s="1"/>
  <c r="L699" i="1"/>
  <c r="M699" i="1" s="1"/>
  <c r="F151" i="9" s="1"/>
  <c r="L670" i="1"/>
  <c r="M670" i="1" s="1"/>
  <c r="E23" i="9" s="1"/>
  <c r="L681" i="1"/>
  <c r="M681" i="1" s="1"/>
  <c r="I55" i="9" s="1"/>
  <c r="L676" i="1"/>
  <c r="L673" i="1"/>
  <c r="L692" i="1"/>
  <c r="M692" i="1" s="1"/>
  <c r="F119" i="9" s="1"/>
  <c r="L680" i="1"/>
  <c r="L691" i="1"/>
  <c r="M691" i="1" s="1"/>
  <c r="E119" i="9" s="1"/>
  <c r="L682" i="1"/>
  <c r="M682" i="1" s="1"/>
  <c r="C87" i="9" s="1"/>
  <c r="L671" i="1"/>
  <c r="M671" i="1" s="1"/>
  <c r="F23" i="9" s="1"/>
  <c r="M673" i="1" l="1"/>
  <c r="H23" i="9" s="1"/>
  <c r="M690" i="1"/>
  <c r="D119" i="9" s="1"/>
  <c r="M711" i="1"/>
  <c r="D215" i="9" s="1"/>
  <c r="M709" i="1"/>
  <c r="I183" i="9" s="1"/>
  <c r="M688" i="1"/>
  <c r="I87" i="9" s="1"/>
  <c r="M695" i="1"/>
  <c r="I119" i="9" s="1"/>
  <c r="M710" i="1"/>
  <c r="C215" i="9" s="1"/>
  <c r="K715" i="1"/>
  <c r="M683" i="1"/>
  <c r="D87" i="9" s="1"/>
  <c r="M684" i="1"/>
  <c r="E87" i="9" s="1"/>
  <c r="M680" i="1"/>
  <c r="H55" i="9" s="1"/>
  <c r="M676" i="1"/>
  <c r="D55" i="9" s="1"/>
  <c r="L715" i="1"/>
  <c r="M668" i="1"/>
  <c r="M712" i="1"/>
  <c r="E215" i="9" s="1"/>
  <c r="M703" i="1"/>
  <c r="C183" i="9" s="1"/>
  <c r="M715" i="1" l="1"/>
  <c r="C23" i="9"/>
</calcChain>
</file>

<file path=xl/sharedStrings.xml><?xml version="1.0" encoding="utf-8"?>
<sst xmlns="http://schemas.openxmlformats.org/spreadsheetml/2006/main" count="4672" uniqueCount="1277">
  <si>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</si>
  <si>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</si>
  <si>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</si>
  <si>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</si>
  <si>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</si>
  <si>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</si>
  <si>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</si>
  <si>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</si>
  <si>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</si>
  <si>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</si>
  <si>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</si>
  <si>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</si>
  <si>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</si>
  <si>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</si>
  <si>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</si>
  <si>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</si>
  <si>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</si>
  <si>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</si>
  <si>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</si>
  <si>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</si>
  <si>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</si>
  <si>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</si>
  <si>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</si>
  <si>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</si>
  <si>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</si>
  <si>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</si>
  <si>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</si>
  <si>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</si>
  <si>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</si>
  <si>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</si>
  <si>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</si>
  <si>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</si>
  <si>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</si>
  <si>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</si>
  <si>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</si>
  <si>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</si>
  <si>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</si>
  <si>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</si>
  <si>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</si>
  <si>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</si>
  <si>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</si>
  <si>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</si>
  <si>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</si>
  <si>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</si>
  <si>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</si>
  <si>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</si>
  <si>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</si>
  <si>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</si>
  <si>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</si>
  <si>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</si>
  <si>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</si>
  <si>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</si>
  <si>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</si>
  <si>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</si>
  <si>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</si>
  <si>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</si>
  <si>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</si>
  <si>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</si>
  <si>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</si>
  <si>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</si>
  <si>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</si>
  <si>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</si>
  <si>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</si>
  <si>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</si>
  <si>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</si>
  <si>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</si>
  <si>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</si>
  <si>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</si>
  <si>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</si>
  <si>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</si>
  <si>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</si>
  <si>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</si>
  <si>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</si>
  <si>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</si>
  <si>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</si>
  <si>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</si>
  <si>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</si>
  <si>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</si>
  <si>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</si>
  <si>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</si>
  <si>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</si>
  <si>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</si>
  <si>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</si>
  <si>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</si>
  <si>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</si>
  <si>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</si>
  <si>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</si>
  <si>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</si>
  <si>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</si>
  <si>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</si>
  <si>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</si>
  <si>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</si>
  <si>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</si>
  <si>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</si>
  <si>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</si>
  <si>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</si>
  <si>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</si>
  <si>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</si>
  <si>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</si>
  <si>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</si>
  <si>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</si>
  <si>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</si>
  <si>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</si>
  <si>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</si>
  <si>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</si>
  <si>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</si>
  <si>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</si>
  <si>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</si>
  <si>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</si>
  <si>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</si>
  <si>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</si>
  <si>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</si>
  <si>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</si>
  <si>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</si>
  <si>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</si>
  <si>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</si>
  <si>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</si>
  <si>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</si>
  <si>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</si>
  <si>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</si>
  <si>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</si>
  <si>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</si>
  <si>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</si>
  <si>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</si>
  <si>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</si>
  <si>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</si>
  <si>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</si>
  <si>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</si>
  <si>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</si>
  <si>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</si>
  <si>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</si>
  <si>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</si>
  <si>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</si>
  <si>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</si>
  <si>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</si>
  <si>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</si>
  <si>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</si>
  <si>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</si>
  <si>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</si>
  <si>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</si>
  <si>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</si>
  <si>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</si>
  <si>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</si>
  <si>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</si>
  <si>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</si>
  <si>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</si>
  <si>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</si>
  <si>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</si>
  <si>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</si>
  <si>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</si>
  <si>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</si>
  <si>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</si>
  <si>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</si>
  <si>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</si>
  <si>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</si>
  <si>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</si>
  <si>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</si>
  <si>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</si>
  <si>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</si>
  <si>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</si>
  <si>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</si>
  <si>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</si>
  <si>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</si>
  <si>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</si>
  <si>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</si>
  <si>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</si>
  <si>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</si>
  <si>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</si>
  <si>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</si>
  <si>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</si>
  <si>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</si>
  <si>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</si>
  <si>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</si>
  <si>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</si>
  <si>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</si>
  <si>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</si>
  <si>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</si>
  <si>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</si>
  <si>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</si>
  <si>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</si>
  <si>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</si>
  <si>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</si>
  <si>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</si>
  <si>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</si>
  <si>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</si>
  <si>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</si>
  <si>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</si>
  <si>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</si>
  <si>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</si>
  <si>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</si>
  <si>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</si>
  <si>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</si>
  <si>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</si>
  <si>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</si>
  <si>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</si>
  <si>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</si>
  <si>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</si>
  <si>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</si>
  <si>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</si>
  <si>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</si>
  <si>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</si>
  <si>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</si>
  <si>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</si>
  <si>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</si>
  <si>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</si>
  <si>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</si>
  <si>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</si>
  <si>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</si>
  <si>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</si>
  <si>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</si>
  <si>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</si>
  <si>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</si>
  <si>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</si>
  <si>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</si>
  <si>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</si>
  <si>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</si>
  <si>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</si>
  <si>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</si>
  <si>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</si>
  <si>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</si>
  <si>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</si>
  <si>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</si>
  <si>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</si>
  <si>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</si>
  <si>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</si>
  <si>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</si>
  <si>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</si>
  <si>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</si>
  <si>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</si>
  <si>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</si>
  <si>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</si>
  <si>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</si>
  <si>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</si>
  <si>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</si>
  <si>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</si>
  <si>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</si>
  <si>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</si>
  <si>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</si>
  <si>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</si>
  <si>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</si>
  <si>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</si>
  <si>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</si>
  <si>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</si>
  <si>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</si>
  <si>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</si>
  <si>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</si>
  <si>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</si>
  <si>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</si>
  <si>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</si>
  <si>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</si>
  <si>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</si>
  <si>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</si>
  <si>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</si>
  <si>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</si>
  <si>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</si>
  <si>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</si>
  <si>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</si>
  <si>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</si>
  <si>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</si>
  <si>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</si>
  <si>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</si>
  <si>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</si>
  <si>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</si>
  <si>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</si>
  <si>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</si>
  <si>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</si>
  <si>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</si>
  <si>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</si>
  <si>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</si>
  <si>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</si>
  <si>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</si>
  <si>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</si>
  <si>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</si>
  <si>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</si>
  <si>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</si>
  <si>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</si>
  <si>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</si>
  <si>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</si>
  <si>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</si>
  <si>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</si>
  <si>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</si>
  <si>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</si>
  <si>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</si>
  <si>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</si>
  <si>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</si>
  <si>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</si>
  <si>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</si>
  <si>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</si>
  <si>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</si>
  <si>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</si>
  <si>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</si>
  <si>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</si>
  <si>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</si>
  <si>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</si>
  <si>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</si>
  <si>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</si>
  <si>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</si>
  <si>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</si>
  <si>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</si>
  <si>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</si>
  <si>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</si>
  <si>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</si>
  <si>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</si>
  <si>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</si>
  <si>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</si>
  <si>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</si>
  <si>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</si>
  <si>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</si>
  <si>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</si>
  <si>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</si>
  <si>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</si>
  <si>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</si>
  <si>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</si>
  <si>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</si>
  <si>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</si>
  <si>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</si>
  <si>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</si>
  <si>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</si>
  <si>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</si>
  <si>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</si>
  <si>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</si>
  <si>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</si>
  <si>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</si>
  <si>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</si>
  <si>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</si>
  <si>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</si>
  <si>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</si>
  <si>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</si>
  <si>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</si>
  <si>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</si>
  <si>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</si>
  <si>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</si>
  <si>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</si>
  <si>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</si>
  <si>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</si>
  <si>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</si>
  <si>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</si>
  <si>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</si>
  <si>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</si>
  <si>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</si>
  <si>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</si>
  <si>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</si>
  <si>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</si>
  <si>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</si>
  <si>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</si>
  <si>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</si>
  <si>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</si>
  <si>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</si>
  <si>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</si>
  <si>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</si>
  <si>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</si>
  <si>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</si>
  <si>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</si>
  <si>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</si>
  <si>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</si>
  <si>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</si>
  <si>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</si>
  <si>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</si>
  <si>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</si>
  <si>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</si>
  <si>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</si>
  <si>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</si>
  <si>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</si>
  <si>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</si>
  <si>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</si>
  <si>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</si>
  <si>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</si>
  <si>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</si>
  <si>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</si>
  <si>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</si>
  <si>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</si>
  <si>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</si>
  <si>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</si>
  <si>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</si>
  <si>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</si>
  <si>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</si>
  <si>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</si>
  <si>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</si>
  <si>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</si>
  <si>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</si>
  <si>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</si>
  <si>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</si>
  <si>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</si>
  <si>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</si>
  <si>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</si>
  <si>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</si>
  <si>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</si>
  <si>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</si>
  <si>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</si>
  <si>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</si>
  <si>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</si>
  <si>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</si>
  <si>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</si>
  <si>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</si>
  <si>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</si>
  <si>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</si>
  <si>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</si>
  <si>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</si>
  <si>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</si>
  <si>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</si>
  <si>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</si>
  <si>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</si>
  <si>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</si>
  <si>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</si>
  <si>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</si>
  <si>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</si>
  <si>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</si>
  <si>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</si>
  <si>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</si>
  <si>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</si>
  <si>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</si>
  <si>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</si>
  <si>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</si>
  <si>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</si>
  <si>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</si>
  <si>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</si>
  <si>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</si>
  <si>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</si>
  <si>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</si>
  <si>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</si>
  <si>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</si>
  <si>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</si>
  <si>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</si>
  <si>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</si>
  <si>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</si>
  <si>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</si>
  <si>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</si>
  <si>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</si>
  <si>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</si>
  <si>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</si>
  <si>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</si>
  <si>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</si>
  <si>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</si>
  <si>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</si>
  <si>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</si>
  <si>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</si>
  <si>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</si>
  <si>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</si>
  <si>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</si>
  <si>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</si>
  <si>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</si>
  <si>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</si>
  <si>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</si>
  <si>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</si>
  <si>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</si>
  <si>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</si>
  <si>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</si>
  <si>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</si>
  <si>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</si>
  <si>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</si>
  <si>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</si>
  <si>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</si>
  <si>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</si>
  <si>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</si>
  <si>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</si>
  <si>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</si>
  <si>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</si>
  <si>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</si>
  <si>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</si>
  <si>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</si>
  <si>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</si>
  <si>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</si>
  <si>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</si>
  <si>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</si>
  <si>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</si>
  <si>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</si>
  <si>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</si>
  <si>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</si>
  <si>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</si>
  <si>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</si>
  <si>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</si>
  <si>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</si>
  <si>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</si>
  <si>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</si>
  <si>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</si>
  <si>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</si>
  <si>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</si>
  <si>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</si>
  <si>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</si>
  <si>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</si>
  <si>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</si>
  <si>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</si>
  <si>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</si>
  <si>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</si>
  <si>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</si>
  <si>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</si>
  <si>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</si>
  <si>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</si>
  <si>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</si>
  <si>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</si>
  <si>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</si>
  <si>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</si>
  <si>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</si>
  <si>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</si>
  <si>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</si>
  <si>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</si>
  <si>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</si>
  <si>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</si>
  <si>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</si>
  <si>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</si>
  <si>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</si>
  <si>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</si>
  <si>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</si>
  <si>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</si>
  <si>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</si>
  <si>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</si>
  <si>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</si>
  <si>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</si>
  <si>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</si>
  <si>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</si>
  <si>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</si>
  <si>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</si>
  <si>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</si>
  <si>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</si>
  <si>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</si>
  <si>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</si>
  <si>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</si>
  <si>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</si>
  <si>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</si>
  <si>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</si>
  <si>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</si>
  <si>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</si>
  <si>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</si>
  <si>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</si>
  <si>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</si>
  <si>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</si>
  <si>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</si>
  <si>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</si>
  <si>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</si>
  <si>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</si>
  <si>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</si>
  <si>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</si>
  <si>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</si>
  <si>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</si>
  <si>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</si>
  <si>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</si>
  <si>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</si>
  <si>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</si>
  <si>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</si>
  <si>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</si>
  <si>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</si>
  <si>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</si>
  <si>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</si>
  <si>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</si>
  <si>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</si>
  <si>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</si>
  <si>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</si>
  <si>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</si>
  <si>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</si>
  <si>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</si>
  <si>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</si>
  <si>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</si>
  <si>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</si>
  <si>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</si>
  <si>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</si>
  <si>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</si>
  <si>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</si>
  <si>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</si>
  <si>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</si>
  <si>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</si>
  <si>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</si>
  <si>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</si>
  <si>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</si>
  <si>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</si>
  <si>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</si>
  <si>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</si>
  <si>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</si>
  <si>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</si>
  <si>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</si>
  <si>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</si>
  <si>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</si>
  <si>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</si>
  <si>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</si>
  <si>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</si>
  <si>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</si>
  <si>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</si>
  <si>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</si>
  <si>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</si>
  <si>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</si>
  <si>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</si>
  <si>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</si>
  <si>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</si>
  <si>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</si>
  <si>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</si>
  <si>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</si>
  <si>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</si>
  <si>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</si>
  <si>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</si>
  <si>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</si>
  <si>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</si>
  <si>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</si>
  <si>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</si>
  <si>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</si>
  <si>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</si>
  <si>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</si>
  <si>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</si>
  <si>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</si>
  <si>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</si>
  <si>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</si>
  <si>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</si>
  <si>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</si>
  <si>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</si>
  <si>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</si>
  <si>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</si>
  <si>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</si>
  <si>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</si>
  <si>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</si>
  <si>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</si>
  <si>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</si>
  <si>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</si>
  <si>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</si>
  <si>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</si>
  <si>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</si>
  <si>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</si>
  <si>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</si>
  <si>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</si>
  <si>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</si>
  <si>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</si>
  <si>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</si>
  <si>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</si>
  <si>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</si>
  <si>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</si>
  <si>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</si>
  <si>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</si>
  <si>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</si>
  <si>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</si>
  <si>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</si>
  <si>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</si>
  <si>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</si>
  <si>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</si>
  <si>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</si>
  <si>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</si>
  <si>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</si>
  <si>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</si>
  <si>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</si>
  <si>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</si>
  <si>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</si>
  <si>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</si>
  <si>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</si>
  <si>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</si>
  <si>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</si>
  <si>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</si>
  <si>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</si>
  <si>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</si>
  <si>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</si>
  <si>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</si>
  <si>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</si>
  <si>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</si>
  <si>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</si>
  <si>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</si>
  <si>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</si>
  <si>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</si>
  <si>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</si>
  <si>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</si>
  <si>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</si>
  <si>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</si>
  <si>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</si>
  <si>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</si>
  <si>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</si>
  <si>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</si>
  <si>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</si>
  <si>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</si>
  <si>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</si>
  <si>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</si>
  <si>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</si>
  <si>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</si>
  <si>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</si>
  <si>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</si>
  <si>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</si>
  <si>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</si>
  <si>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</si>
  <si>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</si>
  <si>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</si>
  <si>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</si>
  <si>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</si>
  <si>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</si>
  <si>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</si>
  <si>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</si>
  <si>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</si>
  <si>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</si>
  <si>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</si>
  <si>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</si>
  <si>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</si>
  <si>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</si>
  <si>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</si>
  <si>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</si>
  <si>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</si>
  <si>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</si>
  <si>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</si>
  <si>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</si>
  <si>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</si>
  <si>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</si>
  <si>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</si>
  <si>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</si>
  <si>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</si>
  <si>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</si>
  <si>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</si>
  <si>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</si>
  <si>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</si>
  <si>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</si>
  <si>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</si>
  <si>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</si>
  <si>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</si>
  <si>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</si>
  <si>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</si>
  <si>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</si>
  <si>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</si>
  <si>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</si>
  <si>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</si>
  <si>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</si>
  <si>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</si>
  <si>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</si>
  <si>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</si>
  <si>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</si>
  <si>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</si>
  <si>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</si>
  <si>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</si>
  <si>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</si>
  <si>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</si>
  <si>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</si>
  <si>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</si>
  <si>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</si>
  <si>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</si>
  <si>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</si>
  <si>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</si>
  <si>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</si>
  <si>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</si>
  <si>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</si>
  <si>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</si>
  <si>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</si>
  <si>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</si>
  <si>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</si>
  <si>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</si>
  <si>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</si>
  <si>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</si>
  <si>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</si>
  <si>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</si>
  <si>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</si>
  <si>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</si>
  <si>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</si>
  <si>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</si>
  <si>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</si>
  <si>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</si>
  <si>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</si>
  <si>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</si>
  <si>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</si>
  <si>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</si>
  <si>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</si>
  <si>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</si>
  <si>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</si>
  <si>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</si>
  <si>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</si>
  <si>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</si>
  <si>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</si>
  <si>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</si>
  <si>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</si>
  <si>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</si>
  <si>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</si>
  <si>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</si>
  <si>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</si>
  <si>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</si>
  <si>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</si>
  <si>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</si>
  <si>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</si>
  <si>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</si>
  <si>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</si>
  <si>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</si>
  <si>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</si>
  <si>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</si>
  <si>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</si>
  <si>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</si>
  <si>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</si>
  <si>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</si>
  <si>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</si>
  <si>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</si>
  <si>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</si>
  <si>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</si>
  <si>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</si>
  <si>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</si>
  <si>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</si>
  <si>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</si>
  <si>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</si>
  <si>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</si>
  <si>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</si>
  <si>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</si>
  <si>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</si>
  <si>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</si>
  <si>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</si>
  <si>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</si>
  <si>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</si>
  <si>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</si>
  <si>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</si>
  <si>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</si>
  <si>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</si>
  <si>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</si>
  <si>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</si>
  <si>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</si>
  <si>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</si>
  <si>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</si>
  <si>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</si>
  <si>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</si>
  <si>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</si>
  <si>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</si>
  <si>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</si>
  <si>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</si>
  <si>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</si>
  <si>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</si>
  <si>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</si>
  <si>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</si>
  <si>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</si>
  <si>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</si>
  <si>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</si>
  <si>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</si>
  <si>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</si>
  <si>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</si>
  <si>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</si>
  <si>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</si>
  <si>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</si>
  <si>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</si>
  <si>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</si>
  <si>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</si>
  <si>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</si>
  <si>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</si>
  <si>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</si>
  <si>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</si>
  <si>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</si>
  <si>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</si>
  <si>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</si>
  <si>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</si>
  <si>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</si>
  <si>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</si>
  <si>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</si>
  <si>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</si>
  <si>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</si>
  <si>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</si>
  <si>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</si>
  <si>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</si>
  <si>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</si>
  <si>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</si>
  <si>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</si>
  <si>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</si>
  <si>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</si>
  <si>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</si>
  <si>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</si>
  <si>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</si>
  <si>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</si>
  <si>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</si>
  <si>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</si>
  <si>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</si>
  <si>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</si>
  <si>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</si>
  <si>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</si>
  <si>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</si>
  <si>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</si>
  <si>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</si>
  <si>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</si>
  <si>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</si>
  <si>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</si>
  <si>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</si>
  <si>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</si>
  <si>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</si>
  <si>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</si>
  <si>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</si>
  <si>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</si>
  <si>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</si>
  <si>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</si>
  <si>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</si>
  <si>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</si>
  <si>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</si>
  <si>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</si>
  <si>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</si>
  <si>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</si>
  <si>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</si>
  <si>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</si>
  <si>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</si>
  <si>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</si>
  <si>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</si>
  <si>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</si>
  <si>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</si>
  <si>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</si>
  <si>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</si>
  <si>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</si>
  <si>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</si>
  <si>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</si>
  <si>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</si>
  <si>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</si>
  <si>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</si>
  <si>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</si>
  <si>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</si>
  <si>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</si>
  <si>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</si>
  <si>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</si>
  <si>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</si>
  <si>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</si>
  <si>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</si>
  <si>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</si>
  <si>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</si>
  <si>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</si>
  <si>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</si>
  <si>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</si>
  <si>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</si>
  <si>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</si>
  <si>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</si>
  <si>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</si>
  <si>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</si>
  <si>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</si>
  <si>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</si>
  <si>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</si>
  <si>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</si>
  <si>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</si>
  <si>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</si>
  <si>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</si>
  <si>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</si>
  <si>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</si>
  <si>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</si>
  <si>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</si>
  <si>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</si>
  <si>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</si>
  <si>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</si>
  <si>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</si>
  <si>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</si>
  <si>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</si>
  <si>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</si>
  <si>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</si>
  <si>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</si>
  <si>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</si>
  <si>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</si>
  <si>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</si>
  <si>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</si>
  <si>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</si>
  <si>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</si>
  <si>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</si>
  <si>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</si>
  <si>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</si>
  <si>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</si>
  <si>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</si>
  <si>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</si>
  <si>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</si>
  <si>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</si>
  <si>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</si>
  <si>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</si>
  <si>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</si>
  <si>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</si>
  <si>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</si>
  <si>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</si>
  <si>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</si>
  <si>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</si>
  <si>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</si>
  <si>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</si>
  <si>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</si>
  <si>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</si>
  <si>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</si>
  <si>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</si>
  <si>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</si>
  <si>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</si>
  <si>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</si>
  <si>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</si>
  <si>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</si>
  <si>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</si>
  <si>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</si>
  <si>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</si>
  <si>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</si>
  <si>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</si>
  <si>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</si>
  <si>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</si>
  <si>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</si>
  <si>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</si>
  <si>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</si>
  <si>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</si>
  <si>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</si>
  <si>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</si>
  <si>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</si>
  <si>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</si>
  <si>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</si>
  <si>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</si>
  <si>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</si>
  <si>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</si>
  <si>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</si>
  <si>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</si>
  <si>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</si>
  <si>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</si>
  <si>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</si>
  <si>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</si>
  <si>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</si>
  <si>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</si>
  <si>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</si>
  <si>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</si>
  <si>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</si>
  <si>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</si>
  <si>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</si>
  <si>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</si>
  <si>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</si>
  <si>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</si>
  <si>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</si>
  <si>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</si>
  <si>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</si>
  <si>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</si>
  <si>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</si>
  <si>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</si>
  <si>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</si>
  <si>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</si>
  <si>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</si>
  <si>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</si>
  <si>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</si>
  <si>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</si>
  <si>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</si>
  <si>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</si>
  <si>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</si>
  <si>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</si>
  <si>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</si>
  <si>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</si>
  <si>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</si>
  <si>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</si>
  <si>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</si>
  <si>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</si>
  <si>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</si>
  <si>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</si>
  <si>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</si>
  <si>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</si>
  <si>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</si>
  <si>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</si>
  <si>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</si>
  <si>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</si>
  <si>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</si>
  <si>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</si>
  <si>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</si>
  <si>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</si>
  <si>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</si>
  <si>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</si>
  <si>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</si>
  <si>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</si>
  <si>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</si>
  <si>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</si>
  <si>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</si>
  <si>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</si>
  <si>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</si>
  <si>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</si>
  <si>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</si>
  <si>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</si>
  <si>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</si>
  <si>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</si>
  <si>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</si>
  <si>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</si>
  <si>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</si>
  <si>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</si>
  <si>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</si>
  <si>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</si>
  <si>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</si>
  <si>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</si>
  <si>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</si>
  <si>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</si>
  <si>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</si>
  <si>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</si>
  <si>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</si>
  <si>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</si>
  <si>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</si>
  <si>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</si>
  <si>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</si>
  <si>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</si>
  <si>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</si>
  <si>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</si>
  <si>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</si>
  <si>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</si>
  <si>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</si>
  <si>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</si>
  <si>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</si>
  <si>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</si>
  <si>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</si>
  <si>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</si>
  <si>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</si>
  <si>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</si>
  <si>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</si>
  <si>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</si>
  <si>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</si>
  <si>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</si>
  <si>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</si>
  <si>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</si>
  <si>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</si>
  <si>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</si>
  <si>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</si>
  <si>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</si>
  <si>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</si>
  <si>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</si>
  <si>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</si>
  <si>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</si>
  <si>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</si>
  <si>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</si>
  <si>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</si>
  <si>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</si>
  <si>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</si>
  <si>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</si>
  <si>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</si>
  <si>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</si>
  <si>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</si>
  <si>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</si>
  <si>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</si>
  <si>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</si>
  <si>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</si>
  <si>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</si>
  <si>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</si>
  <si>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</si>
  <si>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</si>
  <si>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</si>
  <si>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</si>
  <si>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</si>
  <si>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</si>
  <si>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</si>
  <si>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</si>
  <si>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</si>
  <si>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</si>
  <si>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</si>
  <si>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</si>
  <si>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</si>
  <si>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</si>
  <si>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</si>
  <si>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</si>
  <si>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</si>
  <si>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</si>
  <si>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</si>
  <si>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</si>
  <si>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</si>
  <si>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</si>
  <si>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</si>
  <si>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</si>
  <si>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</si>
  <si>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</si>
  <si>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</si>
  <si>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</si>
  <si>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</si>
  <si>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</si>
  <si>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</si>
  <si>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</si>
  <si>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</si>
  <si>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</si>
  <si>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</si>
  <si>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</si>
  <si>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</si>
  <si>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</si>
  <si>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</si>
  <si>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</si>
  <si>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</si>
  <si>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</si>
  <si>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</si>
  <si>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</si>
  <si>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</si>
  <si>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</si>
  <si>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</si>
  <si>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</si>
  <si>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</si>
  <si>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</si>
  <si>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</si>
  <si>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</si>
  <si>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</si>
  <si>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</si>
  <si>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</si>
  <si>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</si>
  <si>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</si>
  <si>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</si>
  <si>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</si>
  <si>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</si>
  <si>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</si>
  <si>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</si>
  <si>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</si>
  <si>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</si>
  <si>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</si>
  <si>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</si>
  <si>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</si>
  <si>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</si>
  <si>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</si>
  <si>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</si>
  <si>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</si>
  <si>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</si>
  <si>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</si>
  <si>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</si>
  <si>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</si>
  <si>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</si>
  <si>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</si>
  <si>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</si>
  <si>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</si>
  <si>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</si>
  <si>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</si>
  <si>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</si>
  <si>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</si>
  <si>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</si>
  <si>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</si>
  <si>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</si>
  <si>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</si>
  <si>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</si>
  <si>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</si>
  <si>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</si>
  <si>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</si>
  <si>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</si>
  <si>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</si>
  <si>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</si>
  <si>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</si>
  <si>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</si>
  <si>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</si>
  <si>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</si>
  <si>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</si>
  <si>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</si>
  <si>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</si>
  <si>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</si>
  <si>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</si>
  <si>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</si>
  <si>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</si>
  <si>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</si>
  <si>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</si>
  <si>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</si>
  <si>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</si>
  <si>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</si>
  <si>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</si>
  <si>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</si>
  <si>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</si>
  <si>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</si>
  <si>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</si>
  <si>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</si>
  <si>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</si>
  <si>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</si>
  <si>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</si>
  <si>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</si>
  <si>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</si>
  <si>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</si>
  <si>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</si>
  <si>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</si>
  <si>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</si>
  <si>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</si>
  <si>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</si>
  <si>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</si>
  <si>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</si>
  <si>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</si>
  <si>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</si>
  <si>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</si>
  <si>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</si>
  <si>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</si>
  <si>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</si>
  <si>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</si>
  <si>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</si>
  <si>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</si>
  <si>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</si>
  <si>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</si>
  <si>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</si>
  <si>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</si>
  <si>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</si>
  <si>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</si>
  <si>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</si>
  <si>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</si>
  <si>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</si>
  <si>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</si>
  <si>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</si>
  <si>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</si>
  <si>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</si>
  <si>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</si>
  <si>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</si>
  <si>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</si>
  <si>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</si>
  <si>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</si>
  <si>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</si>
  <si>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</si>
  <si>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</si>
  <si>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</si>
  <si>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</si>
  <si>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</si>
  <si>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</si>
  <si>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</si>
  <si>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</si>
  <si>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106</t>
  </si>
  <si>
    <t>CASCADE VALLEY HOSPITAL</t>
  </si>
  <si>
    <t>330 S. STILLAGUAMISH AVE.</t>
  </si>
  <si>
    <t>ARLINGTON, WA  98223</t>
  </si>
  <si>
    <t xml:space="preserve">SNOHOMISH </t>
  </si>
  <si>
    <t>Brian Ivie</t>
  </si>
  <si>
    <t>Paul Ishizuka</t>
  </si>
  <si>
    <t>Bruce Lisser</t>
  </si>
  <si>
    <t>(360)445-8514</t>
  </si>
  <si>
    <t>(360)445-8522</t>
  </si>
  <si>
    <t>12/31/2019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</si>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</sst>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5076929</v>
      </c>
      <c r="C48" s="245">
        <f>ROUND(((B48/CE61)*C61),0)</f>
        <v>227683</v>
      </c>
      <c r="D48" s="245">
        <f>ROUND(((B48/CE61)*D61),0)</f>
        <v>0</v>
      </c>
      <c r="E48" s="195">
        <f>ROUND(((B48/CE61)*E61),0)</f>
        <v>664407</v>
      </c>
      <c r="F48" s="195">
        <f>ROUND(((B48/CE61)*F61),0)</f>
        <v>298888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275355</v>
      </c>
      <c r="Q48" s="195">
        <f>ROUND(((B48/CE61)*Q61),0)</f>
        <v>163827</v>
      </c>
      <c r="R48" s="195">
        <f>ROUND(((B48/CE61)*R61),0)</f>
        <v>13152</v>
      </c>
      <c r="S48" s="195">
        <f>ROUND(((B48/CE61)*S61),0)</f>
        <v>39145</v>
      </c>
      <c r="T48" s="195">
        <f>ROUND(((B48/CE61)*T61),0)</f>
        <v>1161</v>
      </c>
      <c r="U48" s="195">
        <f>ROUND(((B48/CE61)*U61),0)</f>
        <v>174026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22560</v>
      </c>
      <c r="Y48" s="195">
        <f>ROUND(((B48/CE61)*Y61),0)</f>
        <v>301413</v>
      </c>
      <c r="Z48" s="195">
        <f>ROUND(((B48/CE61)*Z61),0)</f>
        <v>0</v>
      </c>
      <c r="AA48" s="195">
        <f>ROUND(((B48/CE61)*AA61),0)</f>
        <v>22394</v>
      </c>
      <c r="AB48" s="195">
        <f>ROUND(((B48/CE61)*AB61),0)</f>
        <v>147049</v>
      </c>
      <c r="AC48" s="195">
        <f>ROUND(((B48/CE61)*AC61),0)</f>
        <v>111965</v>
      </c>
      <c r="AD48" s="195">
        <f>ROUND(((B48/CE61)*AD61),0)</f>
        <v>0</v>
      </c>
      <c r="AE48" s="195">
        <f>ROUND(((B48/CE61)*AE61),0)</f>
        <v>23023</v>
      </c>
      <c r="AF48" s="195">
        <f>ROUND(((B48/CE61)*AF61),0)</f>
        <v>0</v>
      </c>
      <c r="AG48" s="195">
        <f>ROUND(((B48/CE61)*AG61),0)</f>
        <v>628456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2989</v>
      </c>
      <c r="AK48" s="195">
        <f>ROUND(((B48/CE61)*AK61),0)</f>
        <v>0</v>
      </c>
      <c r="AL48" s="195">
        <f>ROUND(((B48/CE61)*AL61),0)</f>
        <v>2174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44175</v>
      </c>
      <c r="AP48" s="195">
        <f>ROUND(((B48/CE61)*AP61),0)</f>
        <v>1010085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118232</v>
      </c>
      <c r="AZ48" s="195">
        <f>ROUND(((B48/CE61)*AZ61),0)</f>
        <v>0</v>
      </c>
      <c r="BA48" s="195">
        <f>ROUND(((B48/CE61)*BA61),0)</f>
        <v>7720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38694</v>
      </c>
      <c r="BE48" s="195">
        <f>ROUND(((B48/CE61)*BE61),0)</f>
        <v>59882</v>
      </c>
      <c r="BF48" s="195">
        <f>ROUND(((B48/CE61)*BF61),0)</f>
        <v>88621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91045</v>
      </c>
      <c r="BM48" s="195">
        <f>ROUND(((B48/CE61)*BM61),0)</f>
        <v>0</v>
      </c>
      <c r="BN48" s="195">
        <f>ROUND(((B48/CE61)*BN61),0)</f>
        <v>106077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95182</v>
      </c>
      <c r="BW48" s="195">
        <f>ROUND(((B48/CE61)*BW61),0)</f>
        <v>27800</v>
      </c>
      <c r="BX48" s="195">
        <f>ROUND(((B48/CE61)*BX61),0)</f>
        <v>76012</v>
      </c>
      <c r="BY48" s="195">
        <f>ROUND(((B48/CE61)*BY61),0)</f>
        <v>193366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369</v>
      </c>
      <c r="CD48" s="195"/>
      <c r="CE48" s="195">
        <f>SUM(C48:CD48)</f>
        <v>5076927</v>
      </c>
    </row>
    <row r="49" spans="1:84" ht="12.6" customHeight="1" x14ac:dyDescent="0.25">
      <c r="A49" s="175" t="s">
        <v>206</v>
      </c>
      <c r="B49" s="195">
        <f>B47+B48</f>
        <v>5076929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853777</v>
      </c>
      <c r="C52" s="195">
        <f>ROUND((B52/(CE76+CF76)*C76),0)</f>
        <v>35386</v>
      </c>
      <c r="D52" s="195">
        <f>ROUND((B52/(CE76+CF76)*D76),0)</f>
        <v>0</v>
      </c>
      <c r="E52" s="195">
        <f>ROUND((B52/(CE76+CF76)*E76),0)</f>
        <v>56375</v>
      </c>
      <c r="F52" s="195">
        <f>ROUND((B52/(CE76+CF76)*F76),0)</f>
        <v>34450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1557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9391</v>
      </c>
      <c r="P52" s="195">
        <f>ROUND((B52/(CE76+CF76)*P76),0)</f>
        <v>46612</v>
      </c>
      <c r="Q52" s="195">
        <f>ROUND((B52/(CE76+CF76)*Q76),0)</f>
        <v>7509</v>
      </c>
      <c r="R52" s="195">
        <f>ROUND((B52/(CE76+CF76)*R76),0)</f>
        <v>1548</v>
      </c>
      <c r="S52" s="195">
        <f>ROUND((B52/(CE76+CF76)*S76),0)</f>
        <v>14206</v>
      </c>
      <c r="T52" s="195">
        <f>ROUND((B52/(CE76+CF76)*T76),0)</f>
        <v>2360</v>
      </c>
      <c r="U52" s="195">
        <f>ROUND((B52/(CE76+CF76)*U76),0)</f>
        <v>18152</v>
      </c>
      <c r="V52" s="195">
        <f>ROUND((B52/(CE76+CF76)*V76),0)</f>
        <v>822</v>
      </c>
      <c r="W52" s="195">
        <f>ROUND((B52/(CE76+CF76)*W76),0)</f>
        <v>0</v>
      </c>
      <c r="X52" s="195">
        <f>ROUND((B52/(CE76+CF76)*X76),0)</f>
        <v>4605</v>
      </c>
      <c r="Y52" s="195">
        <f>ROUND((B52/(CE76+CF76)*Y76),0)</f>
        <v>37880</v>
      </c>
      <c r="Z52" s="195">
        <f>ROUND((B52/(CE76+CF76)*Z76),0)</f>
        <v>0</v>
      </c>
      <c r="AA52" s="195">
        <f>ROUND((B52/(CE76+CF76)*AA76),0)</f>
        <v>5340</v>
      </c>
      <c r="AB52" s="195">
        <f>ROUND((B52/(CE76+CF76)*AB76),0)</f>
        <v>9181</v>
      </c>
      <c r="AC52" s="195">
        <f>ROUND((B52/(CE76+CF76)*AC76),0)</f>
        <v>8761</v>
      </c>
      <c r="AD52" s="195">
        <f>ROUND((B52/(CE76+CF76)*AD76),0)</f>
        <v>0</v>
      </c>
      <c r="AE52" s="195">
        <f>ROUND((B52/(CE76+CF76)*AE76),0)</f>
        <v>17445</v>
      </c>
      <c r="AF52" s="195">
        <f>ROUND((B52/(CE76+CF76)*AF76),0)</f>
        <v>0</v>
      </c>
      <c r="AG52" s="195">
        <f>ROUND((B52/(CE76+CF76)*AG76),0)</f>
        <v>86173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2064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18849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908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46229</v>
      </c>
      <c r="AZ52" s="195">
        <f>ROUND((B52/(CE76+CF76)*AZ76),0)</f>
        <v>0</v>
      </c>
      <c r="BA52" s="195">
        <f>ROUND((B52/(CE76+CF76)*BA76),0)</f>
        <v>3544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15333</v>
      </c>
      <c r="BE52" s="195">
        <f>ROUND((B52/(CE76+CF76)*BE76),0)</f>
        <v>280930</v>
      </c>
      <c r="BF52" s="195">
        <f>ROUND((B52/(CE76+CF76)*BF76),0)</f>
        <v>3812</v>
      </c>
      <c r="BG52" s="195">
        <f>ROUND((B52/(CE76+CF76)*BG76),0)</f>
        <v>1595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7901</v>
      </c>
      <c r="BM52" s="195">
        <f>ROUND((B52/(CE76+CF76)*BM76),0)</f>
        <v>0</v>
      </c>
      <c r="BN52" s="195">
        <f>ROUND((B52/(CE76+CF76)*BN76),0)</f>
        <v>33561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17684</v>
      </c>
      <c r="BW52" s="195">
        <f>ROUND((B52/(CE76+CF76)*BW76),0)</f>
        <v>5235</v>
      </c>
      <c r="BX52" s="195">
        <f>ROUND((B52/(CE76+CF76)*BX76),0)</f>
        <v>8799</v>
      </c>
      <c r="BY52" s="195">
        <f>ROUND((B52/(CE76+CF76)*BY76),0)</f>
        <v>2856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6726</v>
      </c>
      <c r="CD52" s="195"/>
      <c r="CE52" s="195">
        <f>SUM(C52:CD52)</f>
        <v>853779</v>
      </c>
    </row>
    <row r="53" spans="1:84" ht="12.6" customHeight="1" x14ac:dyDescent="0.25">
      <c r="A53" s="175" t="s">
        <v>206</v>
      </c>
      <c r="B53" s="195">
        <f>B51+B52</f>
        <v>853777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1463</v>
      </c>
      <c r="D59" s="184"/>
      <c r="E59" s="184">
        <v>3939</v>
      </c>
      <c r="F59" s="184">
        <v>276</v>
      </c>
      <c r="G59" s="184"/>
      <c r="H59" s="184"/>
      <c r="I59" s="184"/>
      <c r="J59" s="184">
        <v>282</v>
      </c>
      <c r="K59" s="184"/>
      <c r="L59" s="184"/>
      <c r="M59" s="184"/>
      <c r="N59" s="184"/>
      <c r="O59" s="184">
        <v>143</v>
      </c>
      <c r="P59" s="185">
        <v>160776</v>
      </c>
      <c r="Q59" s="185">
        <v>69480</v>
      </c>
      <c r="R59" s="185">
        <v>157393</v>
      </c>
      <c r="S59" s="248"/>
      <c r="T59" s="248"/>
      <c r="U59" s="224">
        <v>211301</v>
      </c>
      <c r="V59" s="185">
        <v>661</v>
      </c>
      <c r="W59" s="185">
        <v>10226.89</v>
      </c>
      <c r="X59" s="185">
        <v>46720.63</v>
      </c>
      <c r="Y59" s="185">
        <v>43086.27</v>
      </c>
      <c r="Z59" s="185"/>
      <c r="AA59" s="185">
        <v>3977.97</v>
      </c>
      <c r="AB59" s="248"/>
      <c r="AC59" s="185">
        <v>11950</v>
      </c>
      <c r="AD59" s="185"/>
      <c r="AE59" s="185">
        <v>3167</v>
      </c>
      <c r="AF59" s="185"/>
      <c r="AG59" s="185">
        <v>19779</v>
      </c>
      <c r="AH59" s="185"/>
      <c r="AI59" s="185"/>
      <c r="AJ59" s="185">
        <v>198</v>
      </c>
      <c r="AK59" s="185"/>
      <c r="AL59" s="185"/>
      <c r="AM59" s="185"/>
      <c r="AN59" s="185"/>
      <c r="AO59" s="185">
        <v>1875.25</v>
      </c>
      <c r="AP59" s="185">
        <v>25941</v>
      </c>
      <c r="AQ59" s="185"/>
      <c r="AR59" s="185"/>
      <c r="AS59" s="185"/>
      <c r="AT59" s="185"/>
      <c r="AU59" s="185"/>
      <c r="AV59" s="248"/>
      <c r="AW59" s="248"/>
      <c r="AX59" s="248"/>
      <c r="AY59" s="185">
        <v>96960</v>
      </c>
      <c r="AZ59" s="185"/>
      <c r="BA59" s="248"/>
      <c r="BB59" s="248"/>
      <c r="BC59" s="248"/>
      <c r="BD59" s="248"/>
      <c r="BE59" s="185">
        <v>89368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11.810141095890412</v>
      </c>
      <c r="D60" s="187"/>
      <c r="E60" s="187">
        <v>42.474341095890416</v>
      </c>
      <c r="F60" s="223">
        <v>10.586814383561645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14.273359589041096</v>
      </c>
      <c r="Q60" s="221">
        <v>6.1856698630136986</v>
      </c>
      <c r="R60" s="221">
        <v>1.0342595890410959</v>
      </c>
      <c r="S60" s="221">
        <v>3.9618993150684929</v>
      </c>
      <c r="T60" s="221">
        <v>0.02</v>
      </c>
      <c r="U60" s="221">
        <v>13.680814383561644</v>
      </c>
      <c r="V60" s="221">
        <v>0.01</v>
      </c>
      <c r="W60" s="221"/>
      <c r="X60" s="221">
        <v>0.99999794520547969</v>
      </c>
      <c r="Y60" s="221">
        <v>16.732500000000002</v>
      </c>
      <c r="Z60" s="221"/>
      <c r="AA60" s="221">
        <v>1.0731191780821916</v>
      </c>
      <c r="AB60" s="221">
        <v>6.1890308219178092</v>
      </c>
      <c r="AC60" s="221">
        <v>6.6130869863013713</v>
      </c>
      <c r="AD60" s="221"/>
      <c r="AE60" s="221">
        <v>1.2006486301369865</v>
      </c>
      <c r="AF60" s="221"/>
      <c r="AG60" s="221">
        <v>31.095984931506855</v>
      </c>
      <c r="AH60" s="221"/>
      <c r="AI60" s="221"/>
      <c r="AJ60" s="221">
        <v>0.15688150684931509</v>
      </c>
      <c r="AK60" s="221"/>
      <c r="AL60" s="221">
        <v>0.11</v>
      </c>
      <c r="AM60" s="221"/>
      <c r="AN60" s="221"/>
      <c r="AO60" s="221">
        <v>2.6467383561643834</v>
      </c>
      <c r="AP60" s="221">
        <v>30.32</v>
      </c>
      <c r="AQ60" s="221"/>
      <c r="AR60" s="221"/>
      <c r="AS60" s="221"/>
      <c r="AT60" s="221"/>
      <c r="AU60" s="221"/>
      <c r="AV60" s="267"/>
      <c r="AW60" s="221"/>
      <c r="AX60" s="221"/>
      <c r="AY60" s="221">
        <v>13.187184931506847</v>
      </c>
      <c r="AZ60" s="221"/>
      <c r="BA60" s="221">
        <v>1.0198520547945207</v>
      </c>
      <c r="BB60" s="221"/>
      <c r="BC60" s="221"/>
      <c r="BD60" s="221">
        <v>4.3461705479452055</v>
      </c>
      <c r="BE60" s="221">
        <v>3.894119178082192</v>
      </c>
      <c r="BF60" s="221">
        <v>11.001612328767123</v>
      </c>
      <c r="BG60" s="221"/>
      <c r="BH60" s="221"/>
      <c r="BI60" s="221"/>
      <c r="BJ60" s="221"/>
      <c r="BK60" s="221"/>
      <c r="BL60" s="221">
        <v>8.5886739726027415</v>
      </c>
      <c r="BM60" s="221"/>
      <c r="BN60" s="221">
        <v>4.0095041095890407</v>
      </c>
      <c r="BO60" s="221"/>
      <c r="BP60" s="221"/>
      <c r="BQ60" s="221"/>
      <c r="BR60" s="221"/>
      <c r="BS60" s="221"/>
      <c r="BT60" s="221"/>
      <c r="BU60" s="221"/>
      <c r="BV60" s="221">
        <v>8.058563013698631</v>
      </c>
      <c r="BW60" s="221">
        <v>1.0000027397260274</v>
      </c>
      <c r="BX60" s="221">
        <v>4.4038000000000004</v>
      </c>
      <c r="BY60" s="221">
        <v>7.3278493150684936</v>
      </c>
      <c r="BZ60" s="221"/>
      <c r="CA60" s="221"/>
      <c r="CB60" s="221"/>
      <c r="CC60" s="221">
        <v>1.620945890410959</v>
      </c>
      <c r="CD60" s="249" t="s">
        <v>221</v>
      </c>
      <c r="CE60" s="251">
        <f t="shared" ref="CE60:CE70" si="0">SUM(C60:CD60)</f>
        <v>269.63356575342459</v>
      </c>
    </row>
    <row r="61" spans="1:84" ht="12.6" customHeight="1" x14ac:dyDescent="0.25">
      <c r="A61" s="171" t="s">
        <v>235</v>
      </c>
      <c r="B61" s="175"/>
      <c r="C61" s="184">
        <v>1082522</v>
      </c>
      <c r="D61" s="184"/>
      <c r="E61" s="184">
        <v>3158935</v>
      </c>
      <c r="F61" s="185">
        <v>1421070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1309178</v>
      </c>
      <c r="Q61" s="185">
        <v>778919</v>
      </c>
      <c r="R61" s="185">
        <v>62531</v>
      </c>
      <c r="S61" s="185">
        <v>186117</v>
      </c>
      <c r="T61" s="185">
        <v>5521</v>
      </c>
      <c r="U61" s="185">
        <v>827408</v>
      </c>
      <c r="V61" s="185"/>
      <c r="W61" s="185"/>
      <c r="X61" s="185">
        <v>107261</v>
      </c>
      <c r="Y61" s="185">
        <v>1433074</v>
      </c>
      <c r="Z61" s="185"/>
      <c r="AA61" s="185">
        <v>106472</v>
      </c>
      <c r="AB61" s="185">
        <v>699147</v>
      </c>
      <c r="AC61" s="185">
        <v>532340</v>
      </c>
      <c r="AD61" s="185"/>
      <c r="AE61" s="185">
        <v>109464</v>
      </c>
      <c r="AF61" s="185"/>
      <c r="AG61" s="185">
        <v>2988003</v>
      </c>
      <c r="AH61" s="185"/>
      <c r="AI61" s="185"/>
      <c r="AJ61" s="185">
        <v>14211</v>
      </c>
      <c r="AK61" s="185"/>
      <c r="AL61" s="185">
        <v>10337</v>
      </c>
      <c r="AM61" s="185"/>
      <c r="AN61" s="185"/>
      <c r="AO61" s="185">
        <v>210033</v>
      </c>
      <c r="AP61" s="185">
        <v>4802464</v>
      </c>
      <c r="AQ61" s="185"/>
      <c r="AR61" s="185"/>
      <c r="AS61" s="185"/>
      <c r="AT61" s="185"/>
      <c r="AU61" s="185"/>
      <c r="AV61" s="185"/>
      <c r="AW61" s="185"/>
      <c r="AX61" s="185"/>
      <c r="AY61" s="185">
        <v>562138</v>
      </c>
      <c r="AZ61" s="185"/>
      <c r="BA61" s="185">
        <v>36706</v>
      </c>
      <c r="BB61" s="185"/>
      <c r="BC61" s="185"/>
      <c r="BD61" s="185">
        <v>183971</v>
      </c>
      <c r="BE61" s="185">
        <v>284712</v>
      </c>
      <c r="BF61" s="185">
        <v>421349</v>
      </c>
      <c r="BG61" s="185"/>
      <c r="BH61" s="185"/>
      <c r="BI61" s="185"/>
      <c r="BJ61" s="185"/>
      <c r="BK61" s="185"/>
      <c r="BL61" s="185">
        <v>432875</v>
      </c>
      <c r="BM61" s="185"/>
      <c r="BN61" s="185">
        <v>504347</v>
      </c>
      <c r="BO61" s="185"/>
      <c r="BP61" s="185"/>
      <c r="BQ61" s="185"/>
      <c r="BR61" s="185"/>
      <c r="BS61" s="185"/>
      <c r="BT61" s="185"/>
      <c r="BU61" s="185"/>
      <c r="BV61" s="185">
        <v>452545</v>
      </c>
      <c r="BW61" s="185">
        <v>132174</v>
      </c>
      <c r="BX61" s="185">
        <v>361402</v>
      </c>
      <c r="BY61" s="185">
        <v>919363</v>
      </c>
      <c r="BZ61" s="185"/>
      <c r="CA61" s="185"/>
      <c r="CB61" s="185"/>
      <c r="CC61" s="185">
        <v>1754</v>
      </c>
      <c r="CD61" s="249" t="s">
        <v>221</v>
      </c>
      <c r="CE61" s="195">
        <f t="shared" si="0"/>
        <v>24138343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227683</v>
      </c>
      <c r="D62" s="195">
        <f t="shared" si="1"/>
        <v>0</v>
      </c>
      <c r="E62" s="195">
        <f t="shared" si="1"/>
        <v>664407</v>
      </c>
      <c r="F62" s="195">
        <f t="shared" si="1"/>
        <v>298888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275355</v>
      </c>
      <c r="Q62" s="195">
        <f t="shared" si="1"/>
        <v>163827</v>
      </c>
      <c r="R62" s="195">
        <f t="shared" si="1"/>
        <v>13152</v>
      </c>
      <c r="S62" s="195">
        <f t="shared" si="1"/>
        <v>39145</v>
      </c>
      <c r="T62" s="195">
        <f t="shared" si="1"/>
        <v>1161</v>
      </c>
      <c r="U62" s="195">
        <f t="shared" si="1"/>
        <v>174026</v>
      </c>
      <c r="V62" s="195">
        <f t="shared" si="1"/>
        <v>0</v>
      </c>
      <c r="W62" s="195">
        <f t="shared" si="1"/>
        <v>0</v>
      </c>
      <c r="X62" s="195">
        <f t="shared" si="1"/>
        <v>22560</v>
      </c>
      <c r="Y62" s="195">
        <f t="shared" si="1"/>
        <v>301413</v>
      </c>
      <c r="Z62" s="195">
        <f t="shared" si="1"/>
        <v>0</v>
      </c>
      <c r="AA62" s="195">
        <f t="shared" si="1"/>
        <v>22394</v>
      </c>
      <c r="AB62" s="195">
        <f t="shared" si="1"/>
        <v>147049</v>
      </c>
      <c r="AC62" s="195">
        <f t="shared" si="1"/>
        <v>111965</v>
      </c>
      <c r="AD62" s="195">
        <f t="shared" si="1"/>
        <v>0</v>
      </c>
      <c r="AE62" s="195">
        <f t="shared" si="1"/>
        <v>23023</v>
      </c>
      <c r="AF62" s="195">
        <f t="shared" si="1"/>
        <v>0</v>
      </c>
      <c r="AG62" s="195">
        <f t="shared" si="1"/>
        <v>628456</v>
      </c>
      <c r="AH62" s="195">
        <f t="shared" si="1"/>
        <v>0</v>
      </c>
      <c r="AI62" s="195">
        <f t="shared" si="1"/>
        <v>0</v>
      </c>
      <c r="AJ62" s="195">
        <f t="shared" si="1"/>
        <v>2989</v>
      </c>
      <c r="AK62" s="195">
        <f t="shared" si="1"/>
        <v>0</v>
      </c>
      <c r="AL62" s="195">
        <f t="shared" si="1"/>
        <v>2174</v>
      </c>
      <c r="AM62" s="195">
        <f t="shared" si="1"/>
        <v>0</v>
      </c>
      <c r="AN62" s="195">
        <f t="shared" si="1"/>
        <v>0</v>
      </c>
      <c r="AO62" s="195">
        <f t="shared" si="1"/>
        <v>44175</v>
      </c>
      <c r="AP62" s="195">
        <f t="shared" si="1"/>
        <v>1010085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118232</v>
      </c>
      <c r="AZ62" s="195">
        <f>ROUND(AZ47+AZ48,0)</f>
        <v>0</v>
      </c>
      <c r="BA62" s="195">
        <f>ROUND(BA47+BA48,0)</f>
        <v>7720</v>
      </c>
      <c r="BB62" s="195">
        <f t="shared" si="1"/>
        <v>0</v>
      </c>
      <c r="BC62" s="195">
        <f t="shared" si="1"/>
        <v>0</v>
      </c>
      <c r="BD62" s="195">
        <f t="shared" si="1"/>
        <v>38694</v>
      </c>
      <c r="BE62" s="195">
        <f t="shared" si="1"/>
        <v>59882</v>
      </c>
      <c r="BF62" s="195">
        <f t="shared" si="1"/>
        <v>88621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91045</v>
      </c>
      <c r="BM62" s="195">
        <f t="shared" si="1"/>
        <v>0</v>
      </c>
      <c r="BN62" s="195">
        <f t="shared" si="1"/>
        <v>106077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95182</v>
      </c>
      <c r="BW62" s="195">
        <f t="shared" si="2"/>
        <v>27800</v>
      </c>
      <c r="BX62" s="195">
        <f t="shared" si="2"/>
        <v>76012</v>
      </c>
      <c r="BY62" s="195">
        <f t="shared" si="2"/>
        <v>193366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369</v>
      </c>
      <c r="CD62" s="249" t="s">
        <v>221</v>
      </c>
      <c r="CE62" s="195">
        <f t="shared" si="0"/>
        <v>5076927</v>
      </c>
      <c r="CF62" s="252"/>
    </row>
    <row r="63" spans="1:84" ht="12.6" customHeight="1" x14ac:dyDescent="0.25">
      <c r="A63" s="171" t="s">
        <v>236</v>
      </c>
      <c r="B63" s="175"/>
      <c r="C63" s="184">
        <v>68763</v>
      </c>
      <c r="D63" s="184"/>
      <c r="E63" s="184">
        <v>107384.67</v>
      </c>
      <c r="F63" s="185">
        <v>46880</v>
      </c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f>120347+416</f>
        <v>120763</v>
      </c>
      <c r="Q63" s="185"/>
      <c r="R63" s="185">
        <v>931745</v>
      </c>
      <c r="S63" s="185">
        <v>350</v>
      </c>
      <c r="T63" s="185"/>
      <c r="U63" s="185">
        <v>137299</v>
      </c>
      <c r="V63" s="185"/>
      <c r="W63" s="185"/>
      <c r="X63" s="185"/>
      <c r="Y63" s="185">
        <v>21892</v>
      </c>
      <c r="Z63" s="185"/>
      <c r="AA63" s="185"/>
      <c r="AB63" s="185">
        <v>19623</v>
      </c>
      <c r="AC63" s="185"/>
      <c r="AD63" s="185"/>
      <c r="AE63" s="185"/>
      <c r="AF63" s="185"/>
      <c r="AG63" s="185">
        <v>248269</v>
      </c>
      <c r="AH63" s="185"/>
      <c r="AI63" s="185"/>
      <c r="AJ63" s="185">
        <v>-300</v>
      </c>
      <c r="AK63" s="185"/>
      <c r="AL63" s="185"/>
      <c r="AM63" s="185"/>
      <c r="AN63" s="185"/>
      <c r="AO63" s="185"/>
      <c r="AP63" s="185">
        <v>1053724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3398</v>
      </c>
      <c r="BX63" s="185">
        <v>12482</v>
      </c>
      <c r="BY63" s="185"/>
      <c r="BZ63" s="185"/>
      <c r="CA63" s="185"/>
      <c r="CB63" s="185"/>
      <c r="CC63" s="185">
        <v>119295.45</v>
      </c>
      <c r="CD63" s="249" t="s">
        <v>221</v>
      </c>
      <c r="CE63" s="195">
        <f t="shared" si="0"/>
        <v>2891568.12</v>
      </c>
      <c r="CF63" s="252"/>
    </row>
    <row r="64" spans="1:84" ht="12.6" customHeight="1" x14ac:dyDescent="0.25">
      <c r="A64" s="171" t="s">
        <v>237</v>
      </c>
      <c r="B64" s="175"/>
      <c r="C64" s="184">
        <v>137325</v>
      </c>
      <c r="D64" s="184"/>
      <c r="E64" s="185">
        <v>319841.24</v>
      </c>
      <c r="F64" s="185">
        <v>9732.01</v>
      </c>
      <c r="G64" s="184"/>
      <c r="H64" s="184"/>
      <c r="I64" s="185"/>
      <c r="J64" s="185">
        <v>7688.81</v>
      </c>
      <c r="K64" s="185"/>
      <c r="L64" s="185"/>
      <c r="M64" s="184"/>
      <c r="N64" s="184"/>
      <c r="O64" s="184">
        <v>41763</v>
      </c>
      <c r="P64" s="185">
        <f>2693576+63939</f>
        <v>2757515</v>
      </c>
      <c r="Q64" s="185">
        <v>10481</v>
      </c>
      <c r="R64" s="185">
        <v>58209</v>
      </c>
      <c r="S64" s="185">
        <v>153680</v>
      </c>
      <c r="T64" s="185">
        <v>52314</v>
      </c>
      <c r="U64" s="185">
        <v>1054760</v>
      </c>
      <c r="V64" s="185">
        <v>5740</v>
      </c>
      <c r="W64" s="185">
        <v>6881</v>
      </c>
      <c r="X64" s="185">
        <v>135002</v>
      </c>
      <c r="Y64" s="185">
        <v>65023</v>
      </c>
      <c r="Z64" s="185"/>
      <c r="AA64" s="185">
        <v>109888</v>
      </c>
      <c r="AB64" s="185">
        <v>998612</v>
      </c>
      <c r="AC64" s="185">
        <v>90850</v>
      </c>
      <c r="AD64" s="185"/>
      <c r="AE64" s="185">
        <v>1719</v>
      </c>
      <c r="AF64" s="185"/>
      <c r="AG64" s="185">
        <v>368545</v>
      </c>
      <c r="AH64" s="185"/>
      <c r="AI64" s="185"/>
      <c r="AJ64" s="185">
        <f>435992+13</f>
        <v>436005</v>
      </c>
      <c r="AK64" s="185"/>
      <c r="AL64" s="185">
        <v>57</v>
      </c>
      <c r="AM64" s="185"/>
      <c r="AN64" s="185"/>
      <c r="AO64" s="185">
        <v>42423</v>
      </c>
      <c r="AP64" s="185">
        <v>428791</v>
      </c>
      <c r="AQ64" s="185"/>
      <c r="AR64" s="185"/>
      <c r="AS64" s="185"/>
      <c r="AT64" s="185"/>
      <c r="AU64" s="185"/>
      <c r="AV64" s="185"/>
      <c r="AW64" s="185"/>
      <c r="AX64" s="185">
        <v>588</v>
      </c>
      <c r="AY64" s="185">
        <v>256387</v>
      </c>
      <c r="AZ64" s="185"/>
      <c r="BA64" s="185">
        <v>1375</v>
      </c>
      <c r="BB64" s="185"/>
      <c r="BC64" s="185"/>
      <c r="BD64" s="185">
        <v>-22212</v>
      </c>
      <c r="BE64" s="185">
        <v>78543</v>
      </c>
      <c r="BF64" s="185">
        <v>50467</v>
      </c>
      <c r="BG64" s="185"/>
      <c r="BH64" s="185"/>
      <c r="BI64" s="185"/>
      <c r="BJ64" s="185"/>
      <c r="BK64" s="185">
        <v>2</v>
      </c>
      <c r="BL64" s="185">
        <v>11027</v>
      </c>
      <c r="BM64" s="185"/>
      <c r="BN64" s="185">
        <v>3213</v>
      </c>
      <c r="BO64" s="185"/>
      <c r="BP64" s="185"/>
      <c r="BQ64" s="185"/>
      <c r="BR64" s="185"/>
      <c r="BS64" s="185"/>
      <c r="BT64" s="185"/>
      <c r="BU64" s="185"/>
      <c r="BV64" s="185">
        <v>41</v>
      </c>
      <c r="BW64" s="185">
        <v>6781</v>
      </c>
      <c r="BX64" s="185">
        <v>3432</v>
      </c>
      <c r="BY64" s="185">
        <v>-12</v>
      </c>
      <c r="BZ64" s="185"/>
      <c r="CA64" s="185"/>
      <c r="CB64" s="185"/>
      <c r="CC64" s="185">
        <v>54778</v>
      </c>
      <c r="CD64" s="249" t="s">
        <v>221</v>
      </c>
      <c r="CE64" s="195">
        <f t="shared" si="0"/>
        <v>7737255.0600000005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9493</v>
      </c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48381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741266</v>
      </c>
      <c r="CD65" s="249" t="s">
        <v>221</v>
      </c>
      <c r="CE65" s="195">
        <f t="shared" si="0"/>
        <v>799140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302.20999999999998</v>
      </c>
      <c r="F66" s="184">
        <v>5250</v>
      </c>
      <c r="G66" s="184"/>
      <c r="H66" s="184"/>
      <c r="I66" s="184"/>
      <c r="J66" s="184">
        <v>199.65</v>
      </c>
      <c r="K66" s="185"/>
      <c r="L66" s="185"/>
      <c r="M66" s="184"/>
      <c r="N66" s="184"/>
      <c r="O66" s="185">
        <v>972</v>
      </c>
      <c r="P66" s="185">
        <f>107590+1877</f>
        <v>109467</v>
      </c>
      <c r="Q66" s="185"/>
      <c r="R66" s="185">
        <v>91600</v>
      </c>
      <c r="S66" s="184">
        <v>17376</v>
      </c>
      <c r="T66" s="184"/>
      <c r="U66" s="185">
        <v>386466</v>
      </c>
      <c r="V66" s="185"/>
      <c r="W66" s="185">
        <v>133043</v>
      </c>
      <c r="X66" s="185">
        <v>181847</v>
      </c>
      <c r="Y66" s="185">
        <v>243874</v>
      </c>
      <c r="Z66" s="185"/>
      <c r="AA66" s="185">
        <v>22818</v>
      </c>
      <c r="AB66" s="185">
        <v>233636</v>
      </c>
      <c r="AC66" s="185">
        <v>6051</v>
      </c>
      <c r="AD66" s="185"/>
      <c r="AE66" s="185"/>
      <c r="AF66" s="185"/>
      <c r="AG66" s="185">
        <v>100874</v>
      </c>
      <c r="AH66" s="185"/>
      <c r="AI66" s="185"/>
      <c r="AJ66" s="185">
        <v>587774</v>
      </c>
      <c r="AK66" s="185"/>
      <c r="AL66" s="185"/>
      <c r="AM66" s="185"/>
      <c r="AN66" s="185"/>
      <c r="AO66" s="185"/>
      <c r="AP66" s="185">
        <v>207414</v>
      </c>
      <c r="AQ66" s="185"/>
      <c r="AR66" s="185"/>
      <c r="AS66" s="185"/>
      <c r="AT66" s="185"/>
      <c r="AU66" s="185"/>
      <c r="AV66" s="185"/>
      <c r="AW66" s="185"/>
      <c r="AX66" s="185">
        <v>18790</v>
      </c>
      <c r="AY66" s="185">
        <v>92598</v>
      </c>
      <c r="AZ66" s="185"/>
      <c r="BA66" s="185">
        <v>155439</v>
      </c>
      <c r="BB66" s="185"/>
      <c r="BC66" s="185">
        <v>3859</v>
      </c>
      <c r="BD66" s="185"/>
      <c r="BE66" s="185">
        <v>680734</v>
      </c>
      <c r="BF66" s="185">
        <v>150267</v>
      </c>
      <c r="BG66" s="185"/>
      <c r="BH66" s="185"/>
      <c r="BI66" s="185"/>
      <c r="BJ66" s="185"/>
      <c r="BK66" s="185"/>
      <c r="BL66" s="185"/>
      <c r="BM66" s="185"/>
      <c r="BN66" s="185">
        <v>2084</v>
      </c>
      <c r="BO66" s="185"/>
      <c r="BP66" s="185"/>
      <c r="BQ66" s="185"/>
      <c r="BR66" s="185"/>
      <c r="BS66" s="185"/>
      <c r="BT66" s="185"/>
      <c r="BU66" s="185"/>
      <c r="BV66" s="185">
        <v>25354</v>
      </c>
      <c r="BW66" s="185">
        <v>5179</v>
      </c>
      <c r="BX66" s="185">
        <v>160034</v>
      </c>
      <c r="BY66" s="185">
        <v>1502</v>
      </c>
      <c r="BZ66" s="185"/>
      <c r="CA66" s="185"/>
      <c r="CB66" s="185"/>
      <c r="CC66" s="185">
        <f>1432287+118301</f>
        <v>1550588</v>
      </c>
      <c r="CD66" s="249" t="s">
        <v>221</v>
      </c>
      <c r="CE66" s="195">
        <f t="shared" si="0"/>
        <v>5175391.8599999994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35386</v>
      </c>
      <c r="D67" s="195">
        <f>ROUND(D51+D52,0)</f>
        <v>0</v>
      </c>
      <c r="E67" s="195">
        <f t="shared" ref="E67:BP67" si="3">ROUND(E51+E52,0)</f>
        <v>56375</v>
      </c>
      <c r="F67" s="195">
        <f t="shared" si="3"/>
        <v>34450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1557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9391</v>
      </c>
      <c r="P67" s="195">
        <f t="shared" si="3"/>
        <v>46612</v>
      </c>
      <c r="Q67" s="195">
        <f t="shared" si="3"/>
        <v>7509</v>
      </c>
      <c r="R67" s="195">
        <f t="shared" si="3"/>
        <v>1548</v>
      </c>
      <c r="S67" s="195">
        <f t="shared" si="3"/>
        <v>14206</v>
      </c>
      <c r="T67" s="195">
        <f t="shared" si="3"/>
        <v>2360</v>
      </c>
      <c r="U67" s="195">
        <f t="shared" si="3"/>
        <v>18152</v>
      </c>
      <c r="V67" s="195">
        <f t="shared" si="3"/>
        <v>822</v>
      </c>
      <c r="W67" s="195">
        <f t="shared" si="3"/>
        <v>0</v>
      </c>
      <c r="X67" s="195">
        <f t="shared" si="3"/>
        <v>4605</v>
      </c>
      <c r="Y67" s="195">
        <f t="shared" si="3"/>
        <v>37880</v>
      </c>
      <c r="Z67" s="195">
        <f t="shared" si="3"/>
        <v>0</v>
      </c>
      <c r="AA67" s="195">
        <f t="shared" si="3"/>
        <v>5340</v>
      </c>
      <c r="AB67" s="195">
        <f t="shared" si="3"/>
        <v>9181</v>
      </c>
      <c r="AC67" s="195">
        <f t="shared" si="3"/>
        <v>8761</v>
      </c>
      <c r="AD67" s="195">
        <f t="shared" si="3"/>
        <v>0</v>
      </c>
      <c r="AE67" s="195">
        <f t="shared" si="3"/>
        <v>17445</v>
      </c>
      <c r="AF67" s="195">
        <f t="shared" si="3"/>
        <v>0</v>
      </c>
      <c r="AG67" s="195">
        <f t="shared" si="3"/>
        <v>86173</v>
      </c>
      <c r="AH67" s="195">
        <f t="shared" si="3"/>
        <v>0</v>
      </c>
      <c r="AI67" s="195">
        <f t="shared" si="3"/>
        <v>0</v>
      </c>
      <c r="AJ67" s="195">
        <f t="shared" si="3"/>
        <v>2064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18849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908</v>
      </c>
      <c r="AW67" s="195">
        <f t="shared" si="3"/>
        <v>0</v>
      </c>
      <c r="AX67" s="195">
        <f t="shared" si="3"/>
        <v>0</v>
      </c>
      <c r="AY67" s="195">
        <f t="shared" si="3"/>
        <v>46229</v>
      </c>
      <c r="AZ67" s="195">
        <f>ROUND(AZ51+AZ52,0)</f>
        <v>0</v>
      </c>
      <c r="BA67" s="195">
        <f>ROUND(BA51+BA52,0)</f>
        <v>3544</v>
      </c>
      <c r="BB67" s="195">
        <f t="shared" si="3"/>
        <v>0</v>
      </c>
      <c r="BC67" s="195">
        <f t="shared" si="3"/>
        <v>0</v>
      </c>
      <c r="BD67" s="195">
        <f t="shared" si="3"/>
        <v>15333</v>
      </c>
      <c r="BE67" s="195">
        <f t="shared" si="3"/>
        <v>280930</v>
      </c>
      <c r="BF67" s="195">
        <f t="shared" si="3"/>
        <v>3812</v>
      </c>
      <c r="BG67" s="195">
        <f t="shared" si="3"/>
        <v>1595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7901</v>
      </c>
      <c r="BM67" s="195">
        <f t="shared" si="3"/>
        <v>0</v>
      </c>
      <c r="BN67" s="195">
        <f t="shared" si="3"/>
        <v>33561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17684</v>
      </c>
      <c r="BW67" s="195">
        <f t="shared" si="4"/>
        <v>5235</v>
      </c>
      <c r="BX67" s="195">
        <f t="shared" si="4"/>
        <v>8799</v>
      </c>
      <c r="BY67" s="195">
        <f t="shared" si="4"/>
        <v>2856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6726</v>
      </c>
      <c r="CD67" s="249" t="s">
        <v>221</v>
      </c>
      <c r="CE67" s="195">
        <f t="shared" si="0"/>
        <v>853779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32491.42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f>583+49270</f>
        <v>49853</v>
      </c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>
        <v>19552</v>
      </c>
      <c r="AD68" s="185"/>
      <c r="AE68" s="185"/>
      <c r="AF68" s="185"/>
      <c r="AG68" s="185"/>
      <c r="AH68" s="185"/>
      <c r="AI68" s="185"/>
      <c r="AJ68" s="185">
        <v>144001</v>
      </c>
      <c r="AK68" s="185"/>
      <c r="AL68" s="185"/>
      <c r="AM68" s="185"/>
      <c r="AN68" s="185"/>
      <c r="AO68" s="185"/>
      <c r="AP68" s="185">
        <v>449536</v>
      </c>
      <c r="AQ68" s="185"/>
      <c r="AR68" s="185"/>
      <c r="AS68" s="185"/>
      <c r="AT68" s="185"/>
      <c r="AU68" s="185"/>
      <c r="AV68" s="185"/>
      <c r="AW68" s="185"/>
      <c r="AX68" s="185">
        <v>33227</v>
      </c>
      <c r="AY68" s="185"/>
      <c r="AZ68" s="185"/>
      <c r="BA68" s="185"/>
      <c r="BB68" s="185"/>
      <c r="BC68" s="185"/>
      <c r="BD68" s="185"/>
      <c r="BE68" s="185">
        <v>6815</v>
      </c>
      <c r="BF68" s="185"/>
      <c r="BG68" s="185"/>
      <c r="BH68" s="185"/>
      <c r="BI68" s="185"/>
      <c r="BJ68" s="185"/>
      <c r="BK68" s="185"/>
      <c r="BL68" s="185"/>
      <c r="BM68" s="185"/>
      <c r="BN68" s="185">
        <v>20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735495.41999999993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1253</v>
      </c>
      <c r="F69" s="185">
        <v>1077.06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727</v>
      </c>
      <c r="Q69" s="185">
        <v>56</v>
      </c>
      <c r="R69" s="224">
        <v>28</v>
      </c>
      <c r="S69" s="185">
        <v>217</v>
      </c>
      <c r="T69" s="184"/>
      <c r="U69" s="185">
        <v>160</v>
      </c>
      <c r="V69" s="185"/>
      <c r="W69" s="184"/>
      <c r="X69" s="185">
        <v>6737</v>
      </c>
      <c r="Y69" s="185">
        <v>142</v>
      </c>
      <c r="Z69" s="185"/>
      <c r="AA69" s="185">
        <v>14</v>
      </c>
      <c r="AB69" s="185">
        <v>3945</v>
      </c>
      <c r="AC69" s="185">
        <v>169</v>
      </c>
      <c r="AD69" s="185"/>
      <c r="AE69" s="185">
        <v>83.52</v>
      </c>
      <c r="AF69" s="185"/>
      <c r="AG69" s="185">
        <v>10895</v>
      </c>
      <c r="AH69" s="185"/>
      <c r="AI69" s="185"/>
      <c r="AJ69" s="185">
        <f>41+115</f>
        <v>156</v>
      </c>
      <c r="AK69" s="185"/>
      <c r="AL69" s="185"/>
      <c r="AM69" s="185"/>
      <c r="AN69" s="185"/>
      <c r="AO69" s="184"/>
      <c r="AP69" s="185">
        <v>78812</v>
      </c>
      <c r="AQ69" s="184"/>
      <c r="AR69" s="184"/>
      <c r="AS69" s="184"/>
      <c r="AT69" s="184"/>
      <c r="AU69" s="185"/>
      <c r="AV69" s="185"/>
      <c r="AW69" s="185"/>
      <c r="AX69" s="185"/>
      <c r="AY69" s="185">
        <v>3699</v>
      </c>
      <c r="AZ69" s="185"/>
      <c r="BA69" s="185"/>
      <c r="BB69" s="185"/>
      <c r="BC69" s="185"/>
      <c r="BD69" s="185">
        <v>929</v>
      </c>
      <c r="BE69" s="185">
        <v>1141</v>
      </c>
      <c r="BF69" s="185">
        <v>1036</v>
      </c>
      <c r="BG69" s="185"/>
      <c r="BH69" s="224"/>
      <c r="BI69" s="185"/>
      <c r="BJ69" s="185"/>
      <c r="BK69" s="185"/>
      <c r="BL69" s="185">
        <v>83</v>
      </c>
      <c r="BM69" s="185"/>
      <c r="BN69" s="185">
        <v>58284</v>
      </c>
      <c r="BO69" s="185"/>
      <c r="BP69" s="185"/>
      <c r="BQ69" s="185"/>
      <c r="BR69" s="185"/>
      <c r="BS69" s="185"/>
      <c r="BT69" s="185"/>
      <c r="BU69" s="185"/>
      <c r="BV69" s="185">
        <v>268</v>
      </c>
      <c r="BW69" s="185">
        <v>11029</v>
      </c>
      <c r="BX69" s="185">
        <v>10202</v>
      </c>
      <c r="BY69" s="185">
        <v>52143</v>
      </c>
      <c r="BZ69" s="185"/>
      <c r="CA69" s="185"/>
      <c r="CB69" s="185"/>
      <c r="CC69" s="185">
        <v>19682</v>
      </c>
      <c r="CD69" s="188">
        <v>689921</v>
      </c>
      <c r="CE69" s="195">
        <f t="shared" si="0"/>
        <v>952888.58000000007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2768282</v>
      </c>
      <c r="CE70" s="195">
        <f t="shared" si="0"/>
        <v>2768282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1551679</v>
      </c>
      <c r="D71" s="195">
        <f t="shared" ref="D71:AI71" si="5">SUM(D61:D69)-D70</f>
        <v>0</v>
      </c>
      <c r="E71" s="195">
        <f t="shared" si="5"/>
        <v>4340989.54</v>
      </c>
      <c r="F71" s="195">
        <f t="shared" si="5"/>
        <v>1817347.07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9445.4599999999991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52126</v>
      </c>
      <c r="P71" s="195">
        <f t="shared" si="5"/>
        <v>4678963</v>
      </c>
      <c r="Q71" s="195">
        <f t="shared" si="5"/>
        <v>960792</v>
      </c>
      <c r="R71" s="195">
        <f t="shared" si="5"/>
        <v>1158813</v>
      </c>
      <c r="S71" s="195">
        <f t="shared" si="5"/>
        <v>411091</v>
      </c>
      <c r="T71" s="195">
        <f t="shared" si="5"/>
        <v>61356</v>
      </c>
      <c r="U71" s="195">
        <f t="shared" si="5"/>
        <v>2598271</v>
      </c>
      <c r="V71" s="195">
        <f t="shared" si="5"/>
        <v>6562</v>
      </c>
      <c r="W71" s="195">
        <f t="shared" si="5"/>
        <v>139924</v>
      </c>
      <c r="X71" s="195">
        <f t="shared" si="5"/>
        <v>458012</v>
      </c>
      <c r="Y71" s="195">
        <f t="shared" si="5"/>
        <v>2103298</v>
      </c>
      <c r="Z71" s="195">
        <f t="shared" si="5"/>
        <v>0</v>
      </c>
      <c r="AA71" s="195">
        <f t="shared" si="5"/>
        <v>266926</v>
      </c>
      <c r="AB71" s="195">
        <f t="shared" si="5"/>
        <v>2111193</v>
      </c>
      <c r="AC71" s="195">
        <f t="shared" si="5"/>
        <v>769688</v>
      </c>
      <c r="AD71" s="195">
        <f t="shared" si="5"/>
        <v>0</v>
      </c>
      <c r="AE71" s="195">
        <f t="shared" si="5"/>
        <v>151734.51999999999</v>
      </c>
      <c r="AF71" s="195">
        <f t="shared" si="5"/>
        <v>0</v>
      </c>
      <c r="AG71" s="195">
        <f t="shared" si="5"/>
        <v>4431215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1186900</v>
      </c>
      <c r="AK71" s="195">
        <f t="shared" si="6"/>
        <v>0</v>
      </c>
      <c r="AL71" s="195">
        <f t="shared" si="6"/>
        <v>12568</v>
      </c>
      <c r="AM71" s="195">
        <f t="shared" si="6"/>
        <v>0</v>
      </c>
      <c r="AN71" s="195">
        <f t="shared" si="6"/>
        <v>0</v>
      </c>
      <c r="AO71" s="195">
        <f t="shared" si="6"/>
        <v>315480</v>
      </c>
      <c r="AP71" s="195">
        <f t="shared" si="6"/>
        <v>8079207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908</v>
      </c>
      <c r="AW71" s="195">
        <f t="shared" si="6"/>
        <v>0</v>
      </c>
      <c r="AX71" s="195">
        <f t="shared" si="6"/>
        <v>52605</v>
      </c>
      <c r="AY71" s="195">
        <f t="shared" si="6"/>
        <v>1079283</v>
      </c>
      <c r="AZ71" s="195">
        <f t="shared" si="6"/>
        <v>0</v>
      </c>
      <c r="BA71" s="195">
        <f t="shared" si="6"/>
        <v>204784</v>
      </c>
      <c r="BB71" s="195">
        <f t="shared" si="6"/>
        <v>0</v>
      </c>
      <c r="BC71" s="195">
        <f t="shared" si="6"/>
        <v>3859</v>
      </c>
      <c r="BD71" s="195">
        <f t="shared" si="6"/>
        <v>216715</v>
      </c>
      <c r="BE71" s="195">
        <f t="shared" si="6"/>
        <v>1392757</v>
      </c>
      <c r="BF71" s="195">
        <f t="shared" si="6"/>
        <v>715552</v>
      </c>
      <c r="BG71" s="195">
        <f t="shared" si="6"/>
        <v>1595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2</v>
      </c>
      <c r="BL71" s="195">
        <f t="shared" si="6"/>
        <v>542931</v>
      </c>
      <c r="BM71" s="195">
        <f t="shared" si="6"/>
        <v>0</v>
      </c>
      <c r="BN71" s="195">
        <f t="shared" si="6"/>
        <v>707586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591074</v>
      </c>
      <c r="BW71" s="195">
        <f t="shared" si="7"/>
        <v>191596</v>
      </c>
      <c r="BX71" s="195">
        <f t="shared" si="7"/>
        <v>632363</v>
      </c>
      <c r="BY71" s="195">
        <f t="shared" si="7"/>
        <v>1169218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2494458.4500000002</v>
      </c>
      <c r="CD71" s="245">
        <f>CD69-CD70</f>
        <v>-2078361</v>
      </c>
      <c r="CE71" s="195">
        <f>SUM(CE61:CE69)-CE70</f>
        <v>45592506.039999999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9381433</v>
      </c>
      <c r="D73" s="184"/>
      <c r="E73" s="185">
        <v>12878845</v>
      </c>
      <c r="F73" s="185">
        <v>850789</v>
      </c>
      <c r="G73" s="184"/>
      <c r="H73" s="184"/>
      <c r="I73" s="185"/>
      <c r="J73" s="185">
        <v>530786</v>
      </c>
      <c r="K73" s="185"/>
      <c r="L73" s="185"/>
      <c r="M73" s="184"/>
      <c r="N73" s="184"/>
      <c r="O73" s="184">
        <v>588515</v>
      </c>
      <c r="P73" s="185">
        <v>6160846</v>
      </c>
      <c r="Q73" s="185">
        <v>554853</v>
      </c>
      <c r="R73" s="185">
        <v>863263</v>
      </c>
      <c r="S73" s="185">
        <v>2114995</v>
      </c>
      <c r="T73" s="185">
        <v>522225</v>
      </c>
      <c r="U73" s="185">
        <f>5450069+85758</f>
        <v>5535827</v>
      </c>
      <c r="V73" s="185">
        <v>11781</v>
      </c>
      <c r="W73" s="185">
        <v>219387</v>
      </c>
      <c r="X73" s="185">
        <v>3352898</v>
      </c>
      <c r="Y73" s="185">
        <v>1581826</v>
      </c>
      <c r="Z73" s="185"/>
      <c r="AA73" s="185">
        <v>212937</v>
      </c>
      <c r="AB73" s="185">
        <v>3849577</v>
      </c>
      <c r="AC73" s="185">
        <v>3749096</v>
      </c>
      <c r="AD73" s="185"/>
      <c r="AE73" s="185">
        <v>229878</v>
      </c>
      <c r="AF73" s="185"/>
      <c r="AG73" s="185">
        <v>5340595</v>
      </c>
      <c r="AH73" s="185"/>
      <c r="AI73" s="185"/>
      <c r="AJ73" s="185">
        <v>8010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58538362</v>
      </c>
      <c r="CF73" s="252"/>
    </row>
    <row r="74" spans="1:84" ht="12.6" customHeight="1" x14ac:dyDescent="0.25">
      <c r="A74" s="171" t="s">
        <v>246</v>
      </c>
      <c r="B74" s="175"/>
      <c r="C74" s="184">
        <v>797862</v>
      </c>
      <c r="D74" s="184"/>
      <c r="E74" s="185">
        <v>4546354</v>
      </c>
      <c r="F74" s="185">
        <v>117176</v>
      </c>
      <c r="G74" s="184"/>
      <c r="H74" s="184"/>
      <c r="I74" s="184"/>
      <c r="J74" s="185">
        <v>1284</v>
      </c>
      <c r="K74" s="185"/>
      <c r="L74" s="185"/>
      <c r="M74" s="184"/>
      <c r="N74" s="184"/>
      <c r="O74" s="184">
        <v>113642</v>
      </c>
      <c r="P74" s="185">
        <f>15698224+286113</f>
        <v>15984337</v>
      </c>
      <c r="Q74" s="185">
        <v>1216539</v>
      </c>
      <c r="R74" s="185">
        <v>1357975</v>
      </c>
      <c r="S74" s="185">
        <v>5389507</v>
      </c>
      <c r="T74" s="185">
        <v>596011</v>
      </c>
      <c r="U74" s="185">
        <f>18260622+353754</f>
        <v>18614376</v>
      </c>
      <c r="V74" s="185">
        <v>341925</v>
      </c>
      <c r="W74" s="185">
        <v>3557714</v>
      </c>
      <c r="X74" s="185">
        <v>18581295</v>
      </c>
      <c r="Y74" s="185">
        <f>5361895+4970088+843967</f>
        <v>11175950</v>
      </c>
      <c r="Z74" s="185"/>
      <c r="AA74" s="185">
        <v>1009056</v>
      </c>
      <c r="AB74" s="185">
        <v>2759453</v>
      </c>
      <c r="AC74" s="185">
        <v>847886</v>
      </c>
      <c r="AD74" s="185"/>
      <c r="AE74" s="185">
        <v>288472</v>
      </c>
      <c r="AF74" s="185"/>
      <c r="AG74" s="185">
        <v>38866528</v>
      </c>
      <c r="AH74" s="185"/>
      <c r="AI74" s="185"/>
      <c r="AJ74" s="185">
        <f>6430534+54193</f>
        <v>6484727</v>
      </c>
      <c r="AK74" s="185"/>
      <c r="AL74" s="185"/>
      <c r="AM74" s="185"/>
      <c r="AN74" s="185"/>
      <c r="AO74" s="185"/>
      <c r="AP74" s="185">
        <v>9615409</v>
      </c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142263478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10179295</v>
      </c>
      <c r="D75" s="195">
        <f t="shared" si="9"/>
        <v>0</v>
      </c>
      <c r="E75" s="195">
        <f t="shared" si="9"/>
        <v>17425199</v>
      </c>
      <c r="F75" s="195">
        <f t="shared" si="9"/>
        <v>967965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532070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702157</v>
      </c>
      <c r="P75" s="195">
        <f t="shared" si="9"/>
        <v>22145183</v>
      </c>
      <c r="Q75" s="195">
        <f t="shared" si="9"/>
        <v>1771392</v>
      </c>
      <c r="R75" s="195">
        <f t="shared" si="9"/>
        <v>2221238</v>
      </c>
      <c r="S75" s="195">
        <f t="shared" si="9"/>
        <v>7504502</v>
      </c>
      <c r="T75" s="195">
        <f t="shared" si="9"/>
        <v>1118236</v>
      </c>
      <c r="U75" s="195">
        <f t="shared" si="9"/>
        <v>24150203</v>
      </c>
      <c r="V75" s="195">
        <f t="shared" si="9"/>
        <v>353706</v>
      </c>
      <c r="W75" s="195">
        <f t="shared" si="9"/>
        <v>3777101</v>
      </c>
      <c r="X75" s="195">
        <f t="shared" si="9"/>
        <v>21934193</v>
      </c>
      <c r="Y75" s="195">
        <f t="shared" si="9"/>
        <v>12757776</v>
      </c>
      <c r="Z75" s="195">
        <f t="shared" si="9"/>
        <v>0</v>
      </c>
      <c r="AA75" s="195">
        <f t="shared" si="9"/>
        <v>1221993</v>
      </c>
      <c r="AB75" s="195">
        <f t="shared" si="9"/>
        <v>6609030</v>
      </c>
      <c r="AC75" s="195">
        <f t="shared" si="9"/>
        <v>4596982</v>
      </c>
      <c r="AD75" s="195">
        <f t="shared" si="9"/>
        <v>0</v>
      </c>
      <c r="AE75" s="195">
        <f t="shared" si="9"/>
        <v>518350</v>
      </c>
      <c r="AF75" s="195">
        <f t="shared" si="9"/>
        <v>0</v>
      </c>
      <c r="AG75" s="195">
        <f t="shared" si="9"/>
        <v>44207123</v>
      </c>
      <c r="AH75" s="195">
        <f t="shared" si="9"/>
        <v>0</v>
      </c>
      <c r="AI75" s="195">
        <f t="shared" si="9"/>
        <v>0</v>
      </c>
      <c r="AJ75" s="195">
        <f t="shared" si="9"/>
        <v>6492737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9615409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200801840</v>
      </c>
      <c r="CF75" s="252"/>
    </row>
    <row r="76" spans="1:84" ht="12.6" customHeight="1" x14ac:dyDescent="0.25">
      <c r="A76" s="171" t="s">
        <v>248</v>
      </c>
      <c r="B76" s="175"/>
      <c r="C76" s="184">
        <v>3704</v>
      </c>
      <c r="D76" s="184"/>
      <c r="E76" s="185">
        <v>5901</v>
      </c>
      <c r="F76" s="185">
        <v>3606</v>
      </c>
      <c r="G76" s="184"/>
      <c r="H76" s="184"/>
      <c r="I76" s="185"/>
      <c r="J76" s="185">
        <v>163</v>
      </c>
      <c r="K76" s="185"/>
      <c r="L76" s="185"/>
      <c r="M76" s="185"/>
      <c r="N76" s="185"/>
      <c r="O76" s="185">
        <v>983</v>
      </c>
      <c r="P76" s="185">
        <v>4879</v>
      </c>
      <c r="Q76" s="185">
        <v>786</v>
      </c>
      <c r="R76" s="185">
        <v>162</v>
      </c>
      <c r="S76" s="185">
        <v>1487</v>
      </c>
      <c r="T76" s="185">
        <v>247</v>
      </c>
      <c r="U76" s="185">
        <v>1900</v>
      </c>
      <c r="V76" s="185">
        <v>86</v>
      </c>
      <c r="W76" s="185"/>
      <c r="X76" s="185">
        <v>482</v>
      </c>
      <c r="Y76" s="185">
        <v>3965</v>
      </c>
      <c r="Z76" s="185"/>
      <c r="AA76" s="185">
        <v>559</v>
      </c>
      <c r="AB76" s="185">
        <v>961</v>
      </c>
      <c r="AC76" s="185">
        <v>917</v>
      </c>
      <c r="AD76" s="185"/>
      <c r="AE76" s="185">
        <v>1826</v>
      </c>
      <c r="AF76" s="185"/>
      <c r="AG76" s="185">
        <v>9020</v>
      </c>
      <c r="AH76" s="185"/>
      <c r="AI76" s="185"/>
      <c r="AJ76" s="185">
        <v>216</v>
      </c>
      <c r="AK76" s="185"/>
      <c r="AL76" s="185"/>
      <c r="AM76" s="185"/>
      <c r="AN76" s="185"/>
      <c r="AO76" s="185">
        <v>1973</v>
      </c>
      <c r="AP76" s="185"/>
      <c r="AQ76" s="185"/>
      <c r="AR76" s="185"/>
      <c r="AS76" s="185"/>
      <c r="AT76" s="185"/>
      <c r="AU76" s="185"/>
      <c r="AV76" s="185">
        <v>95</v>
      </c>
      <c r="AW76" s="185"/>
      <c r="AX76" s="185"/>
      <c r="AY76" s="185">
        <v>4839</v>
      </c>
      <c r="AZ76" s="185"/>
      <c r="BA76" s="185">
        <v>371</v>
      </c>
      <c r="BB76" s="185"/>
      <c r="BC76" s="185"/>
      <c r="BD76" s="185">
        <v>1605</v>
      </c>
      <c r="BE76" s="185">
        <v>29406</v>
      </c>
      <c r="BF76" s="185">
        <v>399</v>
      </c>
      <c r="BG76" s="185">
        <v>167</v>
      </c>
      <c r="BH76" s="185"/>
      <c r="BI76" s="185"/>
      <c r="BJ76" s="185"/>
      <c r="BK76" s="185"/>
      <c r="BL76" s="185">
        <v>827</v>
      </c>
      <c r="BM76" s="185"/>
      <c r="BN76" s="185">
        <v>3513</v>
      </c>
      <c r="BO76" s="185"/>
      <c r="BP76" s="185"/>
      <c r="BQ76" s="185"/>
      <c r="BR76" s="185"/>
      <c r="BS76" s="185"/>
      <c r="BT76" s="185"/>
      <c r="BU76" s="185"/>
      <c r="BV76" s="185">
        <v>1851</v>
      </c>
      <c r="BW76" s="185">
        <v>548</v>
      </c>
      <c r="BX76" s="185">
        <v>921</v>
      </c>
      <c r="BY76" s="185">
        <v>299</v>
      </c>
      <c r="BZ76" s="185"/>
      <c r="CA76" s="185"/>
      <c r="CB76" s="185"/>
      <c r="CC76" s="185">
        <v>704</v>
      </c>
      <c r="CD76" s="249" t="s">
        <v>221</v>
      </c>
      <c r="CE76" s="195">
        <f t="shared" si="8"/>
        <v>89368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C59*2.8</f>
        <v>4096.3999999999996</v>
      </c>
      <c r="D77" s="184"/>
      <c r="E77" s="184">
        <f>E59*2.8</f>
        <v>11029.199999999999</v>
      </c>
      <c r="F77" s="184">
        <f>F59*2.8</f>
        <v>772.8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16863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32761.399999999998</v>
      </c>
      <c r="CF77" s="195">
        <f>AY59-CE77</f>
        <v>64198.600000000006</v>
      </c>
    </row>
    <row r="78" spans="1:84" ht="12.6" customHeight="1" x14ac:dyDescent="0.25">
      <c r="A78" s="171" t="s">
        <v>250</v>
      </c>
      <c r="B78" s="175"/>
      <c r="C78" s="184">
        <f>22798.84*(C76/48735)</f>
        <v>1732.7773337437159</v>
      </c>
      <c r="D78" s="184"/>
      <c r="E78" s="184">
        <f>22798.84*(E76/48735)</f>
        <v>2760.5612976300399</v>
      </c>
      <c r="F78" s="184">
        <f>22798.84*(F76/48735)</f>
        <v>1686.9317131425055</v>
      </c>
      <c r="G78" s="184"/>
      <c r="H78" s="184"/>
      <c r="I78" s="184"/>
      <c r="J78" s="184">
        <f>22798.84*(J76/48735)</f>
        <v>76.253430183646245</v>
      </c>
      <c r="K78" s="184"/>
      <c r="L78" s="184"/>
      <c r="M78" s="184"/>
      <c r="N78" s="184"/>
      <c r="O78" s="184">
        <f t="shared" ref="O78:V78" si="10">22798.84*(O76/48735)</f>
        <v>459.85964337744952</v>
      </c>
      <c r="P78" s="184">
        <f t="shared" si="10"/>
        <v>2282.4569685031292</v>
      </c>
      <c r="Q78" s="184">
        <f t="shared" si="10"/>
        <v>367.70058971991386</v>
      </c>
      <c r="R78" s="184">
        <f t="shared" si="10"/>
        <v>75.785617728531847</v>
      </c>
      <c r="S78" s="184">
        <f t="shared" si="10"/>
        <v>695.63712075510409</v>
      </c>
      <c r="T78" s="184">
        <f t="shared" si="10"/>
        <v>115.54967641325537</v>
      </c>
      <c r="U78" s="184">
        <f t="shared" si="10"/>
        <v>888.84366471734893</v>
      </c>
      <c r="V78" s="184">
        <f t="shared" si="10"/>
        <v>40.231871139837899</v>
      </c>
      <c r="W78" s="184"/>
      <c r="X78" s="184">
        <f>22798.84*(X76/48735)</f>
        <v>225.48560336513802</v>
      </c>
      <c r="Y78" s="184">
        <f>22798.84*(Y76/48735)</f>
        <v>1854.876384528573</v>
      </c>
      <c r="Z78" s="184"/>
      <c r="AA78" s="184">
        <f>22798.84*(AA76/48735)</f>
        <v>261.50716240894633</v>
      </c>
      <c r="AB78" s="184">
        <f>22798.84*(AB76/48735)</f>
        <v>449.56776936493281</v>
      </c>
      <c r="AC78" s="184">
        <f>22798.84*(AC76/48735)</f>
        <v>428.98402133989947</v>
      </c>
      <c r="AD78" s="184"/>
      <c r="AE78" s="184">
        <f>22798.84*(AE76/48735)</f>
        <v>854.22554303888364</v>
      </c>
      <c r="AF78" s="184"/>
      <c r="AG78" s="184">
        <f>22798.84*(AG76/48735)</f>
        <v>4219.6683451318358</v>
      </c>
      <c r="AH78" s="184"/>
      <c r="AI78" s="184"/>
      <c r="AJ78" s="184">
        <f>22798.84*(AJ76/48735)</f>
        <v>101.04749030470914</v>
      </c>
      <c r="AK78" s="184"/>
      <c r="AL78" s="184"/>
      <c r="AM78" s="184"/>
      <c r="AN78" s="184"/>
      <c r="AO78" s="184">
        <f>22798.84*(AO76/48735)</f>
        <v>922.99397394069979</v>
      </c>
      <c r="AP78" s="184"/>
      <c r="AQ78" s="184"/>
      <c r="AR78" s="184"/>
      <c r="AS78" s="184"/>
      <c r="AT78" s="184"/>
      <c r="AU78" s="184"/>
      <c r="AV78" s="184">
        <f>22798.84*(AV76/48735)</f>
        <v>44.442183235867446</v>
      </c>
      <c r="AW78" s="184"/>
      <c r="AX78" s="249" t="s">
        <v>221</v>
      </c>
      <c r="AY78" s="249" t="s">
        <v>221</v>
      </c>
      <c r="AZ78" s="249" t="s">
        <v>221</v>
      </c>
      <c r="BA78" s="184">
        <f>22798.84*(BA76/48735)</f>
        <v>173.55842084744023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>
        <f>22798.84*(BL76/48735)</f>
        <v>386.88090037960399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f>22798.84*(BV76/48735)</f>
        <v>865.92085441674362</v>
      </c>
      <c r="BW78" s="184">
        <f>22798.84*(BW76/48735)</f>
        <v>256.36122540268798</v>
      </c>
      <c r="BX78" s="184">
        <f>22798.84*(BX76/48735)</f>
        <v>430.85527116035701</v>
      </c>
      <c r="BY78" s="184">
        <f>22798.84*(BY76/48735)</f>
        <v>139.87592407920386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22798.84</v>
      </c>
      <c r="CF78" s="195"/>
    </row>
    <row r="79" spans="1:84" ht="12.6" customHeight="1" x14ac:dyDescent="0.25">
      <c r="A79" s="171" t="s">
        <v>251</v>
      </c>
      <c r="B79" s="175"/>
      <c r="C79" s="225">
        <v>20171</v>
      </c>
      <c r="D79" s="225"/>
      <c r="E79" s="184">
        <v>61108</v>
      </c>
      <c r="F79" s="184">
        <v>10436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31883</v>
      </c>
      <c r="Q79" s="184"/>
      <c r="R79" s="184"/>
      <c r="S79" s="184">
        <v>2135</v>
      </c>
      <c r="T79" s="184"/>
      <c r="U79" s="184">
        <v>239</v>
      </c>
      <c r="V79" s="184"/>
      <c r="W79" s="184">
        <v>2273</v>
      </c>
      <c r="X79" s="184"/>
      <c r="Y79" s="184">
        <v>24669</v>
      </c>
      <c r="Z79" s="184"/>
      <c r="AA79" s="184"/>
      <c r="AB79" s="184">
        <v>159</v>
      </c>
      <c r="AC79" s="184">
        <v>976</v>
      </c>
      <c r="AD79" s="184"/>
      <c r="AE79" s="184">
        <v>194</v>
      </c>
      <c r="AF79" s="184"/>
      <c r="AG79" s="184">
        <v>78347</v>
      </c>
      <c r="AH79" s="184"/>
      <c r="AI79" s="184"/>
      <c r="AJ79" s="184"/>
      <c r="AK79" s="184"/>
      <c r="AL79" s="184"/>
      <c r="AM79" s="184"/>
      <c r="AN79" s="184"/>
      <c r="AO79" s="184">
        <v>14355</v>
      </c>
      <c r="AP79" s="184">
        <v>656</v>
      </c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247601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8.91</v>
      </c>
      <c r="D80" s="187"/>
      <c r="E80" s="187">
        <v>22.36</v>
      </c>
      <c r="F80" s="187">
        <v>10.52</v>
      </c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5.74</v>
      </c>
      <c r="Q80" s="187">
        <v>6.14</v>
      </c>
      <c r="R80" s="187"/>
      <c r="S80" s="187"/>
      <c r="T80" s="187">
        <v>0.02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22.37</v>
      </c>
      <c r="AH80" s="187"/>
      <c r="AI80" s="187"/>
      <c r="AJ80" s="187"/>
      <c r="AK80" s="187"/>
      <c r="AL80" s="187"/>
      <c r="AM80" s="187"/>
      <c r="AN80" s="187"/>
      <c r="AO80" s="187">
        <v>1.2</v>
      </c>
      <c r="AP80" s="187">
        <v>3.03</v>
      </c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80.290000000000006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1408</v>
      </c>
      <c r="D111" s="174">
        <v>5678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143</v>
      </c>
      <c r="D114" s="174">
        <v>282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48</v>
      </c>
    </row>
    <row r="128" spans="1:5" ht="12.6" customHeight="1" x14ac:dyDescent="0.25">
      <c r="A128" s="173" t="s">
        <v>292</v>
      </c>
      <c r="B128" s="172" t="s">
        <v>256</v>
      </c>
      <c r="C128" s="189">
        <v>48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698.12379999999996</v>
      </c>
      <c r="C138" s="189">
        <v>298.68770000000001</v>
      </c>
      <c r="D138" s="174">
        <v>426</v>
      </c>
      <c r="E138" s="175">
        <f>SUM(B138:D138)</f>
        <v>1422.8115</v>
      </c>
    </row>
    <row r="139" spans="1:6" ht="12.6" customHeight="1" x14ac:dyDescent="0.25">
      <c r="A139" s="173" t="s">
        <v>215</v>
      </c>
      <c r="B139" s="174">
        <v>2908.7673999999997</v>
      </c>
      <c r="C139" s="189">
        <v>1244.4971</v>
      </c>
      <c r="D139" s="174">
        <v>1776</v>
      </c>
      <c r="E139" s="175">
        <f>SUM(B139:D139)</f>
        <v>5929.2644999999993</v>
      </c>
    </row>
    <row r="140" spans="1:6" ht="12.6" customHeight="1" x14ac:dyDescent="0.25">
      <c r="A140" s="173" t="s">
        <v>298</v>
      </c>
      <c r="B140" s="174">
        <v>16772.288199999999</v>
      </c>
      <c r="C140" s="174">
        <v>8588.6882000000005</v>
      </c>
      <c r="D140" s="174">
        <v>15557</v>
      </c>
      <c r="E140" s="175">
        <f>SUM(B140:D140)</f>
        <v>40917.9764</v>
      </c>
    </row>
    <row r="141" spans="1:6" ht="12.6" customHeight="1" x14ac:dyDescent="0.25">
      <c r="A141" s="173" t="s">
        <v>245</v>
      </c>
      <c r="B141" s="174">
        <v>32270699</v>
      </c>
      <c r="C141" s="189">
        <v>14398419</v>
      </c>
      <c r="D141" s="174">
        <v>11869244</v>
      </c>
      <c r="E141" s="175">
        <f>SUM(B141:D141)</f>
        <v>58538362</v>
      </c>
      <c r="F141" s="199"/>
    </row>
    <row r="142" spans="1:6" ht="12.6" customHeight="1" x14ac:dyDescent="0.25">
      <c r="A142" s="173" t="s">
        <v>246</v>
      </c>
      <c r="B142" s="174">
        <v>44120088</v>
      </c>
      <c r="C142" s="189">
        <v>38278574</v>
      </c>
      <c r="D142" s="174">
        <v>59864816</v>
      </c>
      <c r="E142" s="175">
        <f>SUM(B142:D142)</f>
        <v>142263478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1690491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69151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40795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2052198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38647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977036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125603+47033+35975</f>
        <v>208611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5076929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608413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127082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735495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87316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87316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45573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522418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567991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34614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34614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1">SUM(B195:C195)-D195</f>
        <v>0</v>
      </c>
    </row>
    <row r="196" spans="1:8" ht="12.6" customHeight="1" x14ac:dyDescent="0.25">
      <c r="A196" s="173" t="s">
        <v>333</v>
      </c>
      <c r="B196" s="174">
        <v>20183.5</v>
      </c>
      <c r="C196" s="189"/>
      <c r="D196" s="174"/>
      <c r="E196" s="175">
        <f t="shared" si="11"/>
        <v>20183.5</v>
      </c>
    </row>
    <row r="197" spans="1:8" ht="12.6" customHeight="1" x14ac:dyDescent="0.25">
      <c r="A197" s="173" t="s">
        <v>334</v>
      </c>
      <c r="B197" s="174">
        <v>76126</v>
      </c>
      <c r="C197" s="189">
        <v>2226</v>
      </c>
      <c r="D197" s="174"/>
      <c r="E197" s="175">
        <f t="shared" si="11"/>
        <v>78352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1"/>
        <v>0</v>
      </c>
    </row>
    <row r="199" spans="1:8" ht="12.6" customHeight="1" x14ac:dyDescent="0.25">
      <c r="A199" s="173" t="s">
        <v>336</v>
      </c>
      <c r="B199" s="174">
        <v>137741</v>
      </c>
      <c r="C199" s="189">
        <v>27964</v>
      </c>
      <c r="D199" s="174"/>
      <c r="E199" s="175">
        <f t="shared" si="11"/>
        <v>165705</v>
      </c>
    </row>
    <row r="200" spans="1:8" ht="12.6" customHeight="1" x14ac:dyDescent="0.25">
      <c r="A200" s="173" t="s">
        <v>337</v>
      </c>
      <c r="B200" s="174">
        <v>3638387</v>
      </c>
      <c r="C200" s="189">
        <v>1548148</v>
      </c>
      <c r="D200" s="174"/>
      <c r="E200" s="175">
        <f t="shared" si="11"/>
        <v>5186535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1"/>
        <v>0</v>
      </c>
    </row>
    <row r="202" spans="1:8" ht="12.6" customHeight="1" x14ac:dyDescent="0.25">
      <c r="A202" s="173" t="s">
        <v>339</v>
      </c>
      <c r="B202" s="174">
        <v>76910</v>
      </c>
      <c r="C202" s="189">
        <v>122797</v>
      </c>
      <c r="D202" s="174"/>
      <c r="E202" s="175">
        <f t="shared" si="11"/>
        <v>199707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1"/>
        <v>0</v>
      </c>
    </row>
    <row r="204" spans="1:8" ht="12.6" customHeight="1" x14ac:dyDescent="0.25">
      <c r="A204" s="173" t="s">
        <v>203</v>
      </c>
      <c r="B204" s="175">
        <f>SUM(B195:B203)</f>
        <v>3949347.5</v>
      </c>
      <c r="C204" s="191">
        <f>SUM(C195:C203)</f>
        <v>1701135</v>
      </c>
      <c r="D204" s="175">
        <f>SUM(D195:D203)</f>
        <v>0</v>
      </c>
      <c r="E204" s="175">
        <f>SUM(E195:E203)</f>
        <v>5650482.5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3028</v>
      </c>
      <c r="C209" s="189">
        <v>1345</v>
      </c>
      <c r="D209" s="174"/>
      <c r="E209" s="175">
        <f t="shared" ref="E209:E216" si="12">SUM(B209:C209)-D209</f>
        <v>4373</v>
      </c>
      <c r="H209" s="259"/>
    </row>
    <row r="210" spans="1:8" ht="12.6" customHeight="1" x14ac:dyDescent="0.25">
      <c r="A210" s="173" t="s">
        <v>334</v>
      </c>
      <c r="B210" s="174">
        <v>5305</v>
      </c>
      <c r="C210" s="189">
        <v>6877</v>
      </c>
      <c r="D210" s="174"/>
      <c r="E210" s="175">
        <f t="shared" si="12"/>
        <v>12182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2"/>
        <v>0</v>
      </c>
      <c r="H211" s="259"/>
    </row>
    <row r="212" spans="1:8" ht="12.6" customHeight="1" x14ac:dyDescent="0.25">
      <c r="A212" s="173" t="s">
        <v>336</v>
      </c>
      <c r="B212" s="174">
        <v>9773</v>
      </c>
      <c r="C212" s="189">
        <v>17145</v>
      </c>
      <c r="D212" s="174"/>
      <c r="E212" s="175">
        <f t="shared" si="12"/>
        <v>26918</v>
      </c>
      <c r="H212" s="259"/>
    </row>
    <row r="213" spans="1:8" ht="12.6" customHeight="1" x14ac:dyDescent="0.25">
      <c r="A213" s="173" t="s">
        <v>337</v>
      </c>
      <c r="B213" s="174">
        <v>698811</v>
      </c>
      <c r="C213" s="189">
        <f>798330+2292</f>
        <v>800622</v>
      </c>
      <c r="D213" s="174"/>
      <c r="E213" s="175">
        <f t="shared" si="12"/>
        <v>1499433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2"/>
        <v>0</v>
      </c>
      <c r="H214" s="259"/>
    </row>
    <row r="215" spans="1:8" ht="12.6" customHeight="1" x14ac:dyDescent="0.25">
      <c r="A215" s="173" t="s">
        <v>339</v>
      </c>
      <c r="B215" s="174">
        <v>1282</v>
      </c>
      <c r="C215" s="189">
        <v>26165</v>
      </c>
      <c r="D215" s="174"/>
      <c r="E215" s="175">
        <f t="shared" si="12"/>
        <v>27447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2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718199</v>
      </c>
      <c r="C217" s="191">
        <f>SUM(C208:C216)</f>
        <v>852154</v>
      </c>
      <c r="D217" s="175">
        <f>SUM(D208:D216)</f>
        <v>0</v>
      </c>
      <c r="E217" s="175">
        <f>SUM(E208:E216)</f>
        <v>1570353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6477110</v>
      </c>
      <c r="D221" s="172">
        <f>C221</f>
        <v>6477110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54308766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41442707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2265523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5452705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28717848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2062721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134250270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870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483424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552740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1036164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141763544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3815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9761090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24129476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18956896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323718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1251030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16512233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15587012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15587012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20183.5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78352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165705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5186535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199707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5650482.5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1570353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4080129.5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36179374.5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267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149149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2471667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181742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SUM(C305:C313)</f>
        <v>2802558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338425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338425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181742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156683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33220134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36179375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36179374.5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58538362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142263478</f>
        <v>142263478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200801840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6477110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134250270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1036164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141763544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59038296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2768282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2768282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61806578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24138343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5076929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2891568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7737255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799140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5175392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853777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735495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87316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522418+45573</f>
        <v>567991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34614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262968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48360788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13445790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526000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13971790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2274075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16245865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CASCADE VALLEY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1408</v>
      </c>
      <c r="C414" s="194">
        <f>E138</f>
        <v>1422.8115</v>
      </c>
      <c r="D414" s="179"/>
    </row>
    <row r="415" spans="1:5" ht="12.6" customHeight="1" x14ac:dyDescent="0.25">
      <c r="A415" s="179" t="s">
        <v>464</v>
      </c>
      <c r="B415" s="179">
        <f>D111</f>
        <v>5678</v>
      </c>
      <c r="C415" s="179">
        <f>E139</f>
        <v>5929.2644999999993</v>
      </c>
      <c r="D415" s="194">
        <f>SUM(C59:H59)+N59</f>
        <v>5678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143</v>
      </c>
    </row>
    <row r="424" spans="1:7" ht="12.6" customHeight="1" x14ac:dyDescent="0.25">
      <c r="A424" s="179" t="s">
        <v>1244</v>
      </c>
      <c r="B424" s="179">
        <f>D114</f>
        <v>282</v>
      </c>
      <c r="D424" s="179">
        <f>J59</f>
        <v>282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24138343</v>
      </c>
      <c r="C427" s="179">
        <f t="shared" ref="C427:C434" si="14">CE61</f>
        <v>24138343</v>
      </c>
      <c r="D427" s="179"/>
    </row>
    <row r="428" spans="1:7" ht="12.6" customHeight="1" x14ac:dyDescent="0.25">
      <c r="A428" s="179" t="s">
        <v>3</v>
      </c>
      <c r="B428" s="179">
        <f t="shared" si="13"/>
        <v>5076929</v>
      </c>
      <c r="C428" s="179">
        <f t="shared" si="14"/>
        <v>5076927</v>
      </c>
      <c r="D428" s="179">
        <f>D173</f>
        <v>5076929</v>
      </c>
    </row>
    <row r="429" spans="1:7" ht="12.6" customHeight="1" x14ac:dyDescent="0.25">
      <c r="A429" s="179" t="s">
        <v>236</v>
      </c>
      <c r="B429" s="179">
        <f t="shared" si="13"/>
        <v>2891568</v>
      </c>
      <c r="C429" s="179">
        <f t="shared" si="14"/>
        <v>2891568.12</v>
      </c>
      <c r="D429" s="179"/>
    </row>
    <row r="430" spans="1:7" ht="12.6" customHeight="1" x14ac:dyDescent="0.25">
      <c r="A430" s="179" t="s">
        <v>237</v>
      </c>
      <c r="B430" s="179">
        <f t="shared" si="13"/>
        <v>7737255</v>
      </c>
      <c r="C430" s="179">
        <f t="shared" si="14"/>
        <v>7737255.0600000005</v>
      </c>
      <c r="D430" s="179"/>
    </row>
    <row r="431" spans="1:7" ht="12.6" customHeight="1" x14ac:dyDescent="0.25">
      <c r="A431" s="179" t="s">
        <v>444</v>
      </c>
      <c r="B431" s="179">
        <f t="shared" si="13"/>
        <v>799140</v>
      </c>
      <c r="C431" s="179">
        <f t="shared" si="14"/>
        <v>799140</v>
      </c>
      <c r="D431" s="179"/>
    </row>
    <row r="432" spans="1:7" ht="12.6" customHeight="1" x14ac:dyDescent="0.25">
      <c r="A432" s="179" t="s">
        <v>445</v>
      </c>
      <c r="B432" s="179">
        <f t="shared" si="13"/>
        <v>5175392</v>
      </c>
      <c r="C432" s="179">
        <f t="shared" si="14"/>
        <v>5175391.8599999994</v>
      </c>
      <c r="D432" s="179"/>
    </row>
    <row r="433" spans="1:7" ht="12.6" customHeight="1" x14ac:dyDescent="0.25">
      <c r="A433" s="179" t="s">
        <v>6</v>
      </c>
      <c r="B433" s="179">
        <f t="shared" si="13"/>
        <v>853777</v>
      </c>
      <c r="C433" s="179">
        <f t="shared" si="14"/>
        <v>853779</v>
      </c>
      <c r="D433" s="179">
        <f>C217</f>
        <v>852154</v>
      </c>
    </row>
    <row r="434" spans="1:7" ht="12.6" customHeight="1" x14ac:dyDescent="0.25">
      <c r="A434" s="179" t="s">
        <v>474</v>
      </c>
      <c r="B434" s="179">
        <f t="shared" si="13"/>
        <v>735495</v>
      </c>
      <c r="C434" s="179">
        <f t="shared" si="14"/>
        <v>735495.41999999993</v>
      </c>
      <c r="D434" s="179">
        <f>D177</f>
        <v>735495</v>
      </c>
    </row>
    <row r="435" spans="1:7" ht="12.6" customHeight="1" x14ac:dyDescent="0.25">
      <c r="A435" s="179" t="s">
        <v>447</v>
      </c>
      <c r="B435" s="179">
        <f t="shared" si="13"/>
        <v>87316</v>
      </c>
      <c r="C435" s="179"/>
      <c r="D435" s="179">
        <f>D181</f>
        <v>87316</v>
      </c>
    </row>
    <row r="436" spans="1:7" ht="12.6" customHeight="1" x14ac:dyDescent="0.25">
      <c r="A436" s="179" t="s">
        <v>475</v>
      </c>
      <c r="B436" s="179">
        <f t="shared" si="13"/>
        <v>567991</v>
      </c>
      <c r="C436" s="179"/>
      <c r="D436" s="179">
        <f>D186</f>
        <v>567991</v>
      </c>
    </row>
    <row r="437" spans="1:7" ht="12.6" customHeight="1" x14ac:dyDescent="0.25">
      <c r="A437" s="194" t="s">
        <v>449</v>
      </c>
      <c r="B437" s="194">
        <f t="shared" si="13"/>
        <v>34614</v>
      </c>
      <c r="C437" s="194"/>
      <c r="D437" s="194">
        <f>D190</f>
        <v>34614</v>
      </c>
    </row>
    <row r="438" spans="1:7" ht="12.6" customHeight="1" x14ac:dyDescent="0.25">
      <c r="A438" s="194" t="s">
        <v>476</v>
      </c>
      <c r="B438" s="194">
        <f>C386+C387+C388</f>
        <v>689921</v>
      </c>
      <c r="C438" s="194">
        <f>CD69</f>
        <v>689921</v>
      </c>
      <c r="D438" s="194">
        <f>D181+D186+D190</f>
        <v>689921</v>
      </c>
    </row>
    <row r="439" spans="1:7" ht="12.6" customHeight="1" x14ac:dyDescent="0.25">
      <c r="A439" s="179" t="s">
        <v>451</v>
      </c>
      <c r="B439" s="194">
        <f>C389</f>
        <v>262968</v>
      </c>
      <c r="C439" s="194">
        <f>SUM(C69:CC69)</f>
        <v>262967.58</v>
      </c>
      <c r="D439" s="179"/>
    </row>
    <row r="440" spans="1:7" ht="12.6" customHeight="1" x14ac:dyDescent="0.25">
      <c r="A440" s="179" t="s">
        <v>477</v>
      </c>
      <c r="B440" s="194">
        <f>B438+B439</f>
        <v>952889</v>
      </c>
      <c r="C440" s="194">
        <f>CE69</f>
        <v>952888.58000000007</v>
      </c>
      <c r="D440" s="179"/>
    </row>
    <row r="441" spans="1:7" ht="12.6" customHeight="1" x14ac:dyDescent="0.25">
      <c r="A441" s="179" t="s">
        <v>478</v>
      </c>
      <c r="B441" s="179">
        <f>D390</f>
        <v>48360788</v>
      </c>
      <c r="C441" s="179">
        <f>SUM(C427:C437)+C440</f>
        <v>48360788.039999999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6477110</v>
      </c>
      <c r="C444" s="179">
        <f>C363</f>
        <v>6477110</v>
      </c>
      <c r="D444" s="179"/>
    </row>
    <row r="445" spans="1:7" ht="12.6" customHeight="1" x14ac:dyDescent="0.25">
      <c r="A445" s="179" t="s">
        <v>343</v>
      </c>
      <c r="B445" s="179">
        <f>D229</f>
        <v>134250270</v>
      </c>
      <c r="C445" s="179">
        <f>C364</f>
        <v>134250270</v>
      </c>
      <c r="D445" s="179"/>
    </row>
    <row r="446" spans="1:7" ht="12.6" customHeight="1" x14ac:dyDescent="0.25">
      <c r="A446" s="179" t="s">
        <v>351</v>
      </c>
      <c r="B446" s="179">
        <f>D236</f>
        <v>1036164</v>
      </c>
      <c r="C446" s="179">
        <f>C365</f>
        <v>1036164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141763544</v>
      </c>
      <c r="C448" s="179">
        <f>D367</f>
        <v>141763544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870</v>
      </c>
    </row>
    <row r="454" spans="1:7" ht="12.6" customHeight="1" x14ac:dyDescent="0.25">
      <c r="A454" s="179" t="s">
        <v>168</v>
      </c>
      <c r="B454" s="179">
        <f>C233</f>
        <v>483424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552740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2768282</v>
      </c>
      <c r="C458" s="194">
        <f>CE70</f>
        <v>2768282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58538362</v>
      </c>
      <c r="C463" s="194">
        <f>CE73</f>
        <v>58538362</v>
      </c>
      <c r="D463" s="194">
        <f>E141+E147+E153</f>
        <v>58538362</v>
      </c>
    </row>
    <row r="464" spans="1:7" ht="12.6" customHeight="1" x14ac:dyDescent="0.25">
      <c r="A464" s="179" t="s">
        <v>246</v>
      </c>
      <c r="B464" s="194">
        <f>C360</f>
        <v>142263478</v>
      </c>
      <c r="C464" s="194">
        <f>CE74</f>
        <v>142263478</v>
      </c>
      <c r="D464" s="194">
        <f>E142+E148+E154</f>
        <v>142263478</v>
      </c>
    </row>
    <row r="465" spans="1:7" ht="12.6" customHeight="1" x14ac:dyDescent="0.25">
      <c r="A465" s="179" t="s">
        <v>247</v>
      </c>
      <c r="B465" s="194">
        <f>D361</f>
        <v>200801840</v>
      </c>
      <c r="C465" s="194">
        <f>CE75</f>
        <v>200801840</v>
      </c>
      <c r="D465" s="194">
        <f>D463+D464</f>
        <v>200801840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5"/>
        <v>20183.5</v>
      </c>
      <c r="C469" s="179">
        <f>E196</f>
        <v>20183.5</v>
      </c>
      <c r="D469" s="179"/>
    </row>
    <row r="470" spans="1:7" ht="12.6" customHeight="1" x14ac:dyDescent="0.25">
      <c r="A470" s="179" t="s">
        <v>334</v>
      </c>
      <c r="B470" s="179">
        <f t="shared" si="15"/>
        <v>78352</v>
      </c>
      <c r="C470" s="179">
        <f>E197</f>
        <v>78352</v>
      </c>
      <c r="D470" s="179"/>
    </row>
    <row r="471" spans="1:7" ht="12.6" customHeight="1" x14ac:dyDescent="0.2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5"/>
        <v>165705</v>
      </c>
      <c r="C472" s="179">
        <f>E199</f>
        <v>165705</v>
      </c>
      <c r="D472" s="179"/>
    </row>
    <row r="473" spans="1:7" ht="12.6" customHeight="1" x14ac:dyDescent="0.25">
      <c r="A473" s="179" t="s">
        <v>495</v>
      </c>
      <c r="B473" s="179">
        <f t="shared" si="15"/>
        <v>5186535</v>
      </c>
      <c r="C473" s="179">
        <f>SUM(E200:E201)</f>
        <v>5186535</v>
      </c>
      <c r="D473" s="179"/>
    </row>
    <row r="474" spans="1:7" ht="12.6" customHeight="1" x14ac:dyDescent="0.25">
      <c r="A474" s="179" t="s">
        <v>339</v>
      </c>
      <c r="B474" s="179">
        <f t="shared" si="15"/>
        <v>199707</v>
      </c>
      <c r="C474" s="179">
        <f>E202</f>
        <v>199707</v>
      </c>
      <c r="D474" s="179"/>
    </row>
    <row r="475" spans="1:7" ht="12.6" customHeight="1" x14ac:dyDescent="0.25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5650482.5</v>
      </c>
      <c r="C476" s="179">
        <f>E204</f>
        <v>5650482.5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1570353</v>
      </c>
      <c r="C478" s="179">
        <f>E217</f>
        <v>1570353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36179374.5</v>
      </c>
    </row>
    <row r="482" spans="1:12" ht="12.6" customHeight="1" x14ac:dyDescent="0.25">
      <c r="A482" s="180" t="s">
        <v>499</v>
      </c>
      <c r="C482" s="180">
        <f>D339</f>
        <v>36179375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CASCADE VALLEY HOSPITAL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2029735.13</v>
      </c>
      <c r="C496" s="240">
        <f>C71</f>
        <v>1551679</v>
      </c>
      <c r="D496" s="240">
        <f>'Prior Year'!C59</f>
        <v>1656</v>
      </c>
      <c r="E496" s="180">
        <f>C59</f>
        <v>1463</v>
      </c>
      <c r="F496" s="263">
        <f t="shared" ref="F496:G511" si="16">IF(B496=0,"",IF(D496=0,"",B496/D496))</f>
        <v>1225.6854649758454</v>
      </c>
      <c r="G496" s="264">
        <f t="shared" si="16"/>
        <v>1060.6144907723856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6"/>
        <v/>
      </c>
      <c r="G497" s="263" t="str">
        <f t="shared" si="16"/>
        <v/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5114882</v>
      </c>
      <c r="C498" s="240">
        <f>E71</f>
        <v>4340989.54</v>
      </c>
      <c r="D498" s="240">
        <f>'Prior Year'!E59</f>
        <v>3711</v>
      </c>
      <c r="E498" s="180">
        <f>E59</f>
        <v>3939</v>
      </c>
      <c r="F498" s="263">
        <f t="shared" si="16"/>
        <v>1378.3028833198598</v>
      </c>
      <c r="G498" s="263">
        <f t="shared" si="16"/>
        <v>1102.0537039857832</v>
      </c>
      <c r="H498" s="265" t="str">
        <f t="shared" si="17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2444260.59</v>
      </c>
      <c r="C499" s="240">
        <f>F71</f>
        <v>1817347.07</v>
      </c>
      <c r="D499" s="240">
        <f>'Prior Year'!F59</f>
        <v>290</v>
      </c>
      <c r="E499" s="180">
        <f>F59</f>
        <v>276</v>
      </c>
      <c r="F499" s="263">
        <f t="shared" si="16"/>
        <v>8428.4847931034474</v>
      </c>
      <c r="G499" s="263">
        <f t="shared" si="16"/>
        <v>6584.5908333333336</v>
      </c>
      <c r="H499" s="265" t="str">
        <f t="shared" si="17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6"/>
        <v/>
      </c>
      <c r="G500" s="263" t="str">
        <f t="shared" si="16"/>
        <v/>
      </c>
      <c r="H500" s="265" t="str">
        <f t="shared" si="17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4330</v>
      </c>
      <c r="C503" s="240">
        <f>J71</f>
        <v>9445.4599999999991</v>
      </c>
      <c r="D503" s="240">
        <f>'Prior Year'!J59</f>
        <v>258</v>
      </c>
      <c r="E503" s="180">
        <f>J59</f>
        <v>282</v>
      </c>
      <c r="F503" s="263">
        <f t="shared" si="16"/>
        <v>16.782945736434108</v>
      </c>
      <c r="G503" s="263">
        <f t="shared" si="16"/>
        <v>33.494539007092193</v>
      </c>
      <c r="H503" s="265">
        <f t="shared" si="17"/>
        <v>0.99574851358655558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59246</v>
      </c>
      <c r="C508" s="240">
        <f>O71</f>
        <v>52126</v>
      </c>
      <c r="D508" s="240">
        <f>'Prior Year'!O59</f>
        <v>135</v>
      </c>
      <c r="E508" s="180">
        <f>O59</f>
        <v>143</v>
      </c>
      <c r="F508" s="263">
        <f t="shared" si="16"/>
        <v>438.85925925925926</v>
      </c>
      <c r="G508" s="263">
        <f t="shared" si="16"/>
        <v>364.51748251748251</v>
      </c>
      <c r="H508" s="265" t="str">
        <f t="shared" si="17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4808903.54</v>
      </c>
      <c r="C509" s="240">
        <f>P71</f>
        <v>4678963</v>
      </c>
      <c r="D509" s="240">
        <f>'Prior Year'!P59</f>
        <v>125991</v>
      </c>
      <c r="E509" s="180">
        <f>P59</f>
        <v>160776</v>
      </c>
      <c r="F509" s="263">
        <f t="shared" si="16"/>
        <v>38.168627441642656</v>
      </c>
      <c r="G509" s="263">
        <f t="shared" si="16"/>
        <v>29.102372244613623</v>
      </c>
      <c r="H509" s="265" t="str">
        <f t="shared" si="17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1037520.9</v>
      </c>
      <c r="C510" s="240">
        <f>Q71</f>
        <v>960792</v>
      </c>
      <c r="D510" s="240">
        <f>'Prior Year'!Q59</f>
        <v>69922</v>
      </c>
      <c r="E510" s="180">
        <f>Q59</f>
        <v>69480</v>
      </c>
      <c r="F510" s="263">
        <f t="shared" si="16"/>
        <v>14.838261205343096</v>
      </c>
      <c r="G510" s="263">
        <f t="shared" si="16"/>
        <v>13.82832469775475</v>
      </c>
      <c r="H510" s="265" t="str">
        <f t="shared" si="17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1123711.29</v>
      </c>
      <c r="C511" s="240">
        <f>R71</f>
        <v>1158813</v>
      </c>
      <c r="D511" s="240">
        <f>'Prior Year'!R59</f>
        <v>126995</v>
      </c>
      <c r="E511" s="180">
        <f>R59</f>
        <v>157393</v>
      </c>
      <c r="F511" s="263">
        <f t="shared" si="16"/>
        <v>8.8484687586125439</v>
      </c>
      <c r="G511" s="263">
        <f t="shared" si="16"/>
        <v>7.3625447129160762</v>
      </c>
      <c r="H511" s="265" t="str">
        <f t="shared" si="17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558587.75</v>
      </c>
      <c r="C512" s="240">
        <f>S71</f>
        <v>411091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61648.36</v>
      </c>
      <c r="C513" s="240">
        <f>T71</f>
        <v>61356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2760905.91</v>
      </c>
      <c r="C514" s="240">
        <f>U71</f>
        <v>2598271</v>
      </c>
      <c r="D514" s="240">
        <f>'Prior Year'!U59</f>
        <v>111782</v>
      </c>
      <c r="E514" s="180">
        <f>U59</f>
        <v>211301</v>
      </c>
      <c r="F514" s="263">
        <f t="shared" si="18"/>
        <v>24.699020504195669</v>
      </c>
      <c r="G514" s="263">
        <f t="shared" si="18"/>
        <v>12.29653906039252</v>
      </c>
      <c r="H514" s="265">
        <f t="shared" si="17"/>
        <v>-0.50214466770843469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12321</v>
      </c>
      <c r="C515" s="240">
        <f>V71</f>
        <v>6562</v>
      </c>
      <c r="D515" s="240">
        <f>'Prior Year'!V59</f>
        <v>0</v>
      </c>
      <c r="E515" s="180">
        <f>V59</f>
        <v>661</v>
      </c>
      <c r="F515" s="263" t="str">
        <f t="shared" si="18"/>
        <v/>
      </c>
      <c r="G515" s="263">
        <f t="shared" si="18"/>
        <v>9.9273827534039327</v>
      </c>
      <c r="H515" s="265" t="str">
        <f t="shared" si="17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134102</v>
      </c>
      <c r="C516" s="240">
        <f>W71</f>
        <v>139924</v>
      </c>
      <c r="D516" s="240">
        <f>'Prior Year'!W59</f>
        <v>8593</v>
      </c>
      <c r="E516" s="180">
        <f>W59</f>
        <v>10226.89</v>
      </c>
      <c r="F516" s="263">
        <f t="shared" si="18"/>
        <v>15.605958338182241</v>
      </c>
      <c r="G516" s="263">
        <f t="shared" si="18"/>
        <v>13.681969787491603</v>
      </c>
      <c r="H516" s="265" t="str">
        <f t="shared" si="17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414960.11</v>
      </c>
      <c r="C517" s="240">
        <f>X71</f>
        <v>458012</v>
      </c>
      <c r="D517" s="240">
        <f>'Prior Year'!X59</f>
        <v>37259</v>
      </c>
      <c r="E517" s="180">
        <f>X59</f>
        <v>46720.63</v>
      </c>
      <c r="F517" s="263">
        <f t="shared" si="18"/>
        <v>11.137177863066642</v>
      </c>
      <c r="G517" s="263">
        <f t="shared" si="18"/>
        <v>9.8032068488802491</v>
      </c>
      <c r="H517" s="265" t="str">
        <f t="shared" si="17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2904148.58</v>
      </c>
      <c r="C518" s="240">
        <f>Y71</f>
        <v>2103298</v>
      </c>
      <c r="D518" s="240">
        <f>'Prior Year'!Y59</f>
        <v>37073</v>
      </c>
      <c r="E518" s="180">
        <f>Y59</f>
        <v>43086.27</v>
      </c>
      <c r="F518" s="263">
        <f t="shared" si="18"/>
        <v>78.33594745502117</v>
      </c>
      <c r="G518" s="263">
        <f t="shared" si="18"/>
        <v>48.815968520830424</v>
      </c>
      <c r="H518" s="265">
        <f t="shared" si="17"/>
        <v>-0.37683821914760762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8"/>
        <v/>
      </c>
      <c r="G519" s="263" t="str">
        <f t="shared" si="18"/>
        <v/>
      </c>
      <c r="H519" s="265" t="str">
        <f t="shared" si="17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285625.7</v>
      </c>
      <c r="C520" s="240">
        <f>AA71</f>
        <v>266926</v>
      </c>
      <c r="D520" s="240">
        <f>'Prior Year'!AA59</f>
        <v>3048</v>
      </c>
      <c r="E520" s="180">
        <f>AA59</f>
        <v>3977.97</v>
      </c>
      <c r="F520" s="263">
        <f t="shared" si="18"/>
        <v>93.709219160104993</v>
      </c>
      <c r="G520" s="263">
        <f t="shared" si="18"/>
        <v>67.10105908289907</v>
      </c>
      <c r="H520" s="265">
        <f t="shared" si="17"/>
        <v>-0.28394388850626417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2235506.73</v>
      </c>
      <c r="C521" s="240">
        <f>AB71</f>
        <v>2111193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994738.41999999993</v>
      </c>
      <c r="C522" s="240">
        <f>AC71</f>
        <v>769688</v>
      </c>
      <c r="D522" s="240">
        <f>'Prior Year'!AC59</f>
        <v>9976</v>
      </c>
      <c r="E522" s="180">
        <f>AC59</f>
        <v>11950</v>
      </c>
      <c r="F522" s="263">
        <f t="shared" si="18"/>
        <v>99.71315356856455</v>
      </c>
      <c r="G522" s="263">
        <f t="shared" si="18"/>
        <v>64.409037656903763</v>
      </c>
      <c r="H522" s="265">
        <f t="shared" si="17"/>
        <v>-0.35405675829302741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8"/>
        <v/>
      </c>
      <c r="G523" s="263" t="str">
        <f t="shared" si="18"/>
        <v/>
      </c>
      <c r="H523" s="265" t="str">
        <f t="shared" si="17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156704.79</v>
      </c>
      <c r="C524" s="240">
        <f>AE71</f>
        <v>151734.51999999999</v>
      </c>
      <c r="D524" s="240">
        <f>'Prior Year'!AE59</f>
        <v>1055</v>
      </c>
      <c r="E524" s="180">
        <f>AE59</f>
        <v>3167</v>
      </c>
      <c r="F524" s="263">
        <f t="shared" si="18"/>
        <v>148.535345971564</v>
      </c>
      <c r="G524" s="263">
        <f t="shared" si="18"/>
        <v>47.911120934638454</v>
      </c>
      <c r="H524" s="265">
        <f t="shared" si="17"/>
        <v>-0.67744296402143445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6046086.9800000004</v>
      </c>
      <c r="C526" s="240">
        <f>AG71</f>
        <v>4431215</v>
      </c>
      <c r="D526" s="240">
        <f>'Prior Year'!AG59</f>
        <v>17270</v>
      </c>
      <c r="E526" s="180">
        <f>AG59</f>
        <v>19779</v>
      </c>
      <c r="F526" s="263">
        <f t="shared" si="18"/>
        <v>350.09189229878405</v>
      </c>
      <c r="G526" s="263">
        <f t="shared" si="18"/>
        <v>224.03635168613175</v>
      </c>
      <c r="H526" s="265">
        <f t="shared" si="17"/>
        <v>-0.36006415282839765</v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29572.23</v>
      </c>
      <c r="C529" s="240">
        <f>AJ71</f>
        <v>1186900</v>
      </c>
      <c r="D529" s="240">
        <f>'Prior Year'!AJ59</f>
        <v>0</v>
      </c>
      <c r="E529" s="180">
        <f>AJ59</f>
        <v>198</v>
      </c>
      <c r="F529" s="263" t="str">
        <f t="shared" si="19"/>
        <v/>
      </c>
      <c r="G529" s="263">
        <f t="shared" si="19"/>
        <v>5994.4444444444443</v>
      </c>
      <c r="H529" s="265" t="str">
        <f t="shared" si="17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9"/>
        <v/>
      </c>
      <c r="G530" s="263" t="str">
        <f t="shared" si="19"/>
        <v/>
      </c>
      <c r="H530" s="265" t="str">
        <f t="shared" si="17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12568</v>
      </c>
      <c r="D531" s="240">
        <f>'Prior Year'!AL59</f>
        <v>0</v>
      </c>
      <c r="E531" s="180">
        <f>AL59</f>
        <v>0</v>
      </c>
      <c r="F531" s="263" t="str">
        <f t="shared" si="19"/>
        <v/>
      </c>
      <c r="G531" s="263" t="str">
        <f t="shared" si="19"/>
        <v/>
      </c>
      <c r="H531" s="265" t="str">
        <f t="shared" si="17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527430.78</v>
      </c>
      <c r="C534" s="240">
        <f>AO71</f>
        <v>315480</v>
      </c>
      <c r="D534" s="240">
        <f>'Prior Year'!AO59</f>
        <v>1328.5</v>
      </c>
      <c r="E534" s="180">
        <f>AO59</f>
        <v>1875.25</v>
      </c>
      <c r="F534" s="263">
        <f t="shared" si="19"/>
        <v>397.01225442228076</v>
      </c>
      <c r="G534" s="263">
        <f t="shared" si="19"/>
        <v>168.23356885748566</v>
      </c>
      <c r="H534" s="265">
        <f t="shared" si="17"/>
        <v>-0.57625094192043602</v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8304439.3300000001</v>
      </c>
      <c r="C535" s="240">
        <f>AP71</f>
        <v>8079207</v>
      </c>
      <c r="D535" s="240">
        <f>'Prior Year'!AP59</f>
        <v>20568</v>
      </c>
      <c r="E535" s="180">
        <f>AP59</f>
        <v>25941</v>
      </c>
      <c r="F535" s="263">
        <f t="shared" si="19"/>
        <v>403.75531553870087</v>
      </c>
      <c r="G535" s="263">
        <f t="shared" si="19"/>
        <v>311.44547241817969</v>
      </c>
      <c r="H535" s="265" t="str">
        <f t="shared" si="17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1169227</v>
      </c>
      <c r="C541" s="240">
        <f>AV71</f>
        <v>908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29032</v>
      </c>
      <c r="C543" s="240">
        <f>AX71</f>
        <v>52605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1683513.45</v>
      </c>
      <c r="C544" s="240">
        <f>AY71</f>
        <v>1079283</v>
      </c>
      <c r="D544" s="240">
        <f>'Prior Year'!AY59</f>
        <v>112604</v>
      </c>
      <c r="E544" s="180">
        <f>AY59</f>
        <v>96960</v>
      </c>
      <c r="F544" s="263">
        <f t="shared" ref="F544:G550" si="20">IF(B544=0,"",IF(D544=0,"",B544/D544))</f>
        <v>14.950742868814606</v>
      </c>
      <c r="G544" s="263">
        <f t="shared" si="20"/>
        <v>11.131219059405941</v>
      </c>
      <c r="H544" s="265">
        <f t="shared" si="17"/>
        <v>-0.25547384788321903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243672.06</v>
      </c>
      <c r="C546" s="240">
        <f>BA71</f>
        <v>204784</v>
      </c>
      <c r="D546" s="240">
        <f>'Prior Year'!BA59</f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4549</v>
      </c>
      <c r="C548" s="240">
        <f>BC71</f>
        <v>3859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241098.8</v>
      </c>
      <c r="C549" s="240">
        <f>BD71</f>
        <v>216715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1132589.02</v>
      </c>
      <c r="C550" s="240">
        <f>BE71</f>
        <v>1392757</v>
      </c>
      <c r="D550" s="240">
        <f>'Prior Year'!BE59</f>
        <v>89368</v>
      </c>
      <c r="E550" s="180">
        <f>BE59</f>
        <v>89368</v>
      </c>
      <c r="F550" s="263">
        <f t="shared" si="20"/>
        <v>12.67331729478113</v>
      </c>
      <c r="G550" s="263">
        <f t="shared" si="20"/>
        <v>15.584515710321368</v>
      </c>
      <c r="H550" s="265" t="str">
        <f t="shared" si="17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1101414.3400000001</v>
      </c>
      <c r="C551" s="240">
        <f>BF71</f>
        <v>715552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85705</v>
      </c>
      <c r="C552" s="240">
        <f>BG71</f>
        <v>1595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980587.85</v>
      </c>
      <c r="C557" s="240">
        <f>BL71</f>
        <v>542931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572204.92000000004</v>
      </c>
      <c r="C559" s="240">
        <f>BN71</f>
        <v>707586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956433.40999999992</v>
      </c>
      <c r="C567" s="240">
        <f>BV71</f>
        <v>591074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221551.11</v>
      </c>
      <c r="C568" s="240">
        <f>BW71</f>
        <v>191596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440095.22</v>
      </c>
      <c r="C569" s="240">
        <f>BX71</f>
        <v>632363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1588650.1400000001</v>
      </c>
      <c r="C570" s="240">
        <f>BY71</f>
        <v>1169218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4740980.09</v>
      </c>
      <c r="C574" s="240">
        <f>CC71</f>
        <v>2494458.4500000002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-2394307</v>
      </c>
      <c r="C575" s="240">
        <f>CD71</f>
        <v>-2078361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59962</v>
      </c>
      <c r="E612" s="180">
        <f>SUM(C624:D647)+SUM(C668:D713)</f>
        <v>42386388.135745637</v>
      </c>
      <c r="F612" s="180">
        <f>CE64-(AX64+BD64+BE64+BG64+BJ64+BN64+BP64+BQ64+CB64+CC64+CD64)</f>
        <v>7622345.0600000005</v>
      </c>
      <c r="G612" s="180">
        <f>CE77-(AX77+AY77+BD77+BE77+BG77+BJ77+BN77+BP77+BQ77+CB77+CC77+CD77)</f>
        <v>32761.399999999998</v>
      </c>
      <c r="H612" s="197">
        <f>CE60-(AX60+AY60+AZ60+BD60+BE60+BG60+BJ60+BN60+BO60+BP60+BQ60+BR60+CB60+CC60+CD60)</f>
        <v>242.57564109589035</v>
      </c>
      <c r="I612" s="180">
        <f>CE78-(AX78+AY78+AZ78+BD78+BE78+BF78+BG78+BJ78+BN78+BO78+BP78+BQ78+BR78+CB78+CC78+CD78)</f>
        <v>22798.84</v>
      </c>
      <c r="J612" s="180">
        <f>CE79-(AX79+AY79+AZ79+BA79+BD79+BE79+BF79+BG79+BJ79+BN79+BO79+BP79+BQ79+BR79+CB79+CC79+CD79)</f>
        <v>247601</v>
      </c>
      <c r="K612" s="180">
        <f>CE75-(AW75+AX75+AY75+AZ75+BA75+BB75+BC75+BD75+BE75+BF75+BG75+BH75+BI75+BJ75+BK75+BL75+BM75+BN75+BO75+BP75+BQ75+BR75+BS75+BT75+BU75+BV75+BW75+BX75+CB75+CC75+CD75)</f>
        <v>200801840</v>
      </c>
      <c r="L612" s="197">
        <f>CE80-(AW80+AX80+AY80+AZ80+BA80+BB80+BC80+BD80+BE80+BF80+BG80+BH80+BI80+BJ80+BK80+BL80+BM80+BN80+BO80+BP80+BQ80+BR80+BS80+BT80+BU80+BV80+BW80+BX80+BY80+BZ80+CA80+CB80+CC80+CD80)</f>
        <v>80.290000000000006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1392757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-2078361</v>
      </c>
      <c r="D615" s="266">
        <f>SUM(C614:C615)</f>
        <v>-685604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52605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1595</v>
      </c>
      <c r="D618" s="180">
        <f>(D615/D612)*BG76</f>
        <v>-1909.4738000733798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707586</v>
      </c>
      <c r="D619" s="180">
        <f>(D615/D612)*BN76</f>
        <v>-40167.553650645408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2494458.4500000002</v>
      </c>
      <c r="D620" s="180">
        <f>(D615/D612)*CC76</f>
        <v>-8049.5182949201162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3206117.9042543611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216715</v>
      </c>
      <c r="D624" s="180">
        <f>(D615/D612)*BD76</f>
        <v>-18351.529635435774</v>
      </c>
      <c r="E624" s="180">
        <f>(E623/E612)*SUM(C624:D624)</f>
        <v>15004.266743585107</v>
      </c>
      <c r="F624" s="180">
        <f>SUM(C624:E624)</f>
        <v>213367.73710814933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1079283</v>
      </c>
      <c r="D625" s="180">
        <f>(D615/D612)*AY76</f>
        <v>-55329.004302725058</v>
      </c>
      <c r="E625" s="180">
        <f>(E623/E612)*SUM(C625:D625)</f>
        <v>77452.158183991371</v>
      </c>
      <c r="F625" s="180">
        <f>(F624/F612)*AY64</f>
        <v>7176.8876354106014</v>
      </c>
      <c r="G625" s="180">
        <f>SUM(C625:F625)</f>
        <v>1108583.0415166768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715552</v>
      </c>
      <c r="D629" s="180">
        <f>(D615/D612)*BF76</f>
        <v>-4562.1559654447819</v>
      </c>
      <c r="E629" s="180">
        <f>(E623/E612)*SUM(C629:D629)</f>
        <v>53779.464798979228</v>
      </c>
      <c r="F629" s="180">
        <f>(F624/F612)*BF64</f>
        <v>1412.6924855638813</v>
      </c>
      <c r="G629" s="180">
        <f>(G625/G612)*BF77</f>
        <v>0</v>
      </c>
      <c r="H629" s="180">
        <f>(H628/H612)*BF60</f>
        <v>0</v>
      </c>
      <c r="I629" s="180">
        <f>SUM(C629:H629)</f>
        <v>766182.0013190984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204784</v>
      </c>
      <c r="D630" s="180">
        <f>(D615/D612)*BA76</f>
        <v>-4242.0046696240952</v>
      </c>
      <c r="E630" s="180">
        <f>(E623/E612)*SUM(C630:D630)</f>
        <v>15169.050963353617</v>
      </c>
      <c r="F630" s="180">
        <f>(F624/F612)*BA64</f>
        <v>38.489550947160254</v>
      </c>
      <c r="G630" s="180">
        <f>(G625/G612)*BA77</f>
        <v>0</v>
      </c>
      <c r="H630" s="180">
        <f>(H628/H612)*BA60</f>
        <v>0</v>
      </c>
      <c r="I630" s="180">
        <f>(I629/I612)*BA78</f>
        <v>5832.6361442369043</v>
      </c>
      <c r="J630" s="180">
        <f>SUM(C630:I630)</f>
        <v>221582.17198891359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3859</v>
      </c>
      <c r="D633" s="180">
        <f>(D615/D612)*BC76</f>
        <v>0</v>
      </c>
      <c r="E633" s="180">
        <f>(E623/E612)*SUM(C633:D633)</f>
        <v>291.89580751476149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</v>
      </c>
      <c r="D635" s="180">
        <f>(D615/D612)*BK76</f>
        <v>0</v>
      </c>
      <c r="E635" s="180">
        <f>(E623/E612)*SUM(C635:D635)</f>
        <v>0.15128054289440865</v>
      </c>
      <c r="F635" s="180">
        <f>(F624/F612)*BK64</f>
        <v>5.5984801377687646E-2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542931</v>
      </c>
      <c r="D637" s="180">
        <f>(D615/D612)*BL76</f>
        <v>-9455.8972015609888</v>
      </c>
      <c r="E637" s="180">
        <f>(E623/E612)*SUM(C637:D637)</f>
        <v>40352.201585999159</v>
      </c>
      <c r="F637" s="180">
        <f>(F624/F612)*BL64</f>
        <v>308.67220239588084</v>
      </c>
      <c r="G637" s="180">
        <f>(G625/G612)*BL77</f>
        <v>0</v>
      </c>
      <c r="H637" s="180">
        <f>(H628/H612)*BL60</f>
        <v>0</v>
      </c>
      <c r="I637" s="180">
        <f>(I629/I612)*BL78</f>
        <v>13001.590542544258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591074</v>
      </c>
      <c r="D642" s="180">
        <f>(D615/D612)*BV76</f>
        <v>-21164.287448717521</v>
      </c>
      <c r="E642" s="180">
        <f>(E623/E612)*SUM(C642:D642)</f>
        <v>43108.125357777193</v>
      </c>
      <c r="F642" s="180">
        <f>(F624/F612)*BV64</f>
        <v>1.1476884282425968</v>
      </c>
      <c r="G642" s="180">
        <f>(G625/G612)*BV77</f>
        <v>0</v>
      </c>
      <c r="H642" s="180">
        <f>(H628/H612)*BV60</f>
        <v>0</v>
      </c>
      <c r="I642" s="180">
        <f>(I629/I612)*BV78</f>
        <v>29100.295156287088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191596</v>
      </c>
      <c r="D643" s="180">
        <f>(D615/D612)*BW76</f>
        <v>-6265.8182182048631</v>
      </c>
      <c r="E643" s="180">
        <f>(E623/E612)*SUM(C643:D643)</f>
        <v>14018.425257334706</v>
      </c>
      <c r="F643" s="180">
        <f>(F624/F612)*BW64</f>
        <v>189.81646907104997</v>
      </c>
      <c r="G643" s="180">
        <f>(G625/G612)*BW77</f>
        <v>0</v>
      </c>
      <c r="H643" s="180">
        <f>(H628/H612)*BW60</f>
        <v>0</v>
      </c>
      <c r="I643" s="180">
        <f>(I629/I612)*BW78</f>
        <v>8615.3223909483095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632363</v>
      </c>
      <c r="D644" s="180">
        <f>(D615/D612)*BX76</f>
        <v>-10530.690837530436</v>
      </c>
      <c r="E644" s="180">
        <f>(E623/E612)*SUM(C644:D644)</f>
        <v>47035.564659691081</v>
      </c>
      <c r="F644" s="180">
        <f>(F624/F612)*BX64</f>
        <v>96.069919164111994</v>
      </c>
      <c r="G644" s="180">
        <f>(G625/G612)*BX77</f>
        <v>0</v>
      </c>
      <c r="H644" s="180">
        <f>(H628/H612)*BX60</f>
        <v>0</v>
      </c>
      <c r="I644" s="180">
        <f>(I629/I612)*BX78</f>
        <v>14479.40131763393</v>
      </c>
      <c r="J644" s="180">
        <f>(J630/J612)*BX79</f>
        <v>0</v>
      </c>
      <c r="K644" s="180">
        <f>SUM(C631:J644)</f>
        <v>2125007.0419141203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1169218</v>
      </c>
      <c r="D645" s="180">
        <f>(D615/D612)*BY76</f>
        <v>-3418.7584803709015</v>
      </c>
      <c r="E645" s="180">
        <f>(E623/E612)*SUM(C645:D645)</f>
        <v>88181.371081489648</v>
      </c>
      <c r="F645" s="180">
        <f>(F624/F612)*BY64</f>
        <v>-0.3359088082661259</v>
      </c>
      <c r="G645" s="180">
        <f>(G625/G612)*BY77</f>
        <v>0</v>
      </c>
      <c r="H645" s="180">
        <f>(H628/H612)*BY60</f>
        <v>0</v>
      </c>
      <c r="I645" s="180">
        <f>(I629/I612)*BY78</f>
        <v>4700.6959760831114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1258680.9726683935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7918017.4500000002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1551679</v>
      </c>
      <c r="D668" s="180">
        <f>(D615/D612)*C76</f>
        <v>-42351.442847136517</v>
      </c>
      <c r="E668" s="180">
        <f>(E623/E612)*SUM(C668:D668)</f>
        <v>114165.9461257884</v>
      </c>
      <c r="F668" s="180">
        <f>(F624/F612)*C64</f>
        <v>3844.0564245954779</v>
      </c>
      <c r="G668" s="180">
        <f>(G625/G612)*C77</f>
        <v>138614.33184384412</v>
      </c>
      <c r="H668" s="180">
        <f>(H628/H612)*C60</f>
        <v>0</v>
      </c>
      <c r="I668" s="180">
        <f>(I629/I612)*C78</f>
        <v>58232.033095022889</v>
      </c>
      <c r="J668" s="180">
        <f>(J630/J612)*C79</f>
        <v>18051.356784457155</v>
      </c>
      <c r="K668" s="180">
        <f>(K644/K612)*C75</f>
        <v>107723.48279637874</v>
      </c>
      <c r="L668" s="180">
        <f>(L647/L612)*C80</f>
        <v>139679.25602784139</v>
      </c>
      <c r="M668" s="180">
        <f t="shared" ref="M668:M713" si="21">ROUND(SUM(D668:L668),0)</f>
        <v>537959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4340989.54</v>
      </c>
      <c r="D670" s="180">
        <f>(D615/D612)*E76</f>
        <v>-67471.885594209671</v>
      </c>
      <c r="E670" s="180">
        <f>(E623/E612)*SUM(C670:D670)</f>
        <v>323250.0354136739</v>
      </c>
      <c r="F670" s="180">
        <f>(F624/F612)*E64</f>
        <v>8953.1241468966618</v>
      </c>
      <c r="G670" s="180">
        <f>(G625/G612)*E77</f>
        <v>373207.00829316606</v>
      </c>
      <c r="H670" s="180">
        <f>(H628/H612)*E60</f>
        <v>0</v>
      </c>
      <c r="I670" s="180">
        <f>(I629/I612)*E78</f>
        <v>92771.929614937922</v>
      </c>
      <c r="J670" s="180">
        <f>(J630/J612)*E79</f>
        <v>54686.545554737386</v>
      </c>
      <c r="K670" s="180">
        <f>(K644/K612)*E75</f>
        <v>184404.0402306816</v>
      </c>
      <c r="L670" s="180">
        <f>(L647/L612)*E80</f>
        <v>350530.65822475124</v>
      </c>
      <c r="M670" s="180">
        <f t="shared" si="21"/>
        <v>1320331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1817347.07</v>
      </c>
      <c r="D671" s="180">
        <f>(D615/D612)*F76</f>
        <v>-41230.913311764118</v>
      </c>
      <c r="E671" s="180">
        <f>(E623/E612)*SUM(C671:D671)</f>
        <v>134345.90821366347</v>
      </c>
      <c r="F671" s="180">
        <f>(F624/F612)*F64</f>
        <v>272.42232342783495</v>
      </c>
      <c r="G671" s="180">
        <f>(G625/G612)*F77</f>
        <v>26150.072172864646</v>
      </c>
      <c r="H671" s="180">
        <f>(H628/H612)*F60</f>
        <v>0</v>
      </c>
      <c r="I671" s="180">
        <f>(I629/I612)*F78</f>
        <v>56691.336755035787</v>
      </c>
      <c r="J671" s="180">
        <f>(J630/J612)*F79</f>
        <v>9339.3465570668213</v>
      </c>
      <c r="K671" s="180">
        <f>(K644/K612)*F75</f>
        <v>10243.593591206145</v>
      </c>
      <c r="L671" s="180">
        <f>(L647/L612)*F80</f>
        <v>164918.71755475772</v>
      </c>
      <c r="M671" s="180">
        <f t="shared" si="21"/>
        <v>360730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9445.4599999999991</v>
      </c>
      <c r="D675" s="180">
        <f>(D615/D612)*J76</f>
        <v>-1863.7379006704246</v>
      </c>
      <c r="E675" s="180">
        <f>(E623/E612)*SUM(C675:D675)</f>
        <v>573.48351763055678</v>
      </c>
      <c r="F675" s="180">
        <f>(F624/F612)*J64</f>
        <v>215.22825034038928</v>
      </c>
      <c r="G675" s="180">
        <f>(G625/G612)*J77</f>
        <v>0</v>
      </c>
      <c r="H675" s="180">
        <f>(H628/H612)*J60</f>
        <v>0</v>
      </c>
      <c r="I675" s="180">
        <f>(I629/I612)*J78</f>
        <v>2562.5867695703919</v>
      </c>
      <c r="J675" s="180">
        <f>(J630/J612)*J79</f>
        <v>0</v>
      </c>
      <c r="K675" s="180">
        <f>(K644/K612)*J75</f>
        <v>5630.6879299076445</v>
      </c>
      <c r="L675" s="180">
        <f>(L647/L612)*J80</f>
        <v>0</v>
      </c>
      <c r="M675" s="180">
        <f t="shared" si="21"/>
        <v>7118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52126</v>
      </c>
      <c r="D680" s="180">
        <f>(D615/D612)*O76</f>
        <v>-11239.597278276242</v>
      </c>
      <c r="E680" s="180">
        <f>(E623/E612)*SUM(C680:D680)</f>
        <v>3092.658600370899</v>
      </c>
      <c r="F680" s="180">
        <f>(F624/F612)*O64</f>
        <v>1169.0466299681846</v>
      </c>
      <c r="G680" s="180">
        <f>(G625/G612)*O77</f>
        <v>0</v>
      </c>
      <c r="H680" s="180">
        <f>(H628/H612)*O60</f>
        <v>0</v>
      </c>
      <c r="I680" s="180">
        <f>(I629/I612)*O78</f>
        <v>15454.127573544143</v>
      </c>
      <c r="J680" s="180">
        <f>(J630/J612)*O79</f>
        <v>0</v>
      </c>
      <c r="K680" s="180">
        <f>(K644/K612)*O75</f>
        <v>7430.6518781366394</v>
      </c>
      <c r="L680" s="180">
        <f>(L647/L612)*O80</f>
        <v>0</v>
      </c>
      <c r="M680" s="180">
        <f t="shared" si="21"/>
        <v>15907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4678963</v>
      </c>
      <c r="D681" s="180">
        <f>(D615/D612)*P76</f>
        <v>-55786.363296754615</v>
      </c>
      <c r="E681" s="180">
        <f>(E623/E612)*SUM(C681:D681)</f>
        <v>349698.33574860659</v>
      </c>
      <c r="F681" s="180">
        <f>(F624/F612)*P64</f>
        <v>77189.46478549717</v>
      </c>
      <c r="G681" s="180">
        <f>(G625/G612)*P77</f>
        <v>0</v>
      </c>
      <c r="H681" s="180">
        <f>(H628/H612)*P60</f>
        <v>0</v>
      </c>
      <c r="I681" s="180">
        <f>(I629/I612)*P78</f>
        <v>76704.667783643818</v>
      </c>
      <c r="J681" s="180">
        <f>(J630/J612)*P79</f>
        <v>28532.616546470053</v>
      </c>
      <c r="K681" s="180">
        <f>(K644/K612)*P75</f>
        <v>234353.77793090374</v>
      </c>
      <c r="L681" s="180">
        <f>(L647/L612)*P80</f>
        <v>89984.167182919147</v>
      </c>
      <c r="M681" s="180">
        <f t="shared" si="21"/>
        <v>800677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960792</v>
      </c>
      <c r="D682" s="180">
        <f>(D615/D612)*Q76</f>
        <v>-8987.1042326806983</v>
      </c>
      <c r="E682" s="180">
        <f>(E623/E612)*SUM(C682:D682)</f>
        <v>71994.780680618045</v>
      </c>
      <c r="F682" s="180">
        <f>(F624/F612)*Q64</f>
        <v>293.3883516197721</v>
      </c>
      <c r="G682" s="180">
        <f>(G625/G612)*Q77</f>
        <v>0</v>
      </c>
      <c r="H682" s="180">
        <f>(H628/H612)*Q60</f>
        <v>0</v>
      </c>
      <c r="I682" s="180">
        <f>(I629/I612)*Q78</f>
        <v>12357.013502345571</v>
      </c>
      <c r="J682" s="180">
        <f>(J630/J612)*Q79</f>
        <v>0</v>
      </c>
      <c r="K682" s="180">
        <f>(K644/K612)*Q75</f>
        <v>18745.946122756333</v>
      </c>
      <c r="L682" s="180">
        <f>(L647/L612)*Q80</f>
        <v>96254.840854202703</v>
      </c>
      <c r="M682" s="180">
        <f t="shared" si="21"/>
        <v>190659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1158813</v>
      </c>
      <c r="D683" s="180">
        <f>(D615/D612)*R76</f>
        <v>-1852.3039258196859</v>
      </c>
      <c r="E683" s="180">
        <f>(E623/E612)*SUM(C683:D683)</f>
        <v>87512.821104797462</v>
      </c>
      <c r="F683" s="180">
        <f>(F624/F612)*R64</f>
        <v>1629.40965169691</v>
      </c>
      <c r="G683" s="180">
        <f>(G625/G612)*R77</f>
        <v>0</v>
      </c>
      <c r="H683" s="180">
        <f>(H628/H612)*R60</f>
        <v>0</v>
      </c>
      <c r="I683" s="180">
        <f>(I629/I612)*R78</f>
        <v>2546.8653783460331</v>
      </c>
      <c r="J683" s="180">
        <f>(J630/J612)*R79</f>
        <v>0</v>
      </c>
      <c r="K683" s="180">
        <f>(K644/K612)*R75</f>
        <v>23506.489740169895</v>
      </c>
      <c r="L683" s="180">
        <f>(L647/L612)*R80</f>
        <v>0</v>
      </c>
      <c r="M683" s="180">
        <f t="shared" si="21"/>
        <v>113343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411091</v>
      </c>
      <c r="D684" s="180">
        <f>(D615/D612)*S76</f>
        <v>-17002.320603048596</v>
      </c>
      <c r="E684" s="180">
        <f>(E623/E612)*SUM(C684:D684)</f>
        <v>29808.974683855682</v>
      </c>
      <c r="F684" s="180">
        <f>(F624/F612)*S64</f>
        <v>4301.8721378615191</v>
      </c>
      <c r="G684" s="180">
        <f>(G625/G612)*S77</f>
        <v>0</v>
      </c>
      <c r="H684" s="180">
        <f>(H628/H612)*S60</f>
        <v>0</v>
      </c>
      <c r="I684" s="180">
        <f>(I629/I612)*S78</f>
        <v>23377.708750620688</v>
      </c>
      <c r="J684" s="180">
        <f>(J630/J612)*S79</f>
        <v>1910.6463107836014</v>
      </c>
      <c r="K684" s="180">
        <f>(K644/K612)*S75</f>
        <v>79417.198547874868</v>
      </c>
      <c r="L684" s="180">
        <f>(L647/L612)*S80</f>
        <v>0</v>
      </c>
      <c r="M684" s="180">
        <f t="shared" si="21"/>
        <v>121814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61356</v>
      </c>
      <c r="D685" s="180">
        <f>(D615/D612)*T76</f>
        <v>-2824.1917881324839</v>
      </c>
      <c r="E685" s="180">
        <f>(E623/E612)*SUM(C685:D685)</f>
        <v>4427.3618614413617</v>
      </c>
      <c r="F685" s="180">
        <f>(F624/F612)*T64</f>
        <v>1464.3944496361758</v>
      </c>
      <c r="G685" s="180">
        <f>(G625/G612)*T77</f>
        <v>0</v>
      </c>
      <c r="H685" s="180">
        <f>(H628/H612)*T60</f>
        <v>0</v>
      </c>
      <c r="I685" s="180">
        <f>(I629/I612)*T78</f>
        <v>3883.1836324164838</v>
      </c>
      <c r="J685" s="180">
        <f>(J630/J612)*T79</f>
        <v>0</v>
      </c>
      <c r="K685" s="180">
        <f>(K644/K612)*T75</f>
        <v>11833.852590802348</v>
      </c>
      <c r="L685" s="180">
        <f>(L647/L612)*T80</f>
        <v>313.5336835641782</v>
      </c>
      <c r="M685" s="180">
        <f t="shared" si="21"/>
        <v>19098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2598271</v>
      </c>
      <c r="D686" s="180">
        <f>(D615/D612)*U76</f>
        <v>-21724.552216403721</v>
      </c>
      <c r="E686" s="180">
        <f>(E623/E612)*SUM(C686:D686)</f>
        <v>194890.6727066813</v>
      </c>
      <c r="F686" s="180">
        <f>(F624/F612)*U64</f>
        <v>29525.264550564909</v>
      </c>
      <c r="G686" s="180">
        <f>(G625/G612)*U77</f>
        <v>0</v>
      </c>
      <c r="H686" s="180">
        <f>(H628/H612)*U60</f>
        <v>0</v>
      </c>
      <c r="I686" s="180">
        <f>(I629/I612)*U78</f>
        <v>29870.643326280642</v>
      </c>
      <c r="J686" s="180">
        <f>(J630/J612)*U79</f>
        <v>213.88499685118538</v>
      </c>
      <c r="K686" s="180">
        <f>(K644/K612)*U75</f>
        <v>255572.11745995711</v>
      </c>
      <c r="L686" s="180">
        <f>(L647/L612)*U80</f>
        <v>0</v>
      </c>
      <c r="M686" s="180">
        <f t="shared" si="21"/>
        <v>488348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6562</v>
      </c>
      <c r="D687" s="180">
        <f>(D615/D612)*V76</f>
        <v>-983.32183716353688</v>
      </c>
      <c r="E687" s="180">
        <f>(E623/E612)*SUM(C687:D687)</f>
        <v>421.97273055354123</v>
      </c>
      <c r="F687" s="180">
        <f>(F624/F612)*V64</f>
        <v>160.67637995396353</v>
      </c>
      <c r="G687" s="180">
        <f>(G625/G612)*V77</f>
        <v>0</v>
      </c>
      <c r="H687" s="180">
        <f>(H628/H612)*V60</f>
        <v>0</v>
      </c>
      <c r="I687" s="180">
        <f>(I629/I612)*V78</f>
        <v>1352.039645294808</v>
      </c>
      <c r="J687" s="180">
        <f>(J630/J612)*V79</f>
        <v>0</v>
      </c>
      <c r="K687" s="180">
        <f>(K644/K612)*V75</f>
        <v>3743.1317400641142</v>
      </c>
      <c r="L687" s="180">
        <f>(L647/L612)*V80</f>
        <v>0</v>
      </c>
      <c r="M687" s="180">
        <f t="shared" si="21"/>
        <v>4694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139924</v>
      </c>
      <c r="D688" s="180">
        <f>(D615/D612)*W76</f>
        <v>0</v>
      </c>
      <c r="E688" s="180">
        <f>(E623/E612)*SUM(C688:D688)</f>
        <v>10583.889341978618</v>
      </c>
      <c r="F688" s="180">
        <f>(F624/F612)*W64</f>
        <v>192.61570913993435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2034.1447608483027</v>
      </c>
      <c r="K688" s="180">
        <f>(K644/K612)*W75</f>
        <v>39971.577068322011</v>
      </c>
      <c r="L688" s="180">
        <f>(L647/L612)*W80</f>
        <v>0</v>
      </c>
      <c r="M688" s="180">
        <f t="shared" si="21"/>
        <v>52782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458012</v>
      </c>
      <c r="D689" s="180">
        <f>(D615/D612)*X76</f>
        <v>-5511.1758780561022</v>
      </c>
      <c r="E689" s="180">
        <f>(E623/E612)*SUM(C689:D689)</f>
        <v>34227.285166667498</v>
      </c>
      <c r="F689" s="180">
        <f>(F624/F612)*X64</f>
        <v>3779.0300777952939</v>
      </c>
      <c r="G689" s="180">
        <f>(G625/G612)*X77</f>
        <v>0</v>
      </c>
      <c r="H689" s="180">
        <f>(H628/H612)*X60</f>
        <v>0</v>
      </c>
      <c r="I689" s="180">
        <f>(I629/I612)*X78</f>
        <v>7577.710570140669</v>
      </c>
      <c r="J689" s="180">
        <f>(J630/J612)*X79</f>
        <v>0</v>
      </c>
      <c r="K689" s="180">
        <f>(K644/K612)*X75</f>
        <v>232120.95359137846</v>
      </c>
      <c r="L689" s="180">
        <f>(L647/L612)*X80</f>
        <v>0</v>
      </c>
      <c r="M689" s="180">
        <f t="shared" si="21"/>
        <v>272194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2103298</v>
      </c>
      <c r="D690" s="180">
        <f>(D615/D612)*Y76</f>
        <v>-45335.710283179345</v>
      </c>
      <c r="E690" s="180">
        <f>(E623/E612)*SUM(C690:D690)</f>
        <v>155664.82622229046</v>
      </c>
      <c r="F690" s="180">
        <f>(F624/F612)*Y64</f>
        <v>1820.149869990692</v>
      </c>
      <c r="G690" s="180">
        <f>(G625/G612)*Y77</f>
        <v>0</v>
      </c>
      <c r="H690" s="180">
        <f>(H628/H612)*Y60</f>
        <v>0</v>
      </c>
      <c r="I690" s="180">
        <f>(I629/I612)*Y78</f>
        <v>62335.316204580391</v>
      </c>
      <c r="J690" s="180">
        <f>(J630/J612)*Y79</f>
        <v>22076.690323522558</v>
      </c>
      <c r="K690" s="180">
        <f>(K644/K612)*Y75</f>
        <v>135010.53495905694</v>
      </c>
      <c r="L690" s="180">
        <f>(L647/L612)*Y80</f>
        <v>0</v>
      </c>
      <c r="M690" s="180">
        <f t="shared" si="21"/>
        <v>331572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266926</v>
      </c>
      <c r="D692" s="180">
        <f>(D615/D612)*AA76</f>
        <v>-6391.5919415629896</v>
      </c>
      <c r="E692" s="180">
        <f>(E623/E612)*SUM(C692:D692)</f>
        <v>19706.893346876874</v>
      </c>
      <c r="F692" s="180">
        <f>(F624/F612)*AA64</f>
        <v>3076.0289268956699</v>
      </c>
      <c r="G692" s="180">
        <f>(G625/G612)*AA77</f>
        <v>0</v>
      </c>
      <c r="H692" s="180">
        <f>(H628/H612)*AA60</f>
        <v>0</v>
      </c>
      <c r="I692" s="180">
        <f>(I629/I612)*AA78</f>
        <v>8788.257694416252</v>
      </c>
      <c r="J692" s="180">
        <f>(J630/J612)*AA79</f>
        <v>0</v>
      </c>
      <c r="K692" s="180">
        <f>(K644/K612)*AA75</f>
        <v>12931.872188869194</v>
      </c>
      <c r="L692" s="180">
        <f>(L647/L612)*AA80</f>
        <v>0</v>
      </c>
      <c r="M692" s="180">
        <f t="shared" si="21"/>
        <v>38111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2111193</v>
      </c>
      <c r="D693" s="180">
        <f>(D615/D612)*AB76</f>
        <v>-10988.049831559989</v>
      </c>
      <c r="E693" s="180">
        <f>(E623/E612)*SUM(C693:D693)</f>
        <v>158860.07252550306</v>
      </c>
      <c r="F693" s="180">
        <f>(F624/F612)*AB64</f>
        <v>27953.547236687707</v>
      </c>
      <c r="G693" s="180">
        <f>(G625/G612)*AB77</f>
        <v>0</v>
      </c>
      <c r="H693" s="180">
        <f>(H628/H612)*AB60</f>
        <v>0</v>
      </c>
      <c r="I693" s="180">
        <f>(I629/I612)*AB78</f>
        <v>15108.256966608262</v>
      </c>
      <c r="J693" s="180">
        <f>(J630/J612)*AB79</f>
        <v>142.29169246585136</v>
      </c>
      <c r="K693" s="180">
        <f>(K644/K612)*AB75</f>
        <v>69940.769916359728</v>
      </c>
      <c r="L693" s="180">
        <f>(L647/L612)*AB80</f>
        <v>0</v>
      </c>
      <c r="M693" s="180">
        <f t="shared" si="21"/>
        <v>261017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769688</v>
      </c>
      <c r="D694" s="180">
        <f>(D615/D612)*AC76</f>
        <v>-10484.954938127481</v>
      </c>
      <c r="E694" s="180">
        <f>(E623/E612)*SUM(C694:D694)</f>
        <v>57426.324412024136</v>
      </c>
      <c r="F694" s="180">
        <f>(F624/F612)*AC64</f>
        <v>2543.1096025814613</v>
      </c>
      <c r="G694" s="180">
        <f>(G625/G612)*AC77</f>
        <v>0</v>
      </c>
      <c r="H694" s="180">
        <f>(H628/H612)*AC60</f>
        <v>0</v>
      </c>
      <c r="I694" s="180">
        <f>(I629/I612)*AC78</f>
        <v>14416.515752736499</v>
      </c>
      <c r="J694" s="180">
        <f>(J630/J612)*AC79</f>
        <v>873.43831350107496</v>
      </c>
      <c r="K694" s="180">
        <f>(K644/K612)*AC75</f>
        <v>48648.055822359282</v>
      </c>
      <c r="L694" s="180">
        <f>(L647/L612)*AC80</f>
        <v>0</v>
      </c>
      <c r="M694" s="180">
        <f t="shared" si="21"/>
        <v>113422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151734.51999999999</v>
      </c>
      <c r="D696" s="180">
        <f>(D615/D612)*AE76</f>
        <v>-20878.438077449053</v>
      </c>
      <c r="E696" s="180">
        <f>(E623/E612)*SUM(C696:D696)</f>
        <v>9897.989557139359</v>
      </c>
      <c r="F696" s="180">
        <f>(F624/F612)*AE64</f>
        <v>48.118936784122532</v>
      </c>
      <c r="G696" s="180">
        <f>(G625/G612)*AE77</f>
        <v>0</v>
      </c>
      <c r="H696" s="180">
        <f>(H628/H612)*AE60</f>
        <v>0</v>
      </c>
      <c r="I696" s="180">
        <f>(I629/I612)*AE78</f>
        <v>28707.260375678128</v>
      </c>
      <c r="J696" s="180">
        <f>(J630/J612)*AE79</f>
        <v>173.61376313443498</v>
      </c>
      <c r="K696" s="180">
        <f>(K644/K612)*AE75</f>
        <v>5485.4945561065788</v>
      </c>
      <c r="L696" s="180">
        <f>(L647/L612)*AE80</f>
        <v>0</v>
      </c>
      <c r="M696" s="180">
        <f t="shared" si="21"/>
        <v>23434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4431215</v>
      </c>
      <c r="D698" s="180">
        <f>(D615/D612)*AG76</f>
        <v>-103134.45315366398</v>
      </c>
      <c r="E698" s="180">
        <f>(E623/E612)*SUM(C698:D698)</f>
        <v>327377.18740882137</v>
      </c>
      <c r="F698" s="180">
        <f>(F624/F612)*AG64</f>
        <v>10316.459311869947</v>
      </c>
      <c r="G698" s="180">
        <f>(G625/G612)*AG77</f>
        <v>570611.62920680188</v>
      </c>
      <c r="H698" s="180">
        <f>(H628/H612)*AG60</f>
        <v>0</v>
      </c>
      <c r="I698" s="180">
        <f>(I629/I612)*AG78</f>
        <v>141806.94884371126</v>
      </c>
      <c r="J698" s="180">
        <f>(J630/J612)*AG79</f>
        <v>70114.007733472055</v>
      </c>
      <c r="K698" s="180">
        <f>(K644/K612)*AG75</f>
        <v>467826.62787235255</v>
      </c>
      <c r="L698" s="180">
        <f>(L647/L612)*AG80</f>
        <v>350687.42506653332</v>
      </c>
      <c r="M698" s="180">
        <f t="shared" si="21"/>
        <v>1835606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1186900</v>
      </c>
      <c r="D701" s="180">
        <f>(D615/D612)*AJ76</f>
        <v>-2469.7385677595812</v>
      </c>
      <c r="E701" s="180">
        <f>(E623/E612)*SUM(C701:D701)</f>
        <v>89590.626485017856</v>
      </c>
      <c r="F701" s="180">
        <f>(F624/F612)*AJ64</f>
        <v>12204.82666233935</v>
      </c>
      <c r="G701" s="180">
        <f>(G625/G612)*AJ77</f>
        <v>0</v>
      </c>
      <c r="H701" s="180">
        <f>(H628/H612)*AJ60</f>
        <v>0</v>
      </c>
      <c r="I701" s="180">
        <f>(I629/I612)*AJ78</f>
        <v>3395.8205044613783</v>
      </c>
      <c r="J701" s="180">
        <f>(J630/J612)*AJ79</f>
        <v>0</v>
      </c>
      <c r="K701" s="180">
        <f>(K644/K612)*AJ75</f>
        <v>68710.086751676979</v>
      </c>
      <c r="L701" s="180">
        <f>(L647/L612)*AJ80</f>
        <v>0</v>
      </c>
      <c r="M701" s="180">
        <f t="shared" si="21"/>
        <v>171432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12568</v>
      </c>
      <c r="D703" s="180">
        <f>(D615/D612)*AL76</f>
        <v>0</v>
      </c>
      <c r="E703" s="180">
        <f>(E623/E612)*SUM(C703:D703)</f>
        <v>950.64693154846395</v>
      </c>
      <c r="F703" s="180">
        <f>(F624/F612)*AL64</f>
        <v>1.5955668392640978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952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315480</v>
      </c>
      <c r="D706" s="180">
        <f>(D615/D612)*AO76</f>
        <v>-22559.232380507656</v>
      </c>
      <c r="E706" s="180">
        <f>(E623/E612)*SUM(C706:D706)</f>
        <v>22156.606375261861</v>
      </c>
      <c r="F706" s="180">
        <f>(F624/F612)*AO64</f>
        <v>1187.5216144228216</v>
      </c>
      <c r="G706" s="180">
        <f>(G625/G612)*AO77</f>
        <v>0</v>
      </c>
      <c r="H706" s="180">
        <f>(H628/H612)*AO60</f>
        <v>0</v>
      </c>
      <c r="I706" s="180">
        <f>(I629/I612)*AO78</f>
        <v>31018.304885658796</v>
      </c>
      <c r="J706" s="180">
        <f>(J630/J612)*AO79</f>
        <v>12846.523555643373</v>
      </c>
      <c r="K706" s="180">
        <f>(K644/K612)*AO75</f>
        <v>0</v>
      </c>
      <c r="L706" s="180">
        <f>(L647/L612)*AO80</f>
        <v>18812.021013850692</v>
      </c>
      <c r="M706" s="180">
        <f t="shared" si="21"/>
        <v>63462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8079207</v>
      </c>
      <c r="D707" s="180">
        <f>(D615/D612)*AP76</f>
        <v>0</v>
      </c>
      <c r="E707" s="180">
        <f>(E623/E612)*SUM(C707:D707)</f>
        <v>611113.41055815329</v>
      </c>
      <c r="F707" s="180">
        <f>(F624/F612)*AP64</f>
        <v>12002.889483770032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587.06509595973887</v>
      </c>
      <c r="K707" s="180">
        <f>(K644/K612)*AP75</f>
        <v>101756.09862879947</v>
      </c>
      <c r="L707" s="180">
        <f>(L647/L612)*AP80</f>
        <v>47500.353059972993</v>
      </c>
      <c r="M707" s="180">
        <f t="shared" si="21"/>
        <v>772960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908</v>
      </c>
      <c r="D713" s="180">
        <f>(D615/D612)*AV76</f>
        <v>-1086.2276108201861</v>
      </c>
      <c r="E713" s="180">
        <f>(E623/E612)*SUM(C713:D713)</f>
        <v>-13.481184861825566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1493.5321663140321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1"/>
        <v>394</v>
      </c>
      <c r="N713" s="199" t="s">
        <v>741</v>
      </c>
    </row>
    <row r="715" spans="1:15" ht="12.6" customHeight="1" x14ac:dyDescent="0.25">
      <c r="C715" s="180">
        <f>SUM(C614:C647)+SUM(C668:C713)</f>
        <v>45592506.040000007</v>
      </c>
      <c r="D715" s="180">
        <f>SUM(D616:D647)+SUM(D668:D713)</f>
        <v>-685604</v>
      </c>
      <c r="E715" s="180">
        <f>SUM(E624:E647)+SUM(E668:E713)</f>
        <v>3206117.9042543611</v>
      </c>
      <c r="F715" s="180">
        <f>SUM(F625:F648)+SUM(F668:F713)</f>
        <v>213367.73710814933</v>
      </c>
      <c r="G715" s="180">
        <f>SUM(G626:G647)+SUM(G668:G713)</f>
        <v>1108583.0415166768</v>
      </c>
      <c r="H715" s="180">
        <f>SUM(H629:H647)+SUM(H668:H713)</f>
        <v>0</v>
      </c>
      <c r="I715" s="180">
        <f>SUM(I630:I647)+SUM(I668:I713)</f>
        <v>766182.00131909864</v>
      </c>
      <c r="J715" s="180">
        <f>SUM(J631:J647)+SUM(J668:J713)</f>
        <v>221582.17198891356</v>
      </c>
      <c r="K715" s="180">
        <f>SUM(K668:K713)</f>
        <v>2125007.0419141203</v>
      </c>
      <c r="L715" s="180">
        <f>SUM(L668:L713)</f>
        <v>1258680.9726683933</v>
      </c>
      <c r="M715" s="180">
        <f>SUM(M668:M713)</f>
        <v>7918016</v>
      </c>
      <c r="N715" s="198" t="s">
        <v>742</v>
      </c>
    </row>
    <row r="716" spans="1:15" ht="12.6" customHeight="1" x14ac:dyDescent="0.25">
      <c r="C716" s="180">
        <f>CE71</f>
        <v>45592506.039999999</v>
      </c>
      <c r="D716" s="180">
        <f>D615</f>
        <v>-685604</v>
      </c>
      <c r="E716" s="180">
        <f>E623</f>
        <v>3206117.9042543611</v>
      </c>
      <c r="F716" s="180">
        <f>F624</f>
        <v>213367.73710814933</v>
      </c>
      <c r="G716" s="180">
        <f>G625</f>
        <v>1108583.0415166768</v>
      </c>
      <c r="H716" s="180">
        <f>H628</f>
        <v>0</v>
      </c>
      <c r="I716" s="180">
        <f>I629</f>
        <v>766182.0013190984</v>
      </c>
      <c r="J716" s="180">
        <f>J630</f>
        <v>221582.17198891359</v>
      </c>
      <c r="K716" s="180">
        <f>K644</f>
        <v>2125007.0419141203</v>
      </c>
      <c r="L716" s="180">
        <f>L647</f>
        <v>1258680.9726683935</v>
      </c>
      <c r="M716" s="180">
        <f>C648</f>
        <v>7918017.4500000002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 transitionEntry="1" codeName="Sheet10">
    <pageSetUpPr autoPageBreaks="0" fitToPage="1"/>
  </sheetPr>
  <dimension ref="A1:CF817"/>
  <sheetViews>
    <sheetView showGridLines="0" topLeftCell="A46" zoomScale="75" workbookViewId="0">
      <selection activeCell="A71" sqref="A7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4589658</v>
      </c>
      <c r="C48" s="245">
        <f>ROUND(((B48/CE61)*C61),0)</f>
        <v>211062</v>
      </c>
      <c r="D48" s="245">
        <f>ROUND(((B48/CE61)*D61),0)</f>
        <v>0</v>
      </c>
      <c r="E48" s="195">
        <f>ROUND(((B48/CE61)*E61),0)</f>
        <v>576556</v>
      </c>
      <c r="F48" s="195">
        <f>ROUND(((B48/CE61)*F61),0)</f>
        <v>293815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252330</v>
      </c>
      <c r="Q48" s="195">
        <f>ROUND(((B48/CE61)*Q61),0)</f>
        <v>136152</v>
      </c>
      <c r="R48" s="195">
        <f>ROUND(((B48/CE61)*R61),0)</f>
        <v>12917</v>
      </c>
      <c r="S48" s="195">
        <f>ROUND(((B48/CE61)*S61),0)</f>
        <v>21394</v>
      </c>
      <c r="T48" s="195">
        <f>ROUND(((B48/CE61)*T61),0)</f>
        <v>3832</v>
      </c>
      <c r="U48" s="195">
        <f>ROUND(((B48/CE61)*U61),0)</f>
        <v>173904</v>
      </c>
      <c r="V48" s="195">
        <f>ROUND(((B48/CE61)*V61),0)</f>
        <v>0</v>
      </c>
      <c r="W48" s="195">
        <f>ROUND(((B48/CE61)*W61),0)</f>
        <v>66</v>
      </c>
      <c r="X48" s="195">
        <f>ROUND(((B48/CE61)*X61),0)</f>
        <v>22584</v>
      </c>
      <c r="Y48" s="195">
        <f>ROUND(((B48/CE61)*Y61),0)</f>
        <v>288755</v>
      </c>
      <c r="Z48" s="195">
        <f>ROUND(((B48/CE61)*Z61),0)</f>
        <v>0</v>
      </c>
      <c r="AA48" s="195">
        <f>ROUND(((B48/CE61)*AA61),0)</f>
        <v>22330</v>
      </c>
      <c r="AB48" s="195">
        <f>ROUND(((B48/CE61)*AB61),0)</f>
        <v>144651</v>
      </c>
      <c r="AC48" s="195">
        <f>ROUND(((B48/CE61)*AC61),0)</f>
        <v>104930</v>
      </c>
      <c r="AD48" s="195">
        <f>ROUND(((B48/CE61)*AD61),0)</f>
        <v>0</v>
      </c>
      <c r="AE48" s="195">
        <f>ROUND(((B48/CE61)*AE61),0)</f>
        <v>17812</v>
      </c>
      <c r="AF48" s="195">
        <f>ROUND(((B48/CE61)*AF61),0)</f>
        <v>0</v>
      </c>
      <c r="AG48" s="195">
        <f>ROUND(((B48/CE61)*AG61),0)</f>
        <v>558724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3410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58638</v>
      </c>
      <c r="AP48" s="195">
        <f>ROUND(((B48/CE61)*AP61),0)</f>
        <v>800168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116427</v>
      </c>
      <c r="AZ48" s="195">
        <f>ROUND(((B48/CE61)*AZ61),0)</f>
        <v>0</v>
      </c>
      <c r="BA48" s="195">
        <f>ROUND(((B48/CE61)*BA61),0)</f>
        <v>7386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36703</v>
      </c>
      <c r="BE48" s="195">
        <f>ROUND(((B48/CE61)*BE61),0)</f>
        <v>59639</v>
      </c>
      <c r="BF48" s="195">
        <f>ROUND(((B48/CE61)*BF61),0)</f>
        <v>85388</v>
      </c>
      <c r="BG48" s="195">
        <f>ROUND(((B48/CE61)*BG61),0)</f>
        <v>15030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87469</v>
      </c>
      <c r="BM48" s="195">
        <f>ROUND(((B48/CE61)*BM61),0)</f>
        <v>0</v>
      </c>
      <c r="BN48" s="195">
        <f>ROUND(((B48/CE61)*BN61),0)</f>
        <v>60664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90237</v>
      </c>
      <c r="BW48" s="195">
        <f>ROUND(((B48/CE61)*BW61),0)</f>
        <v>23243</v>
      </c>
      <c r="BX48" s="195">
        <f>ROUND(((B48/CE61)*BX61),0)</f>
        <v>33533</v>
      </c>
      <c r="BY48" s="195">
        <f>ROUND(((B48/CE61)*BY61),0)</f>
        <v>200990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68921</v>
      </c>
      <c r="CD48" s="195"/>
      <c r="CE48" s="195">
        <f>SUM(C48:CD48)</f>
        <v>4589660</v>
      </c>
    </row>
    <row r="49" spans="1:84" ht="12.6" customHeight="1" x14ac:dyDescent="0.25">
      <c r="A49" s="175" t="s">
        <v>206</v>
      </c>
      <c r="B49" s="195">
        <f>B47+B48</f>
        <v>4589658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542805</v>
      </c>
      <c r="C52" s="195">
        <f>ROUND((B52/(CE76+CF76)*C76),0)</f>
        <v>22497</v>
      </c>
      <c r="D52" s="195">
        <f>ROUND((B52/(CE76+CF76)*D76),0)</f>
        <v>0</v>
      </c>
      <c r="E52" s="195">
        <f>ROUND((B52/(CE76+CF76)*E76),0)</f>
        <v>35842</v>
      </c>
      <c r="F52" s="195">
        <f>ROUND((B52/(CE76+CF76)*F76),0)</f>
        <v>21902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990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5971</v>
      </c>
      <c r="P52" s="195">
        <f>ROUND((B52/(CE76+CF76)*P76),0)</f>
        <v>29634</v>
      </c>
      <c r="Q52" s="195">
        <f>ROUND((B52/(CE76+CF76)*Q76),0)</f>
        <v>4774</v>
      </c>
      <c r="R52" s="195">
        <f>ROUND((B52/(CE76+CF76)*R76),0)</f>
        <v>984</v>
      </c>
      <c r="S52" s="195">
        <f>ROUND((B52/(CE76+CF76)*S76),0)</f>
        <v>9032</v>
      </c>
      <c r="T52" s="195">
        <f>ROUND((B52/(CE76+CF76)*T76),0)</f>
        <v>1500</v>
      </c>
      <c r="U52" s="195">
        <f>ROUND((B52/(CE76+CF76)*U76),0)</f>
        <v>11540</v>
      </c>
      <c r="V52" s="195">
        <f>ROUND((B52/(CE76+CF76)*V76),0)</f>
        <v>522</v>
      </c>
      <c r="W52" s="195">
        <f>ROUND((B52/(CE76+CF76)*W76),0)</f>
        <v>0</v>
      </c>
      <c r="X52" s="195">
        <f>ROUND((B52/(CE76+CF76)*X76),0)</f>
        <v>2928</v>
      </c>
      <c r="Y52" s="195">
        <f>ROUND((B52/(CE76+CF76)*Y76),0)</f>
        <v>24083</v>
      </c>
      <c r="Z52" s="195">
        <f>ROUND((B52/(CE76+CF76)*Z76),0)</f>
        <v>0</v>
      </c>
      <c r="AA52" s="195">
        <f>ROUND((B52/(CE76+CF76)*AA76),0)</f>
        <v>3395</v>
      </c>
      <c r="AB52" s="195">
        <f>ROUND((B52/(CE76+CF76)*AB76),0)</f>
        <v>5837</v>
      </c>
      <c r="AC52" s="195">
        <f>ROUND((B52/(CE76+CF76)*AC76),0)</f>
        <v>5570</v>
      </c>
      <c r="AD52" s="195">
        <f>ROUND((B52/(CE76+CF76)*AD76),0)</f>
        <v>0</v>
      </c>
      <c r="AE52" s="195">
        <f>ROUND((B52/(CE76+CF76)*AE76),0)</f>
        <v>11091</v>
      </c>
      <c r="AF52" s="195">
        <f>ROUND((B52/(CE76+CF76)*AF76),0)</f>
        <v>0</v>
      </c>
      <c r="AG52" s="195">
        <f>ROUND((B52/(CE76+CF76)*AG76),0)</f>
        <v>54786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1312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11984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577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29391</v>
      </c>
      <c r="AZ52" s="195">
        <f>ROUND((B52/(CE76+CF76)*AZ76),0)</f>
        <v>0</v>
      </c>
      <c r="BA52" s="195">
        <f>ROUND((B52/(CE76+CF76)*BA76),0)</f>
        <v>2253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9748</v>
      </c>
      <c r="BE52" s="195">
        <f>ROUND((B52/(CE76+CF76)*BE76),0)</f>
        <v>178607</v>
      </c>
      <c r="BF52" s="195">
        <f>ROUND((B52/(CE76+CF76)*BF76),0)</f>
        <v>2423</v>
      </c>
      <c r="BG52" s="195">
        <f>ROUND((B52/(CE76+CF76)*BG76),0)</f>
        <v>1014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5023</v>
      </c>
      <c r="BM52" s="195">
        <f>ROUND((B52/(CE76+CF76)*BM76),0)</f>
        <v>0</v>
      </c>
      <c r="BN52" s="195">
        <f>ROUND((B52/(CE76+CF76)*BN76),0)</f>
        <v>21337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11243</v>
      </c>
      <c r="BW52" s="195">
        <f>ROUND((B52/(CE76+CF76)*BW76),0)</f>
        <v>3328</v>
      </c>
      <c r="BX52" s="195">
        <f>ROUND((B52/(CE76+CF76)*BX76),0)</f>
        <v>5594</v>
      </c>
      <c r="BY52" s="195">
        <f>ROUND((B52/(CE76+CF76)*BY76),0)</f>
        <v>1816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4276</v>
      </c>
      <c r="CD52" s="195"/>
      <c r="CE52" s="195">
        <f>SUM(C52:CD52)</f>
        <v>542804</v>
      </c>
    </row>
    <row r="53" spans="1:84" ht="12.6" customHeight="1" x14ac:dyDescent="0.25">
      <c r="A53" s="175" t="s">
        <v>206</v>
      </c>
      <c r="B53" s="195">
        <f>B51+B52</f>
        <v>542805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1656</v>
      </c>
      <c r="D59" s="184"/>
      <c r="E59" s="184">
        <v>3711</v>
      </c>
      <c r="F59" s="184">
        <v>290</v>
      </c>
      <c r="G59" s="184"/>
      <c r="H59" s="184"/>
      <c r="I59" s="184"/>
      <c r="J59" s="184">
        <v>258</v>
      </c>
      <c r="K59" s="184"/>
      <c r="L59" s="184"/>
      <c r="M59" s="184"/>
      <c r="N59" s="184"/>
      <c r="O59" s="184">
        <v>135</v>
      </c>
      <c r="P59" s="185">
        <v>125991</v>
      </c>
      <c r="Q59" s="185">
        <v>69922</v>
      </c>
      <c r="R59" s="185">
        <v>126995</v>
      </c>
      <c r="S59" s="248"/>
      <c r="T59" s="248"/>
      <c r="U59" s="224">
        <v>111782</v>
      </c>
      <c r="V59" s="185"/>
      <c r="W59" s="185">
        <v>8593</v>
      </c>
      <c r="X59" s="185">
        <v>37259</v>
      </c>
      <c r="Y59" s="185">
        <f>11933+20967+4173</f>
        <v>37073</v>
      </c>
      <c r="Z59" s="185"/>
      <c r="AA59" s="185">
        <v>3048</v>
      </c>
      <c r="AB59" s="248"/>
      <c r="AC59" s="185">
        <v>9976</v>
      </c>
      <c r="AD59" s="185"/>
      <c r="AE59" s="185">
        <v>1055</v>
      </c>
      <c r="AF59" s="185"/>
      <c r="AG59" s="185">
        <v>17270</v>
      </c>
      <c r="AH59" s="185"/>
      <c r="AI59" s="185"/>
      <c r="AJ59" s="185"/>
      <c r="AK59" s="185"/>
      <c r="AL59" s="185"/>
      <c r="AM59" s="185"/>
      <c r="AN59" s="185"/>
      <c r="AO59" s="185">
        <v>1328.5</v>
      </c>
      <c r="AP59" s="185">
        <v>20568</v>
      </c>
      <c r="AQ59" s="185"/>
      <c r="AR59" s="185"/>
      <c r="AS59" s="185"/>
      <c r="AT59" s="185"/>
      <c r="AU59" s="185"/>
      <c r="AV59" s="248"/>
      <c r="AW59" s="248"/>
      <c r="AX59" s="248"/>
      <c r="AY59" s="185">
        <v>112604</v>
      </c>
      <c r="AZ59" s="185"/>
      <c r="BA59" s="248"/>
      <c r="BB59" s="248"/>
      <c r="BC59" s="248"/>
      <c r="BD59" s="248"/>
      <c r="BE59" s="185">
        <v>89368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12.86</v>
      </c>
      <c r="D60" s="187"/>
      <c r="E60" s="187">
        <v>46.51</v>
      </c>
      <c r="F60" s="223">
        <v>13.02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12.85</v>
      </c>
      <c r="Q60" s="221">
        <v>4.5999999999999996</v>
      </c>
      <c r="R60" s="221">
        <v>1.02</v>
      </c>
      <c r="S60" s="221">
        <v>3.87</v>
      </c>
      <c r="T60" s="221">
        <v>0.04</v>
      </c>
      <c r="U60" s="221">
        <v>13.11</v>
      </c>
      <c r="V60" s="221"/>
      <c r="W60" s="221"/>
      <c r="X60" s="221">
        <v>1</v>
      </c>
      <c r="Y60" s="221">
        <v>15.49</v>
      </c>
      <c r="Z60" s="221"/>
      <c r="AA60" s="221">
        <v>1.01</v>
      </c>
      <c r="AB60" s="221">
        <v>5.68</v>
      </c>
      <c r="AC60" s="221">
        <v>5.81</v>
      </c>
      <c r="AD60" s="221"/>
      <c r="AE60" s="221">
        <v>0.91</v>
      </c>
      <c r="AF60" s="221"/>
      <c r="AG60" s="221">
        <v>30.74</v>
      </c>
      <c r="AH60" s="221"/>
      <c r="AI60" s="221"/>
      <c r="AJ60" s="221">
        <v>0.19</v>
      </c>
      <c r="AK60" s="221"/>
      <c r="AL60" s="221"/>
      <c r="AM60" s="221"/>
      <c r="AN60" s="221"/>
      <c r="AO60" s="221">
        <v>3.16</v>
      </c>
      <c r="AP60" s="221">
        <v>24.740000000000002</v>
      </c>
      <c r="AQ60" s="221"/>
      <c r="AR60" s="221"/>
      <c r="AS60" s="221"/>
      <c r="AT60" s="221"/>
      <c r="AU60" s="221"/>
      <c r="AV60" s="267"/>
      <c r="AW60" s="221"/>
      <c r="AX60" s="221"/>
      <c r="AY60" s="221">
        <v>12.95</v>
      </c>
      <c r="AZ60" s="221"/>
      <c r="BA60" s="221">
        <v>1.05</v>
      </c>
      <c r="BB60" s="221"/>
      <c r="BC60" s="221"/>
      <c r="BD60" s="221">
        <v>4.04</v>
      </c>
      <c r="BE60" s="221">
        <v>4.01</v>
      </c>
      <c r="BF60" s="221">
        <v>9.48</v>
      </c>
      <c r="BG60" s="221"/>
      <c r="BH60" s="221"/>
      <c r="BI60" s="221"/>
      <c r="BJ60" s="221"/>
      <c r="BK60" s="221"/>
      <c r="BL60" s="221">
        <v>9.81</v>
      </c>
      <c r="BM60" s="221"/>
      <c r="BN60" s="221">
        <v>3.01</v>
      </c>
      <c r="BO60" s="221"/>
      <c r="BP60" s="221"/>
      <c r="BQ60" s="221"/>
      <c r="BR60" s="221"/>
      <c r="BS60" s="221"/>
      <c r="BT60" s="221"/>
      <c r="BU60" s="221"/>
      <c r="BV60" s="221">
        <v>7.84</v>
      </c>
      <c r="BW60" s="221">
        <v>1</v>
      </c>
      <c r="BX60" s="221">
        <v>2</v>
      </c>
      <c r="BY60" s="221">
        <v>8.14</v>
      </c>
      <c r="BZ60" s="221"/>
      <c r="CA60" s="221"/>
      <c r="CB60" s="221"/>
      <c r="CC60" s="221">
        <v>2.85</v>
      </c>
      <c r="CD60" s="249" t="s">
        <v>221</v>
      </c>
      <c r="CE60" s="251">
        <f t="shared" ref="CE60:CE70" si="0">SUM(C60:CD60)</f>
        <v>262.79000000000002</v>
      </c>
    </row>
    <row r="61" spans="1:84" ht="12.6" customHeight="1" x14ac:dyDescent="0.25">
      <c r="A61" s="171" t="s">
        <v>235</v>
      </c>
      <c r="B61" s="175"/>
      <c r="C61" s="184">
        <v>975253</v>
      </c>
      <c r="D61" s="184"/>
      <c r="E61" s="184">
        <v>2664089</v>
      </c>
      <c r="F61" s="185">
        <v>1357629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1165938</v>
      </c>
      <c r="Q61" s="185">
        <v>629115</v>
      </c>
      <c r="R61" s="185">
        <v>59684</v>
      </c>
      <c r="S61" s="185">
        <v>98853</v>
      </c>
      <c r="T61" s="185">
        <v>17706</v>
      </c>
      <c r="U61" s="185">
        <v>803556</v>
      </c>
      <c r="V61" s="185"/>
      <c r="W61" s="185">
        <v>304</v>
      </c>
      <c r="X61" s="185">
        <v>104353</v>
      </c>
      <c r="Y61" s="185">
        <f>920264+413982</f>
        <v>1334246</v>
      </c>
      <c r="Z61" s="185"/>
      <c r="AA61" s="185">
        <v>103179</v>
      </c>
      <c r="AB61" s="185">
        <v>668388</v>
      </c>
      <c r="AC61" s="185">
        <v>484848</v>
      </c>
      <c r="AD61" s="185"/>
      <c r="AE61" s="185">
        <v>82306</v>
      </c>
      <c r="AF61" s="185"/>
      <c r="AG61" s="185">
        <v>2581693</v>
      </c>
      <c r="AH61" s="185"/>
      <c r="AI61" s="185"/>
      <c r="AJ61" s="185">
        <v>15756</v>
      </c>
      <c r="AK61" s="185"/>
      <c r="AL61" s="185"/>
      <c r="AM61" s="185"/>
      <c r="AN61" s="185"/>
      <c r="AO61" s="185">
        <v>270949</v>
      </c>
      <c r="AP61" s="185">
        <f>910945+977010+689486+183117+832656+104116</f>
        <v>3697330</v>
      </c>
      <c r="AQ61" s="185"/>
      <c r="AR61" s="185"/>
      <c r="AS61" s="185"/>
      <c r="AT61" s="185"/>
      <c r="AU61" s="185"/>
      <c r="AV61" s="185"/>
      <c r="AW61" s="185"/>
      <c r="AX61" s="185"/>
      <c r="AY61" s="185">
        <v>537973</v>
      </c>
      <c r="AZ61" s="185"/>
      <c r="BA61" s="185">
        <v>34130</v>
      </c>
      <c r="BB61" s="185"/>
      <c r="BC61" s="185"/>
      <c r="BD61" s="185">
        <v>169594</v>
      </c>
      <c r="BE61" s="185">
        <v>275575</v>
      </c>
      <c r="BF61" s="185">
        <v>394551</v>
      </c>
      <c r="BG61" s="185">
        <v>69448</v>
      </c>
      <c r="BH61" s="185"/>
      <c r="BI61" s="185"/>
      <c r="BJ61" s="185"/>
      <c r="BK61" s="185"/>
      <c r="BL61" s="185">
        <v>404167</v>
      </c>
      <c r="BM61" s="185"/>
      <c r="BN61" s="185">
        <v>280308</v>
      </c>
      <c r="BO61" s="185"/>
      <c r="BP61" s="185"/>
      <c r="BQ61" s="185"/>
      <c r="BR61" s="185"/>
      <c r="BS61" s="185"/>
      <c r="BT61" s="185"/>
      <c r="BU61" s="185"/>
      <c r="BV61" s="185">
        <v>416956</v>
      </c>
      <c r="BW61" s="185">
        <v>107399</v>
      </c>
      <c r="BX61" s="185">
        <v>154946</v>
      </c>
      <c r="BY61" s="185">
        <v>928715</v>
      </c>
      <c r="BZ61" s="185"/>
      <c r="CA61" s="185"/>
      <c r="CB61" s="185"/>
      <c r="CC61" s="185">
        <v>318462</v>
      </c>
      <c r="CD61" s="249" t="s">
        <v>221</v>
      </c>
      <c r="CE61" s="195">
        <f t="shared" si="0"/>
        <v>21207399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211062</v>
      </c>
      <c r="D62" s="195">
        <f t="shared" si="1"/>
        <v>0</v>
      </c>
      <c r="E62" s="195">
        <f t="shared" si="1"/>
        <v>576556</v>
      </c>
      <c r="F62" s="195">
        <f t="shared" si="1"/>
        <v>293815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252330</v>
      </c>
      <c r="Q62" s="195">
        <f t="shared" si="1"/>
        <v>136152</v>
      </c>
      <c r="R62" s="195">
        <f t="shared" si="1"/>
        <v>12917</v>
      </c>
      <c r="S62" s="195">
        <f t="shared" si="1"/>
        <v>21394</v>
      </c>
      <c r="T62" s="195">
        <f t="shared" si="1"/>
        <v>3832</v>
      </c>
      <c r="U62" s="195">
        <f t="shared" si="1"/>
        <v>173904</v>
      </c>
      <c r="V62" s="195">
        <f t="shared" si="1"/>
        <v>0</v>
      </c>
      <c r="W62" s="195">
        <f t="shared" si="1"/>
        <v>66</v>
      </c>
      <c r="X62" s="195">
        <f t="shared" si="1"/>
        <v>22584</v>
      </c>
      <c r="Y62" s="195">
        <f t="shared" si="1"/>
        <v>288755</v>
      </c>
      <c r="Z62" s="195">
        <f t="shared" si="1"/>
        <v>0</v>
      </c>
      <c r="AA62" s="195">
        <f t="shared" si="1"/>
        <v>22330</v>
      </c>
      <c r="AB62" s="195">
        <f t="shared" si="1"/>
        <v>144651</v>
      </c>
      <c r="AC62" s="195">
        <f t="shared" si="1"/>
        <v>104930</v>
      </c>
      <c r="AD62" s="195">
        <f t="shared" si="1"/>
        <v>0</v>
      </c>
      <c r="AE62" s="195">
        <f t="shared" si="1"/>
        <v>17812</v>
      </c>
      <c r="AF62" s="195">
        <f t="shared" si="1"/>
        <v>0</v>
      </c>
      <c r="AG62" s="195">
        <f t="shared" si="1"/>
        <v>558724</v>
      </c>
      <c r="AH62" s="195">
        <f t="shared" si="1"/>
        <v>0</v>
      </c>
      <c r="AI62" s="195">
        <f t="shared" si="1"/>
        <v>0</v>
      </c>
      <c r="AJ62" s="195">
        <f t="shared" si="1"/>
        <v>3410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58638</v>
      </c>
      <c r="AP62" s="195">
        <f t="shared" si="1"/>
        <v>800168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116427</v>
      </c>
      <c r="AZ62" s="195">
        <f>ROUND(AZ47+AZ48,0)</f>
        <v>0</v>
      </c>
      <c r="BA62" s="195">
        <f>ROUND(BA47+BA48,0)</f>
        <v>7386</v>
      </c>
      <c r="BB62" s="195">
        <f t="shared" si="1"/>
        <v>0</v>
      </c>
      <c r="BC62" s="195">
        <f t="shared" si="1"/>
        <v>0</v>
      </c>
      <c r="BD62" s="195">
        <f t="shared" si="1"/>
        <v>36703</v>
      </c>
      <c r="BE62" s="195">
        <f t="shared" si="1"/>
        <v>59639</v>
      </c>
      <c r="BF62" s="195">
        <f t="shared" si="1"/>
        <v>85388</v>
      </c>
      <c r="BG62" s="195">
        <f t="shared" si="1"/>
        <v>15030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87469</v>
      </c>
      <c r="BM62" s="195">
        <f t="shared" si="1"/>
        <v>0</v>
      </c>
      <c r="BN62" s="195">
        <f t="shared" si="1"/>
        <v>60664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90237</v>
      </c>
      <c r="BW62" s="195">
        <f t="shared" si="2"/>
        <v>23243</v>
      </c>
      <c r="BX62" s="195">
        <f t="shared" si="2"/>
        <v>33533</v>
      </c>
      <c r="BY62" s="195">
        <f t="shared" si="2"/>
        <v>200990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68921</v>
      </c>
      <c r="CD62" s="249" t="s">
        <v>221</v>
      </c>
      <c r="CE62" s="195">
        <f t="shared" si="0"/>
        <v>4589660</v>
      </c>
      <c r="CF62" s="252"/>
    </row>
    <row r="63" spans="1:84" ht="12.6" customHeight="1" x14ac:dyDescent="0.25">
      <c r="A63" s="171" t="s">
        <v>236</v>
      </c>
      <c r="B63" s="175"/>
      <c r="C63" s="184">
        <v>76569</v>
      </c>
      <c r="D63" s="184"/>
      <c r="E63" s="184">
        <v>175775</v>
      </c>
      <c r="F63" s="185">
        <v>136987</v>
      </c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309057</v>
      </c>
      <c r="Q63" s="185">
        <v>39099</v>
      </c>
      <c r="R63" s="185">
        <v>858104</v>
      </c>
      <c r="S63" s="185">
        <v>93450</v>
      </c>
      <c r="T63" s="185"/>
      <c r="U63" s="185">
        <v>2457</v>
      </c>
      <c r="V63" s="185"/>
      <c r="W63" s="185"/>
      <c r="X63" s="185"/>
      <c r="Y63" s="185">
        <v>13947</v>
      </c>
      <c r="Z63" s="185"/>
      <c r="AA63" s="185"/>
      <c r="AB63" s="185"/>
      <c r="AC63" s="185"/>
      <c r="AD63" s="185"/>
      <c r="AE63" s="185"/>
      <c r="AF63" s="185"/>
      <c r="AG63" s="185">
        <v>941204</v>
      </c>
      <c r="AH63" s="185"/>
      <c r="AI63" s="185"/>
      <c r="AJ63" s="185"/>
      <c r="AK63" s="185"/>
      <c r="AL63" s="185"/>
      <c r="AM63" s="185"/>
      <c r="AN63" s="185"/>
      <c r="AO63" s="185"/>
      <c r="AP63" s="185">
        <f>28356+903637+136295+9165+595556</f>
        <v>1673009</v>
      </c>
      <c r="AQ63" s="185"/>
      <c r="AR63" s="185"/>
      <c r="AS63" s="185"/>
      <c r="AT63" s="185"/>
      <c r="AU63" s="185"/>
      <c r="AV63" s="185">
        <v>18300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8730</v>
      </c>
      <c r="BX63" s="185"/>
      <c r="BY63" s="185"/>
      <c r="BZ63" s="185"/>
      <c r="CA63" s="185"/>
      <c r="CB63" s="185"/>
      <c r="CC63" s="185">
        <f>200209-104116</f>
        <v>96093</v>
      </c>
      <c r="CD63" s="249" t="s">
        <v>221</v>
      </c>
      <c r="CE63" s="195">
        <f t="shared" si="0"/>
        <v>4442781</v>
      </c>
      <c r="CF63" s="252"/>
    </row>
    <row r="64" spans="1:84" ht="12.6" customHeight="1" x14ac:dyDescent="0.25">
      <c r="A64" s="171" t="s">
        <v>237</v>
      </c>
      <c r="B64" s="175"/>
      <c r="C64" s="184">
        <v>124592</v>
      </c>
      <c r="D64" s="184"/>
      <c r="E64" s="185">
        <v>263288</v>
      </c>
      <c r="F64" s="185">
        <v>5735</v>
      </c>
      <c r="G64" s="184"/>
      <c r="H64" s="184"/>
      <c r="I64" s="185"/>
      <c r="J64" s="185">
        <v>1522</v>
      </c>
      <c r="K64" s="185"/>
      <c r="L64" s="185"/>
      <c r="M64" s="184"/>
      <c r="N64" s="184"/>
      <c r="O64" s="184">
        <v>52843</v>
      </c>
      <c r="P64" s="185">
        <v>2342474</v>
      </c>
      <c r="Q64" s="185">
        <v>8097</v>
      </c>
      <c r="R64" s="185">
        <v>50333</v>
      </c>
      <c r="S64" s="185">
        <v>135848</v>
      </c>
      <c r="T64" s="185">
        <v>36696</v>
      </c>
      <c r="U64" s="185">
        <v>849132</v>
      </c>
      <c r="V64" s="185">
        <v>11799</v>
      </c>
      <c r="W64" s="185">
        <v>4363</v>
      </c>
      <c r="X64" s="185">
        <v>66553</v>
      </c>
      <c r="Y64" s="185">
        <f>32348+16827+225</f>
        <v>49400</v>
      </c>
      <c r="Z64" s="185"/>
      <c r="AA64" s="185">
        <v>81467</v>
      </c>
      <c r="AB64" s="185">
        <v>938646</v>
      </c>
      <c r="AC64" s="185">
        <v>62410</v>
      </c>
      <c r="AD64" s="185"/>
      <c r="AE64" s="185">
        <v>1774</v>
      </c>
      <c r="AF64" s="185"/>
      <c r="AG64" s="185">
        <v>327453</v>
      </c>
      <c r="AH64" s="185"/>
      <c r="AI64" s="185"/>
      <c r="AJ64" s="185">
        <v>1</v>
      </c>
      <c r="AK64" s="185"/>
      <c r="AL64" s="185"/>
      <c r="AM64" s="185"/>
      <c r="AN64" s="185"/>
      <c r="AO64" s="185">
        <v>34625</v>
      </c>
      <c r="AP64" s="185">
        <f>112395+41498+28054+54145+126252</f>
        <v>362344</v>
      </c>
      <c r="AQ64" s="185"/>
      <c r="AR64" s="185"/>
      <c r="AS64" s="185"/>
      <c r="AT64" s="185"/>
      <c r="AU64" s="185"/>
      <c r="AV64" s="185">
        <v>421072</v>
      </c>
      <c r="AW64" s="185"/>
      <c r="AX64" s="185">
        <v>705</v>
      </c>
      <c r="AY64" s="185">
        <v>338525</v>
      </c>
      <c r="AZ64" s="185"/>
      <c r="BA64" s="185">
        <v>1679</v>
      </c>
      <c r="BB64" s="185"/>
      <c r="BC64" s="185">
        <v>4549</v>
      </c>
      <c r="BD64" s="185">
        <v>5097</v>
      </c>
      <c r="BE64" s="185">
        <v>77473</v>
      </c>
      <c r="BF64" s="185">
        <v>47883</v>
      </c>
      <c r="BG64" s="185">
        <v>200</v>
      </c>
      <c r="BH64" s="185"/>
      <c r="BI64" s="185"/>
      <c r="BJ64" s="185"/>
      <c r="BK64" s="185"/>
      <c r="BL64" s="185">
        <v>11903</v>
      </c>
      <c r="BM64" s="185"/>
      <c r="BN64" s="185">
        <v>2524</v>
      </c>
      <c r="BO64" s="185"/>
      <c r="BP64" s="185"/>
      <c r="BQ64" s="185"/>
      <c r="BR64" s="185"/>
      <c r="BS64" s="185"/>
      <c r="BT64" s="185"/>
      <c r="BU64" s="185"/>
      <c r="BV64" s="185">
        <v>675</v>
      </c>
      <c r="BW64" s="185">
        <v>4842</v>
      </c>
      <c r="BX64" s="185">
        <v>1789</v>
      </c>
      <c r="BY64" s="185">
        <v>13080</v>
      </c>
      <c r="BZ64" s="185"/>
      <c r="CA64" s="185"/>
      <c r="CB64" s="185"/>
      <c r="CC64" s="185">
        <f>13494+48548</f>
        <v>62042</v>
      </c>
      <c r="CD64" s="249" t="s">
        <v>221</v>
      </c>
      <c r="CE64" s="195">
        <f t="shared" si="0"/>
        <v>6805433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>
        <v>2475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793078</v>
      </c>
      <c r="CD65" s="249" t="s">
        <v>221</v>
      </c>
      <c r="CE65" s="195">
        <f t="shared" si="0"/>
        <v>795553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549</v>
      </c>
      <c r="F66" s="184">
        <v>5000</v>
      </c>
      <c r="G66" s="184"/>
      <c r="H66" s="184"/>
      <c r="I66" s="184"/>
      <c r="J66" s="184">
        <v>1818</v>
      </c>
      <c r="K66" s="185"/>
      <c r="L66" s="185"/>
      <c r="M66" s="184"/>
      <c r="N66" s="184"/>
      <c r="O66" s="185">
        <v>432</v>
      </c>
      <c r="P66" s="185">
        <v>90564</v>
      </c>
      <c r="Q66" s="185"/>
      <c r="R66" s="185">
        <v>92493</v>
      </c>
      <c r="S66" s="184">
        <v>13250</v>
      </c>
      <c r="T66" s="184"/>
      <c r="U66" s="185">
        <v>290810</v>
      </c>
      <c r="V66" s="185"/>
      <c r="W66" s="185">
        <v>129369</v>
      </c>
      <c r="X66" s="185">
        <v>169937</v>
      </c>
      <c r="Y66" s="185">
        <f>384698+8426+57485</f>
        <v>450609</v>
      </c>
      <c r="Z66" s="185"/>
      <c r="AA66" s="185">
        <v>20309</v>
      </c>
      <c r="AB66" s="185">
        <v>203228</v>
      </c>
      <c r="AC66" s="185">
        <v>5942</v>
      </c>
      <c r="AD66" s="185"/>
      <c r="AE66" s="185"/>
      <c r="AF66" s="185"/>
      <c r="AG66" s="185">
        <v>98240</v>
      </c>
      <c r="AH66" s="185"/>
      <c r="AI66" s="185"/>
      <c r="AJ66" s="185"/>
      <c r="AK66" s="185"/>
      <c r="AL66" s="185"/>
      <c r="AM66" s="185"/>
      <c r="AN66" s="185"/>
      <c r="AO66" s="185"/>
      <c r="AP66" s="185">
        <f>47398+4888+7105+4533+8888</f>
        <v>72812</v>
      </c>
      <c r="AQ66" s="185"/>
      <c r="AR66" s="185"/>
      <c r="AS66" s="185"/>
      <c r="AT66" s="185"/>
      <c r="AU66" s="185"/>
      <c r="AV66" s="185">
        <v>556816</v>
      </c>
      <c r="AW66" s="185"/>
      <c r="AX66" s="185"/>
      <c r="AY66" s="185">
        <v>40002</v>
      </c>
      <c r="AZ66" s="185"/>
      <c r="BA66" s="185">
        <v>147972</v>
      </c>
      <c r="BB66" s="185"/>
      <c r="BC66" s="185"/>
      <c r="BD66" s="185"/>
      <c r="BE66" s="185">
        <v>346451</v>
      </c>
      <c r="BF66" s="185">
        <v>117426</v>
      </c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>
        <v>145945</v>
      </c>
      <c r="BY66" s="185"/>
      <c r="BZ66" s="185"/>
      <c r="CA66" s="185"/>
      <c r="CB66" s="185"/>
      <c r="CC66" s="185">
        <f>755089+804335</f>
        <v>1559424</v>
      </c>
      <c r="CD66" s="249" t="s">
        <v>221</v>
      </c>
      <c r="CE66" s="195">
        <f t="shared" si="0"/>
        <v>4559398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22497</v>
      </c>
      <c r="D67" s="195">
        <f>ROUND(D51+D52,0)</f>
        <v>0</v>
      </c>
      <c r="E67" s="195">
        <f t="shared" ref="E67:BP67" si="3">ROUND(E51+E52,0)</f>
        <v>35842</v>
      </c>
      <c r="F67" s="195">
        <f t="shared" si="3"/>
        <v>21902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990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5971</v>
      </c>
      <c r="P67" s="195">
        <f t="shared" si="3"/>
        <v>29634</v>
      </c>
      <c r="Q67" s="195">
        <f t="shared" si="3"/>
        <v>4774</v>
      </c>
      <c r="R67" s="195">
        <f t="shared" si="3"/>
        <v>984</v>
      </c>
      <c r="S67" s="195">
        <f t="shared" si="3"/>
        <v>9032</v>
      </c>
      <c r="T67" s="195">
        <f t="shared" si="3"/>
        <v>1500</v>
      </c>
      <c r="U67" s="195">
        <f t="shared" si="3"/>
        <v>11540</v>
      </c>
      <c r="V67" s="195">
        <f t="shared" si="3"/>
        <v>522</v>
      </c>
      <c r="W67" s="195">
        <f t="shared" si="3"/>
        <v>0</v>
      </c>
      <c r="X67" s="195">
        <f t="shared" si="3"/>
        <v>2928</v>
      </c>
      <c r="Y67" s="195">
        <f t="shared" si="3"/>
        <v>24083</v>
      </c>
      <c r="Z67" s="195">
        <f t="shared" si="3"/>
        <v>0</v>
      </c>
      <c r="AA67" s="195">
        <f t="shared" si="3"/>
        <v>3395</v>
      </c>
      <c r="AB67" s="195">
        <f t="shared" si="3"/>
        <v>5837</v>
      </c>
      <c r="AC67" s="195">
        <f t="shared" si="3"/>
        <v>5570</v>
      </c>
      <c r="AD67" s="195">
        <f t="shared" si="3"/>
        <v>0</v>
      </c>
      <c r="AE67" s="195">
        <f t="shared" si="3"/>
        <v>11091</v>
      </c>
      <c r="AF67" s="195">
        <f t="shared" si="3"/>
        <v>0</v>
      </c>
      <c r="AG67" s="195">
        <f t="shared" si="3"/>
        <v>54786</v>
      </c>
      <c r="AH67" s="195">
        <f t="shared" si="3"/>
        <v>0</v>
      </c>
      <c r="AI67" s="195">
        <f t="shared" si="3"/>
        <v>0</v>
      </c>
      <c r="AJ67" s="195">
        <f t="shared" si="3"/>
        <v>1312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11984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577</v>
      </c>
      <c r="AW67" s="195">
        <f t="shared" si="3"/>
        <v>0</v>
      </c>
      <c r="AX67" s="195">
        <f t="shared" si="3"/>
        <v>0</v>
      </c>
      <c r="AY67" s="195">
        <f t="shared" si="3"/>
        <v>29391</v>
      </c>
      <c r="AZ67" s="195">
        <f>ROUND(AZ51+AZ52,0)</f>
        <v>0</v>
      </c>
      <c r="BA67" s="195">
        <f>ROUND(BA51+BA52,0)</f>
        <v>2253</v>
      </c>
      <c r="BB67" s="195">
        <f t="shared" si="3"/>
        <v>0</v>
      </c>
      <c r="BC67" s="195">
        <f t="shared" si="3"/>
        <v>0</v>
      </c>
      <c r="BD67" s="195">
        <f t="shared" si="3"/>
        <v>9748</v>
      </c>
      <c r="BE67" s="195">
        <f t="shared" si="3"/>
        <v>178607</v>
      </c>
      <c r="BF67" s="195">
        <f t="shared" si="3"/>
        <v>2423</v>
      </c>
      <c r="BG67" s="195">
        <f t="shared" si="3"/>
        <v>1014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5023</v>
      </c>
      <c r="BM67" s="195">
        <f t="shared" si="3"/>
        <v>0</v>
      </c>
      <c r="BN67" s="195">
        <f t="shared" si="3"/>
        <v>21337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11243</v>
      </c>
      <c r="BW67" s="195">
        <f t="shared" si="4"/>
        <v>3328</v>
      </c>
      <c r="BX67" s="195">
        <f t="shared" si="4"/>
        <v>5594</v>
      </c>
      <c r="BY67" s="195">
        <f t="shared" si="4"/>
        <v>1816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4276</v>
      </c>
      <c r="CD67" s="249" t="s">
        <v>221</v>
      </c>
      <c r="CE67" s="195">
        <f t="shared" si="0"/>
        <v>542804</v>
      </c>
      <c r="CF67" s="252"/>
    </row>
    <row r="68" spans="1:84" ht="12.6" customHeight="1" x14ac:dyDescent="0.25">
      <c r="A68" s="171" t="s">
        <v>240</v>
      </c>
      <c r="B68" s="175"/>
      <c r="C68" s="184">
        <v>4294</v>
      </c>
      <c r="D68" s="184"/>
      <c r="E68" s="184">
        <v>34727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49</v>
      </c>
      <c r="Q68" s="185"/>
      <c r="R68" s="185"/>
      <c r="S68" s="185">
        <v>1466</v>
      </c>
      <c r="T68" s="185"/>
      <c r="U68" s="185"/>
      <c r="V68" s="185"/>
      <c r="W68" s="185"/>
      <c r="X68" s="185"/>
      <c r="Y68" s="185"/>
      <c r="Z68" s="185"/>
      <c r="AA68" s="185"/>
      <c r="AB68" s="185"/>
      <c r="AC68" s="185">
        <v>52951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f>118800+93423+143720+42783+772</f>
        <v>399498</v>
      </c>
      <c r="AQ68" s="185"/>
      <c r="AR68" s="185"/>
      <c r="AS68" s="185"/>
      <c r="AT68" s="185"/>
      <c r="AU68" s="185"/>
      <c r="AV68" s="185">
        <v>172339</v>
      </c>
      <c r="AW68" s="185"/>
      <c r="AX68" s="185">
        <v>28327</v>
      </c>
      <c r="AY68" s="185"/>
      <c r="AZ68" s="185"/>
      <c r="BA68" s="185"/>
      <c r="BB68" s="185"/>
      <c r="BC68" s="185"/>
      <c r="BD68" s="185"/>
      <c r="BE68" s="185">
        <v>1589</v>
      </c>
      <c r="BF68" s="185"/>
      <c r="BG68" s="185"/>
      <c r="BH68" s="185"/>
      <c r="BI68" s="185"/>
      <c r="BJ68" s="185"/>
      <c r="BK68" s="185"/>
      <c r="BL68" s="185"/>
      <c r="BM68" s="185"/>
      <c r="BN68" s="185">
        <v>10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695250</v>
      </c>
      <c r="CF68" s="252"/>
    </row>
    <row r="69" spans="1:84" ht="12.6" customHeight="1" x14ac:dyDescent="0.25">
      <c r="A69" s="171" t="s">
        <v>241</v>
      </c>
      <c r="B69" s="175"/>
      <c r="C69" s="184">
        <f>615468.13</f>
        <v>615468.13</v>
      </c>
      <c r="D69" s="184"/>
      <c r="E69" s="185">
        <f>411+1363645</f>
        <v>1364056</v>
      </c>
      <c r="F69" s="185">
        <f>67+623125.59</f>
        <v>623192.59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f>3868+614989.54</f>
        <v>618857.54</v>
      </c>
      <c r="Q69" s="185">
        <f>132+220151.9</f>
        <v>220283.9</v>
      </c>
      <c r="R69" s="224">
        <f>380+48816.29</f>
        <v>49196.29</v>
      </c>
      <c r="S69" s="185">
        <f>80+185214.75</f>
        <v>185294.75</v>
      </c>
      <c r="T69" s="184">
        <v>1914.36</v>
      </c>
      <c r="U69" s="185">
        <f>2074+627432.91</f>
        <v>629506.91</v>
      </c>
      <c r="V69" s="185"/>
      <c r="W69" s="184"/>
      <c r="X69" s="185">
        <f>746+47859.11</f>
        <v>48605.11</v>
      </c>
      <c r="Y69" s="185">
        <f>1771+741337.58</f>
        <v>743108.58</v>
      </c>
      <c r="Z69" s="185"/>
      <c r="AA69" s="185">
        <f>6608+48337.7</f>
        <v>54945.7</v>
      </c>
      <c r="AB69" s="185">
        <f>2917+271839.73</f>
        <v>274756.73</v>
      </c>
      <c r="AC69" s="185">
        <f>26+278061.42</f>
        <v>278087.42</v>
      </c>
      <c r="AD69" s="185"/>
      <c r="AE69" s="185">
        <f>170+43551.79</f>
        <v>43721.79</v>
      </c>
      <c r="AF69" s="185"/>
      <c r="AG69" s="185">
        <f>12798+1471188.98</f>
        <v>1483986.98</v>
      </c>
      <c r="AH69" s="185"/>
      <c r="AI69" s="185"/>
      <c r="AJ69" s="185">
        <f>9093.23</f>
        <v>9093.23</v>
      </c>
      <c r="AK69" s="185"/>
      <c r="AL69" s="185"/>
      <c r="AM69" s="185"/>
      <c r="AN69" s="185"/>
      <c r="AO69" s="184">
        <f>151234.78</f>
        <v>151234.78</v>
      </c>
      <c r="AP69" s="185">
        <f>115244+1184034.33</f>
        <v>1299278.33</v>
      </c>
      <c r="AQ69" s="184"/>
      <c r="AR69" s="184"/>
      <c r="AS69" s="184"/>
      <c r="AT69" s="184"/>
      <c r="AU69" s="185"/>
      <c r="AV69" s="185">
        <v>123</v>
      </c>
      <c r="AW69" s="185"/>
      <c r="AX69" s="185"/>
      <c r="AY69" s="185">
        <f>1420+619775.45</f>
        <v>621195.44999999995</v>
      </c>
      <c r="AZ69" s="185"/>
      <c r="BA69" s="185">
        <v>50252.06</v>
      </c>
      <c r="BB69" s="185"/>
      <c r="BC69" s="185"/>
      <c r="BD69" s="185">
        <f>621+19335.8</f>
        <v>19956.8</v>
      </c>
      <c r="BE69" s="185">
        <f>1340+191915.02</f>
        <v>193255.02</v>
      </c>
      <c r="BF69" s="185">
        <f>39+453704.34</f>
        <v>453743.34</v>
      </c>
      <c r="BG69" s="185">
        <v>13</v>
      </c>
      <c r="BH69" s="224"/>
      <c r="BI69" s="185"/>
      <c r="BJ69" s="185"/>
      <c r="BK69" s="185"/>
      <c r="BL69" s="185">
        <f>53+469497.85</f>
        <v>469550.85</v>
      </c>
      <c r="BM69" s="185"/>
      <c r="BN69" s="185">
        <f>61151+144055.92+2155</f>
        <v>207361.92000000001</v>
      </c>
      <c r="BO69" s="185"/>
      <c r="BP69" s="185"/>
      <c r="BQ69" s="185"/>
      <c r="BR69" s="185"/>
      <c r="BS69" s="185"/>
      <c r="BT69" s="185"/>
      <c r="BU69" s="185"/>
      <c r="BV69" s="185">
        <f>235+375215.41+61872</f>
        <v>437322.41</v>
      </c>
      <c r="BW69" s="185">
        <f>26150+47859.11</f>
        <v>74009.11</v>
      </c>
      <c r="BX69" s="185">
        <f>2570+95718.22</f>
        <v>98288.22</v>
      </c>
      <c r="BY69" s="185">
        <f>54476+389573.14</f>
        <v>444049.14</v>
      </c>
      <c r="BZ69" s="185"/>
      <c r="CA69" s="185"/>
      <c r="CB69" s="185"/>
      <c r="CC69" s="185">
        <f>107596+136398.46+147336+520687+55468+868498+2700.63</f>
        <v>1838684.0899999999</v>
      </c>
      <c r="CD69" s="188"/>
      <c r="CE69" s="195">
        <f t="shared" si="0"/>
        <v>13602393.530000001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2394307</v>
      </c>
      <c r="CE70" s="195">
        <f t="shared" si="0"/>
        <v>2394307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2029735.13</v>
      </c>
      <c r="D71" s="195">
        <f t="shared" ref="D71:AI71" si="5">SUM(D61:D69)-D70</f>
        <v>0</v>
      </c>
      <c r="E71" s="195">
        <f t="shared" si="5"/>
        <v>5114882</v>
      </c>
      <c r="F71" s="195">
        <f t="shared" si="5"/>
        <v>2444260.59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4330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59246</v>
      </c>
      <c r="P71" s="195">
        <f t="shared" si="5"/>
        <v>4808903.54</v>
      </c>
      <c r="Q71" s="195">
        <f t="shared" si="5"/>
        <v>1037520.9</v>
      </c>
      <c r="R71" s="195">
        <f t="shared" si="5"/>
        <v>1123711.29</v>
      </c>
      <c r="S71" s="195">
        <f t="shared" si="5"/>
        <v>558587.75</v>
      </c>
      <c r="T71" s="195">
        <f t="shared" si="5"/>
        <v>61648.36</v>
      </c>
      <c r="U71" s="195">
        <f t="shared" si="5"/>
        <v>2760905.91</v>
      </c>
      <c r="V71" s="195">
        <f t="shared" si="5"/>
        <v>12321</v>
      </c>
      <c r="W71" s="195">
        <f t="shared" si="5"/>
        <v>134102</v>
      </c>
      <c r="X71" s="195">
        <f t="shared" si="5"/>
        <v>414960.11</v>
      </c>
      <c r="Y71" s="195">
        <f t="shared" si="5"/>
        <v>2904148.58</v>
      </c>
      <c r="Z71" s="195">
        <f t="shared" si="5"/>
        <v>0</v>
      </c>
      <c r="AA71" s="195">
        <f t="shared" si="5"/>
        <v>285625.7</v>
      </c>
      <c r="AB71" s="195">
        <f t="shared" si="5"/>
        <v>2235506.73</v>
      </c>
      <c r="AC71" s="195">
        <f t="shared" si="5"/>
        <v>994738.41999999993</v>
      </c>
      <c r="AD71" s="195">
        <f t="shared" si="5"/>
        <v>0</v>
      </c>
      <c r="AE71" s="195">
        <f t="shared" si="5"/>
        <v>156704.79</v>
      </c>
      <c r="AF71" s="195">
        <f t="shared" si="5"/>
        <v>0</v>
      </c>
      <c r="AG71" s="195">
        <f t="shared" si="5"/>
        <v>6046086.9800000004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29572.23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527430.78</v>
      </c>
      <c r="AP71" s="195">
        <f t="shared" si="6"/>
        <v>8304439.3300000001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1169227</v>
      </c>
      <c r="AW71" s="195">
        <f t="shared" si="6"/>
        <v>0</v>
      </c>
      <c r="AX71" s="195">
        <f t="shared" si="6"/>
        <v>29032</v>
      </c>
      <c r="AY71" s="195">
        <f t="shared" si="6"/>
        <v>1683513.45</v>
      </c>
      <c r="AZ71" s="195">
        <f t="shared" si="6"/>
        <v>0</v>
      </c>
      <c r="BA71" s="195">
        <f t="shared" si="6"/>
        <v>243672.06</v>
      </c>
      <c r="BB71" s="195">
        <f t="shared" si="6"/>
        <v>0</v>
      </c>
      <c r="BC71" s="195">
        <f t="shared" si="6"/>
        <v>4549</v>
      </c>
      <c r="BD71" s="195">
        <f t="shared" si="6"/>
        <v>241098.8</v>
      </c>
      <c r="BE71" s="195">
        <f t="shared" si="6"/>
        <v>1132589.02</v>
      </c>
      <c r="BF71" s="195">
        <f t="shared" si="6"/>
        <v>1101414.3400000001</v>
      </c>
      <c r="BG71" s="195">
        <f t="shared" si="6"/>
        <v>85705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980587.85</v>
      </c>
      <c r="BM71" s="195">
        <f t="shared" si="6"/>
        <v>0</v>
      </c>
      <c r="BN71" s="195">
        <f t="shared" si="6"/>
        <v>572204.92000000004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956433.40999999992</v>
      </c>
      <c r="BW71" s="195">
        <f t="shared" si="7"/>
        <v>221551.11</v>
      </c>
      <c r="BX71" s="195">
        <f t="shared" si="7"/>
        <v>440095.22</v>
      </c>
      <c r="BY71" s="195">
        <f t="shared" si="7"/>
        <v>1588650.1400000001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4740980.09</v>
      </c>
      <c r="CD71" s="245">
        <f>CD69-CD70</f>
        <v>-2394307</v>
      </c>
      <c r="CE71" s="195">
        <f>SUM(CE61:CE69)-CE70</f>
        <v>54846364.530000001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10485499</v>
      </c>
      <c r="D73" s="184"/>
      <c r="E73" s="185">
        <v>10917006</v>
      </c>
      <c r="F73" s="185">
        <v>898344</v>
      </c>
      <c r="G73" s="184"/>
      <c r="H73" s="184"/>
      <c r="I73" s="185"/>
      <c r="J73" s="185">
        <v>484866</v>
      </c>
      <c r="K73" s="185"/>
      <c r="L73" s="185"/>
      <c r="M73" s="184"/>
      <c r="N73" s="184"/>
      <c r="O73" s="184">
        <v>575010</v>
      </c>
      <c r="P73" s="185">
        <v>5850350</v>
      </c>
      <c r="Q73" s="185">
        <v>568029</v>
      </c>
      <c r="R73" s="185">
        <v>732747</v>
      </c>
      <c r="S73" s="185">
        <v>2449048</v>
      </c>
      <c r="T73" s="185">
        <v>484338</v>
      </c>
      <c r="U73" s="185">
        <v>4452922</v>
      </c>
      <c r="V73" s="185">
        <v>4065</v>
      </c>
      <c r="W73" s="185">
        <v>217655</v>
      </c>
      <c r="X73" s="185">
        <v>2749347</v>
      </c>
      <c r="Y73" s="185">
        <v>1489469</v>
      </c>
      <c r="Z73" s="185"/>
      <c r="AA73" s="185">
        <v>178757</v>
      </c>
      <c r="AB73" s="185">
        <v>3294021</v>
      </c>
      <c r="AC73" s="185">
        <v>4040066</v>
      </c>
      <c r="AD73" s="185"/>
      <c r="AE73" s="185">
        <v>212516</v>
      </c>
      <c r="AF73" s="185"/>
      <c r="AG73" s="185">
        <v>4424133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21041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54529229</v>
      </c>
      <c r="CF73" s="252"/>
    </row>
    <row r="74" spans="1:84" ht="12.6" customHeight="1" x14ac:dyDescent="0.25">
      <c r="A74" s="171" t="s">
        <v>246</v>
      </c>
      <c r="B74" s="175"/>
      <c r="C74" s="184">
        <v>937047</v>
      </c>
      <c r="D74" s="184"/>
      <c r="E74" s="185">
        <v>2756318</v>
      </c>
      <c r="F74" s="185">
        <v>235559</v>
      </c>
      <c r="G74" s="184"/>
      <c r="H74" s="184"/>
      <c r="I74" s="184"/>
      <c r="J74" s="185">
        <v>950</v>
      </c>
      <c r="K74" s="185"/>
      <c r="L74" s="185"/>
      <c r="M74" s="184"/>
      <c r="N74" s="184"/>
      <c r="O74" s="184">
        <v>130678</v>
      </c>
      <c r="P74" s="185">
        <v>9980051</v>
      </c>
      <c r="Q74" s="185">
        <v>1086444</v>
      </c>
      <c r="R74" s="185">
        <v>853456</v>
      </c>
      <c r="S74" s="185">
        <v>3412724</v>
      </c>
      <c r="T74" s="185">
        <v>485847</v>
      </c>
      <c r="U74" s="185">
        <v>11655048</v>
      </c>
      <c r="V74" s="185">
        <v>209728</v>
      </c>
      <c r="W74" s="185">
        <v>2982883</v>
      </c>
      <c r="X74" s="185">
        <v>15276773</v>
      </c>
      <c r="Y74" s="185">
        <v>9380695</v>
      </c>
      <c r="Z74" s="185"/>
      <c r="AA74" s="185">
        <v>767652</v>
      </c>
      <c r="AB74" s="185">
        <v>2204943</v>
      </c>
      <c r="AC74" s="185">
        <v>1165239</v>
      </c>
      <c r="AD74" s="185"/>
      <c r="AE74" s="185">
        <v>155900</v>
      </c>
      <c r="AF74" s="185"/>
      <c r="AG74" s="185">
        <v>33483426</v>
      </c>
      <c r="AH74" s="185"/>
      <c r="AI74" s="185"/>
      <c r="AJ74" s="185">
        <v>49750</v>
      </c>
      <c r="AK74" s="185"/>
      <c r="AL74" s="185"/>
      <c r="AM74" s="185"/>
      <c r="AN74" s="185"/>
      <c r="AO74" s="185"/>
      <c r="AP74" s="185">
        <f>2136435+1866053+992385+691632+1067526+10860</f>
        <v>6764891</v>
      </c>
      <c r="AQ74" s="185"/>
      <c r="AR74" s="185"/>
      <c r="AS74" s="185"/>
      <c r="AT74" s="185"/>
      <c r="AU74" s="185"/>
      <c r="AV74" s="185">
        <f>5493294+400</f>
        <v>5493694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109469696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11422546</v>
      </c>
      <c r="D75" s="195">
        <f t="shared" si="9"/>
        <v>0</v>
      </c>
      <c r="E75" s="195">
        <f t="shared" si="9"/>
        <v>13673324</v>
      </c>
      <c r="F75" s="195">
        <f t="shared" si="9"/>
        <v>1133903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485816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705688</v>
      </c>
      <c r="P75" s="195">
        <f t="shared" si="9"/>
        <v>15830401</v>
      </c>
      <c r="Q75" s="195">
        <f t="shared" si="9"/>
        <v>1654473</v>
      </c>
      <c r="R75" s="195">
        <f t="shared" si="9"/>
        <v>1586203</v>
      </c>
      <c r="S75" s="195">
        <f t="shared" si="9"/>
        <v>5861772</v>
      </c>
      <c r="T75" s="195">
        <f t="shared" si="9"/>
        <v>970185</v>
      </c>
      <c r="U75" s="195">
        <f t="shared" si="9"/>
        <v>16107970</v>
      </c>
      <c r="V75" s="195">
        <f t="shared" si="9"/>
        <v>213793</v>
      </c>
      <c r="W75" s="195">
        <f t="shared" si="9"/>
        <v>3200538</v>
      </c>
      <c r="X75" s="195">
        <f t="shared" si="9"/>
        <v>18026120</v>
      </c>
      <c r="Y75" s="195">
        <f t="shared" si="9"/>
        <v>10870164</v>
      </c>
      <c r="Z75" s="195">
        <f t="shared" si="9"/>
        <v>0</v>
      </c>
      <c r="AA75" s="195">
        <f t="shared" si="9"/>
        <v>946409</v>
      </c>
      <c r="AB75" s="195">
        <f t="shared" si="9"/>
        <v>5498964</v>
      </c>
      <c r="AC75" s="195">
        <f t="shared" si="9"/>
        <v>5205305</v>
      </c>
      <c r="AD75" s="195">
        <f t="shared" si="9"/>
        <v>0</v>
      </c>
      <c r="AE75" s="195">
        <f t="shared" si="9"/>
        <v>368416</v>
      </c>
      <c r="AF75" s="195">
        <f t="shared" si="9"/>
        <v>0</v>
      </c>
      <c r="AG75" s="195">
        <f t="shared" si="9"/>
        <v>37907559</v>
      </c>
      <c r="AH75" s="195">
        <f t="shared" si="9"/>
        <v>0</v>
      </c>
      <c r="AI75" s="195">
        <f t="shared" si="9"/>
        <v>0</v>
      </c>
      <c r="AJ75" s="195">
        <f t="shared" si="9"/>
        <v>49750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6764891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5514735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163998925</v>
      </c>
      <c r="CF75" s="252"/>
    </row>
    <row r="76" spans="1:84" ht="12.6" customHeight="1" x14ac:dyDescent="0.25">
      <c r="A76" s="171" t="s">
        <v>248</v>
      </c>
      <c r="B76" s="175"/>
      <c r="C76" s="184">
        <v>3704</v>
      </c>
      <c r="D76" s="184"/>
      <c r="E76" s="185">
        <v>5901</v>
      </c>
      <c r="F76" s="185">
        <v>3606</v>
      </c>
      <c r="G76" s="184"/>
      <c r="H76" s="184"/>
      <c r="I76" s="185"/>
      <c r="J76" s="185">
        <v>163</v>
      </c>
      <c r="K76" s="185"/>
      <c r="L76" s="185"/>
      <c r="M76" s="185"/>
      <c r="N76" s="185"/>
      <c r="O76" s="185">
        <v>983</v>
      </c>
      <c r="P76" s="185">
        <v>4879</v>
      </c>
      <c r="Q76" s="185">
        <v>786</v>
      </c>
      <c r="R76" s="185">
        <v>162</v>
      </c>
      <c r="S76" s="185">
        <v>1487</v>
      </c>
      <c r="T76" s="185">
        <v>247</v>
      </c>
      <c r="U76" s="185">
        <v>1900</v>
      </c>
      <c r="V76" s="185">
        <v>86</v>
      </c>
      <c r="W76" s="185"/>
      <c r="X76" s="185">
        <v>482</v>
      </c>
      <c r="Y76" s="185">
        <v>3965</v>
      </c>
      <c r="Z76" s="185"/>
      <c r="AA76" s="185">
        <v>559</v>
      </c>
      <c r="AB76" s="185">
        <v>961</v>
      </c>
      <c r="AC76" s="185">
        <v>917</v>
      </c>
      <c r="AD76" s="185"/>
      <c r="AE76" s="185">
        <v>1826</v>
      </c>
      <c r="AF76" s="185"/>
      <c r="AG76" s="185">
        <v>9020</v>
      </c>
      <c r="AH76" s="185"/>
      <c r="AI76" s="185"/>
      <c r="AJ76" s="185">
        <v>216</v>
      </c>
      <c r="AK76" s="185"/>
      <c r="AL76" s="185"/>
      <c r="AM76" s="185"/>
      <c r="AN76" s="185"/>
      <c r="AO76" s="185">
        <v>1973</v>
      </c>
      <c r="AP76" s="185"/>
      <c r="AQ76" s="185"/>
      <c r="AR76" s="185"/>
      <c r="AS76" s="185"/>
      <c r="AT76" s="185"/>
      <c r="AU76" s="185"/>
      <c r="AV76" s="185">
        <v>95</v>
      </c>
      <c r="AW76" s="185"/>
      <c r="AX76" s="185"/>
      <c r="AY76" s="185">
        <v>4839</v>
      </c>
      <c r="AZ76" s="185"/>
      <c r="BA76" s="185">
        <v>371</v>
      </c>
      <c r="BB76" s="185"/>
      <c r="BC76" s="185"/>
      <c r="BD76" s="185">
        <v>1605</v>
      </c>
      <c r="BE76" s="185">
        <v>29406</v>
      </c>
      <c r="BF76" s="185">
        <v>399</v>
      </c>
      <c r="BG76" s="185">
        <v>167</v>
      </c>
      <c r="BH76" s="185"/>
      <c r="BI76" s="185"/>
      <c r="BJ76" s="185"/>
      <c r="BK76" s="185"/>
      <c r="BL76" s="185">
        <v>827</v>
      </c>
      <c r="BM76" s="185"/>
      <c r="BN76" s="185">
        <v>3513</v>
      </c>
      <c r="BO76" s="185"/>
      <c r="BP76" s="185"/>
      <c r="BQ76" s="185"/>
      <c r="BR76" s="185"/>
      <c r="BS76" s="185"/>
      <c r="BT76" s="185"/>
      <c r="BU76" s="185"/>
      <c r="BV76" s="185">
        <v>1851</v>
      </c>
      <c r="BW76" s="185">
        <v>548</v>
      </c>
      <c r="BX76" s="185">
        <v>921</v>
      </c>
      <c r="BY76" s="185">
        <v>299</v>
      </c>
      <c r="BZ76" s="185"/>
      <c r="CA76" s="185"/>
      <c r="CB76" s="185"/>
      <c r="CC76" s="185">
        <v>704</v>
      </c>
      <c r="CD76" s="249" t="s">
        <v>221</v>
      </c>
      <c r="CE76" s="195">
        <f t="shared" si="8"/>
        <v>89368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28027</v>
      </c>
      <c r="D77" s="184"/>
      <c r="E77" s="184">
        <v>62806</v>
      </c>
      <c r="F77" s="184">
        <v>4908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16863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112604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1679</v>
      </c>
      <c r="D78" s="184"/>
      <c r="E78" s="184">
        <v>7076.76</v>
      </c>
      <c r="F78" s="184">
        <v>706.34</v>
      </c>
      <c r="G78" s="184"/>
      <c r="H78" s="184"/>
      <c r="I78" s="184"/>
      <c r="J78" s="184">
        <v>58.44</v>
      </c>
      <c r="K78" s="184"/>
      <c r="L78" s="184"/>
      <c r="M78" s="184"/>
      <c r="N78" s="184"/>
      <c r="O78" s="184">
        <v>173</v>
      </c>
      <c r="P78" s="184">
        <v>860</v>
      </c>
      <c r="Q78" s="184">
        <v>139</v>
      </c>
      <c r="R78" s="184">
        <v>29</v>
      </c>
      <c r="S78" s="184">
        <v>262</v>
      </c>
      <c r="T78" s="184">
        <v>44</v>
      </c>
      <c r="U78" s="184">
        <v>335</v>
      </c>
      <c r="V78" s="184">
        <v>15</v>
      </c>
      <c r="W78" s="184"/>
      <c r="X78" s="184">
        <v>85</v>
      </c>
      <c r="Y78" s="184">
        <v>699</v>
      </c>
      <c r="Z78" s="184"/>
      <c r="AA78" s="184">
        <v>99</v>
      </c>
      <c r="AB78" s="184">
        <v>169</v>
      </c>
      <c r="AC78" s="184">
        <v>162</v>
      </c>
      <c r="AD78" s="184"/>
      <c r="AE78" s="184">
        <v>322</v>
      </c>
      <c r="AF78" s="184"/>
      <c r="AG78" s="184">
        <v>1590</v>
      </c>
      <c r="AH78" s="184"/>
      <c r="AI78" s="184"/>
      <c r="AJ78" s="184">
        <v>38</v>
      </c>
      <c r="AK78" s="184"/>
      <c r="AL78" s="184"/>
      <c r="AM78" s="184"/>
      <c r="AN78" s="184"/>
      <c r="AO78" s="184">
        <v>348</v>
      </c>
      <c r="AP78" s="184"/>
      <c r="AQ78" s="184"/>
      <c r="AR78" s="184"/>
      <c r="AS78" s="184"/>
      <c r="AT78" s="184"/>
      <c r="AU78" s="184"/>
      <c r="AV78" s="184">
        <v>17</v>
      </c>
      <c r="AW78" s="184"/>
      <c r="AX78" s="249" t="s">
        <v>221</v>
      </c>
      <c r="AY78" s="249" t="s">
        <v>221</v>
      </c>
      <c r="AZ78" s="249" t="s">
        <v>221</v>
      </c>
      <c r="BA78" s="184">
        <v>65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>
        <v>146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326</v>
      </c>
      <c r="BW78" s="184">
        <v>927</v>
      </c>
      <c r="BX78" s="184">
        <v>162</v>
      </c>
      <c r="BY78" s="184">
        <v>53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16585.54</v>
      </c>
      <c r="CF78" s="195"/>
    </row>
    <row r="79" spans="1:84" ht="12.6" customHeight="1" x14ac:dyDescent="0.25">
      <c r="A79" s="171" t="s">
        <v>251</v>
      </c>
      <c r="B79" s="175"/>
      <c r="C79" s="225">
        <v>20150.93</v>
      </c>
      <c r="D79" s="225"/>
      <c r="E79" s="184">
        <v>43990.22</v>
      </c>
      <c r="F79" s="184">
        <v>8722.67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21416.21</v>
      </c>
      <c r="Q79" s="184"/>
      <c r="R79" s="184"/>
      <c r="S79" s="184">
        <v>1673.89</v>
      </c>
      <c r="T79" s="184"/>
      <c r="U79" s="184">
        <v>419.47</v>
      </c>
      <c r="V79" s="184"/>
      <c r="W79" s="184">
        <v>1627.07</v>
      </c>
      <c r="X79" s="184"/>
      <c r="Y79" s="184">
        <v>20516.669999999998</v>
      </c>
      <c r="Z79" s="184"/>
      <c r="AA79" s="184"/>
      <c r="AB79" s="184">
        <v>152.93</v>
      </c>
      <c r="AC79" s="184">
        <v>923.22</v>
      </c>
      <c r="AD79" s="184"/>
      <c r="AE79" s="184">
        <v>140.07</v>
      </c>
      <c r="AF79" s="184"/>
      <c r="AG79" s="184">
        <v>67737.149999999994</v>
      </c>
      <c r="AH79" s="184"/>
      <c r="AI79" s="184"/>
      <c r="AJ79" s="184">
        <v>1811.77</v>
      </c>
      <c r="AK79" s="184"/>
      <c r="AL79" s="184"/>
      <c r="AM79" s="184"/>
      <c r="AN79" s="184"/>
      <c r="AO79" s="184"/>
      <c r="AP79" s="184">
        <v>5248.97</v>
      </c>
      <c r="AQ79" s="184"/>
      <c r="AR79" s="184"/>
      <c r="AS79" s="184"/>
      <c r="AT79" s="184"/>
      <c r="AU79" s="184"/>
      <c r="AV79" s="184">
        <v>10034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204565.24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10.59</v>
      </c>
      <c r="D80" s="187"/>
      <c r="E80" s="187">
        <v>24.77</v>
      </c>
      <c r="F80" s="187">
        <v>13.02</v>
      </c>
      <c r="G80" s="187"/>
      <c r="H80" s="187"/>
      <c r="I80" s="187"/>
      <c r="J80" s="187">
        <v>0.04</v>
      </c>
      <c r="K80" s="187"/>
      <c r="L80" s="187"/>
      <c r="M80" s="187"/>
      <c r="N80" s="187"/>
      <c r="O80" s="187"/>
      <c r="P80" s="187">
        <v>5.39</v>
      </c>
      <c r="Q80" s="187">
        <v>4.5999999999999996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23.25</v>
      </c>
      <c r="AH80" s="187"/>
      <c r="AI80" s="187"/>
      <c r="AJ80" s="187"/>
      <c r="AK80" s="187"/>
      <c r="AL80" s="187"/>
      <c r="AM80" s="187"/>
      <c r="AN80" s="187"/>
      <c r="AO80" s="187"/>
      <c r="AP80" s="187">
        <v>7.7</v>
      </c>
      <c r="AQ80" s="187"/>
      <c r="AR80" s="187"/>
      <c r="AS80" s="187"/>
      <c r="AT80" s="187"/>
      <c r="AU80" s="187"/>
      <c r="AV80" s="187">
        <v>2.0699999999999998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91.429999999999993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1423</v>
      </c>
      <c r="D111" s="174">
        <v>5659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135</v>
      </c>
      <c r="D114" s="174">
        <v>258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48</v>
      </c>
    </row>
    <row r="128" spans="1:5" ht="12.6" customHeight="1" x14ac:dyDescent="0.25">
      <c r="A128" s="173" t="s">
        <v>292</v>
      </c>
      <c r="B128" s="172" t="s">
        <v>256</v>
      </c>
      <c r="C128" s="189">
        <v>48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698.12379999999996</v>
      </c>
      <c r="C138" s="189">
        <v>298.68770000000001</v>
      </c>
      <c r="D138" s="174">
        <v>426</v>
      </c>
      <c r="E138" s="175">
        <f>SUM(B138:D138)</f>
        <v>1422.8115</v>
      </c>
    </row>
    <row r="139" spans="1:6" ht="12.6" customHeight="1" x14ac:dyDescent="0.25">
      <c r="A139" s="173" t="s">
        <v>215</v>
      </c>
      <c r="B139" s="174">
        <v>2908.7673999999997</v>
      </c>
      <c r="C139" s="189">
        <v>1244.4971</v>
      </c>
      <c r="D139" s="174">
        <v>1776</v>
      </c>
      <c r="E139" s="175">
        <f>SUM(B139:D139)</f>
        <v>5929.2644999999993</v>
      </c>
    </row>
    <row r="140" spans="1:6" ht="12.6" customHeight="1" x14ac:dyDescent="0.25">
      <c r="A140" s="173" t="s">
        <v>298</v>
      </c>
      <c r="B140" s="174">
        <v>16772.288199999999</v>
      </c>
      <c r="C140" s="174">
        <v>8588.6882000000005</v>
      </c>
      <c r="D140" s="174">
        <v>15557</v>
      </c>
      <c r="E140" s="175">
        <f>SUM(B140:D140)</f>
        <v>40917.9764</v>
      </c>
    </row>
    <row r="141" spans="1:6" ht="12.6" customHeight="1" x14ac:dyDescent="0.25">
      <c r="A141" s="173" t="s">
        <v>245</v>
      </c>
      <c r="B141" s="174">
        <v>27597893.190000001</v>
      </c>
      <c r="C141" s="189">
        <v>8753714</v>
      </c>
      <c r="D141" s="174">
        <v>18177621.809999999</v>
      </c>
      <c r="E141" s="175">
        <f>SUM(B141:D141)</f>
        <v>54529229</v>
      </c>
      <c r="F141" s="199"/>
    </row>
    <row r="142" spans="1:6" ht="12.6" customHeight="1" x14ac:dyDescent="0.25">
      <c r="A142" s="173" t="s">
        <v>246</v>
      </c>
      <c r="B142" s="174">
        <v>32907823</v>
      </c>
      <c r="C142" s="189">
        <v>31955024</v>
      </c>
      <c r="D142" s="174">
        <v>44606849</v>
      </c>
      <c r="E142" s="175">
        <f>SUM(B142:D142)</f>
        <v>109469696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1504101.08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40708.39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/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1787268.01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37010.74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912618.25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4589658-C165-C166-C168-C169-C170</f>
        <v>307951.5299999998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4589658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695252-C176</f>
        <v>521882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173370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695252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147336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147336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26480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494207.39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520687.39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55466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55466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>
        <v>20183.5</v>
      </c>
      <c r="C196" s="189"/>
      <c r="D196" s="174"/>
      <c r="E196" s="175">
        <f t="shared" si="10"/>
        <v>20183.5</v>
      </c>
    </row>
    <row r="197" spans="1:8" ht="12.6" customHeight="1" x14ac:dyDescent="0.25">
      <c r="A197" s="173" t="s">
        <v>334</v>
      </c>
      <c r="B197" s="174">
        <f>76126-36910</f>
        <v>39216</v>
      </c>
      <c r="C197" s="189">
        <v>36910.379999999997</v>
      </c>
      <c r="D197" s="174"/>
      <c r="E197" s="175">
        <f t="shared" si="10"/>
        <v>76126.38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43187.85</v>
      </c>
      <c r="C199" s="189">
        <f>51610.85+1981.9+41266.99-306.88</f>
        <v>94552.859999999986</v>
      </c>
      <c r="D199" s="174"/>
      <c r="E199" s="175">
        <f t="shared" si="10"/>
        <v>137740.71</v>
      </c>
    </row>
    <row r="200" spans="1:8" ht="12.6" customHeight="1" x14ac:dyDescent="0.25">
      <c r="A200" s="173" t="s">
        <v>337</v>
      </c>
      <c r="B200" s="174">
        <v>2363693.11</v>
      </c>
      <c r="C200" s="189">
        <v>1274693.52</v>
      </c>
      <c r="D200" s="174"/>
      <c r="E200" s="175">
        <f t="shared" si="10"/>
        <v>3638386.63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>
        <v>76909.5</v>
      </c>
      <c r="D202" s="174"/>
      <c r="E202" s="175">
        <f t="shared" si="10"/>
        <v>76909.5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2466280.46</v>
      </c>
      <c r="C204" s="191">
        <f>SUM(C195:C203)</f>
        <v>1483066.26</v>
      </c>
      <c r="D204" s="175">
        <f>SUM(D195:D203)</f>
        <v>0</v>
      </c>
      <c r="E204" s="175">
        <f>SUM(E195:E203)</f>
        <v>3949346.7199999997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1681.96</v>
      </c>
      <c r="C209" s="189">
        <v>1345.56</v>
      </c>
      <c r="D209" s="174"/>
      <c r="E209" s="175">
        <f t="shared" ref="E209:E216" si="11">SUM(B209:C209)-D209</f>
        <v>3027.52</v>
      </c>
      <c r="H209" s="259"/>
    </row>
    <row r="210" spans="1:8" ht="12.6" customHeight="1" x14ac:dyDescent="0.25">
      <c r="A210" s="173" t="s">
        <v>334</v>
      </c>
      <c r="B210" s="174">
        <v>1052.98</v>
      </c>
      <c r="C210" s="189">
        <v>4252.4799999999996</v>
      </c>
      <c r="D210" s="174"/>
      <c r="E210" s="175">
        <f t="shared" si="11"/>
        <v>5305.4599999999991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1783.34</v>
      </c>
      <c r="C212" s="189">
        <v>7989.29</v>
      </c>
      <c r="D212" s="174"/>
      <c r="E212" s="175">
        <f t="shared" si="11"/>
        <v>9772.6299999999992</v>
      </c>
      <c r="H212" s="259"/>
    </row>
    <row r="213" spans="1:8" ht="12.6" customHeight="1" x14ac:dyDescent="0.25">
      <c r="A213" s="173" t="s">
        <v>337</v>
      </c>
      <c r="B213" s="174">
        <v>170874.7</v>
      </c>
      <c r="C213" s="189">
        <v>527936.25</v>
      </c>
      <c r="D213" s="174"/>
      <c r="E213" s="175">
        <f t="shared" si="11"/>
        <v>698810.95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>
        <v>1281.83</v>
      </c>
      <c r="D215" s="174"/>
      <c r="E215" s="175">
        <f t="shared" si="11"/>
        <v>1281.83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175392.98</v>
      </c>
      <c r="C217" s="191">
        <f>SUM(C208:C216)</f>
        <v>542805.40999999992</v>
      </c>
      <c r="D217" s="175">
        <f>SUM(D208:D216)</f>
        <v>0</v>
      </c>
      <c r="E217" s="175">
        <f>SUM(E208:E216)</f>
        <v>718198.3899999999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5245874</v>
      </c>
      <c r="D221" s="172">
        <f>C221</f>
        <v>5245874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43060475.199999996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34138145.960000016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1573611.72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5048354.79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12346890.34+7810077.32</f>
        <v>20156967.66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103977555.33000001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1012324-C234</f>
        <v>1004881.2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7442.8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1012324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1462748.6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2628947+8018.19+1334227-C238</f>
        <v>2508443.59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3971192.19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114206945.52000001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2877.1600000000071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7600480.3200000003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25712903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18866249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347668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1226171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16023850.48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14007579.74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14007579.74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20183.5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76126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137740.71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3638386.63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76909.5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3949346.34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718198.3899999999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3231147.95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52136.959999999999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52136.959999999999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33314715.129999999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267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112046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1072713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SUM(C305:C313)</f>
        <v>1184759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513555.36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513555.36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513555.36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31616401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33314715.359999999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33314715.129999999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54529229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109469696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163998925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5245874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107948748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1012324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114206946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49791979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2394307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2394307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52186286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23401366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4589658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2248814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6805433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795553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4559398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542805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695249.91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147336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520687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55467.630000000005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302006+2+12576895</f>
        <v>12878903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57240670.539999999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-5054384.5399999991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375342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-4679042.5399999991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2011331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-2667711.5399999991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CASCADE VALLEY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1423</v>
      </c>
      <c r="C414" s="194">
        <f>E138</f>
        <v>1422.8115</v>
      </c>
      <c r="D414" s="179"/>
    </row>
    <row r="415" spans="1:5" ht="12.6" customHeight="1" x14ac:dyDescent="0.25">
      <c r="A415" s="179" t="s">
        <v>464</v>
      </c>
      <c r="B415" s="179">
        <f>D111</f>
        <v>5659</v>
      </c>
      <c r="C415" s="179">
        <f>E139</f>
        <v>5929.2644999999993</v>
      </c>
      <c r="D415" s="194">
        <f>SUM(C59:H59)+N59</f>
        <v>5657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135</v>
      </c>
    </row>
    <row r="424" spans="1:7" ht="12.6" customHeight="1" x14ac:dyDescent="0.25">
      <c r="A424" s="179" t="s">
        <v>1244</v>
      </c>
      <c r="B424" s="179">
        <f>D114</f>
        <v>258</v>
      </c>
      <c r="D424" s="179">
        <f>J59</f>
        <v>258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23401366</v>
      </c>
      <c r="C427" s="179">
        <f t="shared" ref="C427:C434" si="13">CE61</f>
        <v>21207399</v>
      </c>
      <c r="D427" s="179"/>
    </row>
    <row r="428" spans="1:7" ht="12.6" customHeight="1" x14ac:dyDescent="0.25">
      <c r="A428" s="179" t="s">
        <v>3</v>
      </c>
      <c r="B428" s="179">
        <f t="shared" si="12"/>
        <v>4589658</v>
      </c>
      <c r="C428" s="179">
        <f t="shared" si="13"/>
        <v>4589660</v>
      </c>
      <c r="D428" s="179">
        <f>D173</f>
        <v>4589658</v>
      </c>
    </row>
    <row r="429" spans="1:7" ht="12.6" customHeight="1" x14ac:dyDescent="0.25">
      <c r="A429" s="179" t="s">
        <v>236</v>
      </c>
      <c r="B429" s="179">
        <f t="shared" si="12"/>
        <v>2248814</v>
      </c>
      <c r="C429" s="179">
        <f t="shared" si="13"/>
        <v>4442781</v>
      </c>
      <c r="D429" s="179"/>
    </row>
    <row r="430" spans="1:7" ht="12.6" customHeight="1" x14ac:dyDescent="0.25">
      <c r="A430" s="179" t="s">
        <v>237</v>
      </c>
      <c r="B430" s="179">
        <f t="shared" si="12"/>
        <v>6805433</v>
      </c>
      <c r="C430" s="179">
        <f t="shared" si="13"/>
        <v>6805433</v>
      </c>
      <c r="D430" s="179"/>
    </row>
    <row r="431" spans="1:7" ht="12.6" customHeight="1" x14ac:dyDescent="0.25">
      <c r="A431" s="179" t="s">
        <v>444</v>
      </c>
      <c r="B431" s="179">
        <f t="shared" si="12"/>
        <v>795553</v>
      </c>
      <c r="C431" s="179">
        <f t="shared" si="13"/>
        <v>795553</v>
      </c>
      <c r="D431" s="179"/>
    </row>
    <row r="432" spans="1:7" ht="12.6" customHeight="1" x14ac:dyDescent="0.25">
      <c r="A432" s="179" t="s">
        <v>445</v>
      </c>
      <c r="B432" s="179">
        <f t="shared" si="12"/>
        <v>4559398</v>
      </c>
      <c r="C432" s="179">
        <f t="shared" si="13"/>
        <v>4559398</v>
      </c>
      <c r="D432" s="179"/>
    </row>
    <row r="433" spans="1:7" ht="12.6" customHeight="1" x14ac:dyDescent="0.25">
      <c r="A433" s="179" t="s">
        <v>6</v>
      </c>
      <c r="B433" s="179">
        <f t="shared" si="12"/>
        <v>542805</v>
      </c>
      <c r="C433" s="179">
        <f t="shared" si="13"/>
        <v>542804</v>
      </c>
      <c r="D433" s="179">
        <f>C217</f>
        <v>542805.40999999992</v>
      </c>
    </row>
    <row r="434" spans="1:7" ht="12.6" customHeight="1" x14ac:dyDescent="0.25">
      <c r="A434" s="179" t="s">
        <v>474</v>
      </c>
      <c r="B434" s="179">
        <f t="shared" si="12"/>
        <v>695249.91</v>
      </c>
      <c r="C434" s="179">
        <f t="shared" si="13"/>
        <v>695250</v>
      </c>
      <c r="D434" s="179">
        <f>D177</f>
        <v>695252</v>
      </c>
    </row>
    <row r="435" spans="1:7" ht="12.6" customHeight="1" x14ac:dyDescent="0.25">
      <c r="A435" s="179" t="s">
        <v>447</v>
      </c>
      <c r="B435" s="179">
        <f t="shared" si="12"/>
        <v>147336</v>
      </c>
      <c r="C435" s="179"/>
      <c r="D435" s="179">
        <f>D181</f>
        <v>147336</v>
      </c>
    </row>
    <row r="436" spans="1:7" ht="12.6" customHeight="1" x14ac:dyDescent="0.25">
      <c r="A436" s="179" t="s">
        <v>475</v>
      </c>
      <c r="B436" s="179">
        <f t="shared" si="12"/>
        <v>520687</v>
      </c>
      <c r="C436" s="179"/>
      <c r="D436" s="179">
        <f>D186</f>
        <v>520687.39</v>
      </c>
    </row>
    <row r="437" spans="1:7" ht="12.6" customHeight="1" x14ac:dyDescent="0.25">
      <c r="A437" s="194" t="s">
        <v>449</v>
      </c>
      <c r="B437" s="194">
        <f t="shared" si="12"/>
        <v>55467.630000000005</v>
      </c>
      <c r="C437" s="194"/>
      <c r="D437" s="194">
        <f>D190</f>
        <v>55466</v>
      </c>
    </row>
    <row r="438" spans="1:7" ht="12.6" customHeight="1" x14ac:dyDescent="0.25">
      <c r="A438" s="194" t="s">
        <v>476</v>
      </c>
      <c r="B438" s="194">
        <f>C386+C387+C388</f>
        <v>723490.63</v>
      </c>
      <c r="C438" s="194">
        <f>CD69</f>
        <v>0</v>
      </c>
      <c r="D438" s="194">
        <f>D181+D186+D190</f>
        <v>723489.39</v>
      </c>
    </row>
    <row r="439" spans="1:7" ht="12.6" customHeight="1" x14ac:dyDescent="0.25">
      <c r="A439" s="179" t="s">
        <v>451</v>
      </c>
      <c r="B439" s="194">
        <f>C389</f>
        <v>12878903</v>
      </c>
      <c r="C439" s="194">
        <f>SUM(C69:CC69)</f>
        <v>13602393.530000001</v>
      </c>
      <c r="D439" s="179"/>
    </row>
    <row r="440" spans="1:7" ht="12.6" customHeight="1" x14ac:dyDescent="0.25">
      <c r="A440" s="179" t="s">
        <v>477</v>
      </c>
      <c r="B440" s="194">
        <f>B438+B439</f>
        <v>13602393.630000001</v>
      </c>
      <c r="C440" s="194">
        <f>CE69</f>
        <v>13602393.530000001</v>
      </c>
      <c r="D440" s="179"/>
    </row>
    <row r="441" spans="1:7" ht="12.6" customHeight="1" x14ac:dyDescent="0.25">
      <c r="A441" s="179" t="s">
        <v>478</v>
      </c>
      <c r="B441" s="179">
        <f>D390</f>
        <v>57240670.539999999</v>
      </c>
      <c r="C441" s="179">
        <f>SUM(C427:C437)+C440</f>
        <v>57240671.530000001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5245874</v>
      </c>
      <c r="C444" s="179">
        <f>C363</f>
        <v>5245874</v>
      </c>
      <c r="D444" s="179"/>
    </row>
    <row r="445" spans="1:7" ht="12.6" customHeight="1" x14ac:dyDescent="0.25">
      <c r="A445" s="179" t="s">
        <v>343</v>
      </c>
      <c r="B445" s="179">
        <f>D229</f>
        <v>103977555.33000001</v>
      </c>
      <c r="C445" s="179">
        <f>C364</f>
        <v>107948748</v>
      </c>
      <c r="D445" s="179"/>
    </row>
    <row r="446" spans="1:7" ht="12.6" customHeight="1" x14ac:dyDescent="0.25">
      <c r="A446" s="179" t="s">
        <v>351</v>
      </c>
      <c r="B446" s="179">
        <f>D236</f>
        <v>1012324</v>
      </c>
      <c r="C446" s="179">
        <f>C365</f>
        <v>1012324</v>
      </c>
      <c r="D446" s="179"/>
    </row>
    <row r="447" spans="1:7" ht="12.6" customHeight="1" x14ac:dyDescent="0.25">
      <c r="A447" s="179" t="s">
        <v>356</v>
      </c>
      <c r="B447" s="179">
        <f>D240</f>
        <v>3971192.19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114206945.52000001</v>
      </c>
      <c r="C448" s="179">
        <f>D367</f>
        <v>114206946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1004881.2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7442.8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2394307</v>
      </c>
      <c r="C458" s="194">
        <f>CE70</f>
        <v>2394307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54529229</v>
      </c>
      <c r="C463" s="194">
        <f>CE73</f>
        <v>54529229</v>
      </c>
      <c r="D463" s="194">
        <f>E141+E147+E153</f>
        <v>54529229</v>
      </c>
    </row>
    <row r="464" spans="1:7" ht="12.6" customHeight="1" x14ac:dyDescent="0.25">
      <c r="A464" s="179" t="s">
        <v>246</v>
      </c>
      <c r="B464" s="194">
        <f>C360</f>
        <v>109469696</v>
      </c>
      <c r="C464" s="194">
        <f>CE74</f>
        <v>109469696</v>
      </c>
      <c r="D464" s="194">
        <f>E142+E148+E154</f>
        <v>109469696</v>
      </c>
    </row>
    <row r="465" spans="1:7" ht="12.6" customHeight="1" x14ac:dyDescent="0.25">
      <c r="A465" s="179" t="s">
        <v>247</v>
      </c>
      <c r="B465" s="194">
        <f>D361</f>
        <v>163998925</v>
      </c>
      <c r="C465" s="194">
        <f>CE75</f>
        <v>163998925</v>
      </c>
      <c r="D465" s="194">
        <f>D463+D464</f>
        <v>163998925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20183.5</v>
      </c>
      <c r="C469" s="179">
        <f>E196</f>
        <v>20183.5</v>
      </c>
      <c r="D469" s="179"/>
    </row>
    <row r="470" spans="1:7" ht="12.6" customHeight="1" x14ac:dyDescent="0.25">
      <c r="A470" s="179" t="s">
        <v>334</v>
      </c>
      <c r="B470" s="179">
        <f t="shared" si="14"/>
        <v>76126</v>
      </c>
      <c r="C470" s="179">
        <f>E197</f>
        <v>76126.38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137740.71</v>
      </c>
      <c r="C472" s="179">
        <f>E199</f>
        <v>137740.71</v>
      </c>
      <c r="D472" s="179"/>
    </row>
    <row r="473" spans="1:7" ht="12.6" customHeight="1" x14ac:dyDescent="0.25">
      <c r="A473" s="179" t="s">
        <v>495</v>
      </c>
      <c r="B473" s="179">
        <f t="shared" si="14"/>
        <v>3638386.63</v>
      </c>
      <c r="C473" s="179">
        <f>SUM(E200:E201)</f>
        <v>3638386.63</v>
      </c>
      <c r="D473" s="179"/>
    </row>
    <row r="474" spans="1:7" ht="12.6" customHeight="1" x14ac:dyDescent="0.25">
      <c r="A474" s="179" t="s">
        <v>339</v>
      </c>
      <c r="B474" s="179">
        <f t="shared" si="14"/>
        <v>76909.5</v>
      </c>
      <c r="C474" s="179">
        <f>E202</f>
        <v>76909.5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3949346.34</v>
      </c>
      <c r="C476" s="179">
        <f>E204</f>
        <v>3949346.7199999997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718198.3899999999</v>
      </c>
      <c r="C478" s="179">
        <f>E217</f>
        <v>718198.3899999999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33314715.129999999</v>
      </c>
    </row>
    <row r="482" spans="1:12" ht="12.6" customHeight="1" x14ac:dyDescent="0.25">
      <c r="A482" s="180" t="s">
        <v>499</v>
      </c>
      <c r="C482" s="180">
        <f>D339</f>
        <v>33314715.359999999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106</v>
      </c>
      <c r="B493" s="261" t="s">
        <v>1265</v>
      </c>
      <c r="C493" s="261" t="str">
        <f>RIGHT(C82,4)</f>
        <v>2018</v>
      </c>
      <c r="D493" s="261" t="s">
        <v>1265</v>
      </c>
      <c r="E493" s="261" t="str">
        <f>RIGHT(C82,4)</f>
        <v>2018</v>
      </c>
      <c r="F493" s="261" t="s">
        <v>1265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1394072</v>
      </c>
      <c r="C496" s="240">
        <f>C71</f>
        <v>2029735.13</v>
      </c>
      <c r="D496" s="240">
        <v>643</v>
      </c>
      <c r="E496" s="180">
        <f>C59</f>
        <v>1656</v>
      </c>
      <c r="F496" s="263">
        <f t="shared" ref="F496:G511" si="15">IF(B496=0,"",IF(D496=0,"",B496/D496))</f>
        <v>2168.0746500777605</v>
      </c>
      <c r="G496" s="264">
        <f t="shared" si="15"/>
        <v>1225.6854649758454</v>
      </c>
      <c r="H496" s="265">
        <f>IF(B496=0,"",IF(C496=0,"",IF(D496=0,"",IF(E496=0,"",IF(G496/F496-1&lt;-0.25,G496/F496-1,IF(G496/F496-1&gt;0.25,G496/F496-1,""))))))</f>
        <v>-0.43466639170755272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4795893</v>
      </c>
      <c r="C498" s="240">
        <f>E71</f>
        <v>5114882</v>
      </c>
      <c r="D498" s="240">
        <v>3634</v>
      </c>
      <c r="E498" s="180">
        <f>E59</f>
        <v>3711</v>
      </c>
      <c r="F498" s="263">
        <f t="shared" si="15"/>
        <v>1319.7283984589983</v>
      </c>
      <c r="G498" s="263">
        <f t="shared" si="15"/>
        <v>1378.3028833198598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1750641</v>
      </c>
      <c r="C499" s="240">
        <f>F71</f>
        <v>2444260.59</v>
      </c>
      <c r="D499" s="240">
        <v>290</v>
      </c>
      <c r="E499" s="180">
        <f>F59</f>
        <v>290</v>
      </c>
      <c r="F499" s="263">
        <f t="shared" si="15"/>
        <v>6036.6931034482759</v>
      </c>
      <c r="G499" s="263">
        <f t="shared" si="15"/>
        <v>8428.4847931034474</v>
      </c>
      <c r="H499" s="265">
        <f t="shared" si="16"/>
        <v>0.3962089257591932</v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6472</v>
      </c>
      <c r="C503" s="240">
        <f>J71</f>
        <v>4330</v>
      </c>
      <c r="D503" s="240">
        <v>375</v>
      </c>
      <c r="E503" s="180">
        <f>J59</f>
        <v>258</v>
      </c>
      <c r="F503" s="263">
        <f t="shared" si="15"/>
        <v>17.258666666666667</v>
      </c>
      <c r="G503" s="263">
        <f t="shared" si="15"/>
        <v>16.782945736434108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52312</v>
      </c>
      <c r="C508" s="240">
        <f>O71</f>
        <v>59246</v>
      </c>
      <c r="D508" s="240">
        <v>291</v>
      </c>
      <c r="E508" s="180">
        <f>O59</f>
        <v>135</v>
      </c>
      <c r="F508" s="263">
        <f t="shared" si="15"/>
        <v>179.76632302405497</v>
      </c>
      <c r="G508" s="263">
        <f t="shared" si="15"/>
        <v>438.85925925925926</v>
      </c>
      <c r="H508" s="265">
        <f t="shared" si="16"/>
        <v>1.4412762739800513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2362361</v>
      </c>
      <c r="C509" s="240">
        <f>P71</f>
        <v>4808903.54</v>
      </c>
      <c r="D509" s="240">
        <v>0</v>
      </c>
      <c r="E509" s="180">
        <f>P59</f>
        <v>125991</v>
      </c>
      <c r="F509" s="263" t="str">
        <f t="shared" si="15"/>
        <v/>
      </c>
      <c r="G509" s="263">
        <f t="shared" si="15"/>
        <v>38.168627441642656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685630</v>
      </c>
      <c r="C510" s="240">
        <f>Q71</f>
        <v>1037520.9</v>
      </c>
      <c r="D510" s="240">
        <v>0</v>
      </c>
      <c r="E510" s="180">
        <f>Q59</f>
        <v>69922</v>
      </c>
      <c r="F510" s="263" t="str">
        <f t="shared" si="15"/>
        <v/>
      </c>
      <c r="G510" s="263">
        <f t="shared" si="15"/>
        <v>14.838261205343096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632898</v>
      </c>
      <c r="C511" s="240">
        <f>R71</f>
        <v>1123711.29</v>
      </c>
      <c r="D511" s="240">
        <v>0</v>
      </c>
      <c r="E511" s="180">
        <f>R59</f>
        <v>126995</v>
      </c>
      <c r="F511" s="263" t="str">
        <f t="shared" si="15"/>
        <v/>
      </c>
      <c r="G511" s="263">
        <f t="shared" si="15"/>
        <v>8.8484687586125439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1807629</v>
      </c>
      <c r="C512" s="240">
        <f>S71</f>
        <v>558587.75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55407</v>
      </c>
      <c r="C513" s="240">
        <f>T71</f>
        <v>61648.36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2028384</v>
      </c>
      <c r="C514" s="240">
        <f>U71</f>
        <v>2760905.91</v>
      </c>
      <c r="D514" s="240">
        <v>151904</v>
      </c>
      <c r="E514" s="180">
        <f>U59</f>
        <v>111782</v>
      </c>
      <c r="F514" s="263">
        <f t="shared" si="17"/>
        <v>13.353065093743417</v>
      </c>
      <c r="G514" s="263">
        <f t="shared" si="17"/>
        <v>24.699020504195669</v>
      </c>
      <c r="H514" s="265">
        <f t="shared" si="16"/>
        <v>0.84968921598146041</v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10032</v>
      </c>
      <c r="C515" s="240">
        <f>V71</f>
        <v>12321</v>
      </c>
      <c r="D515" s="240">
        <v>1232</v>
      </c>
      <c r="E515" s="180">
        <f>V59</f>
        <v>0</v>
      </c>
      <c r="F515" s="263">
        <f t="shared" si="17"/>
        <v>8.1428571428571423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264801</v>
      </c>
      <c r="C516" s="240">
        <f>W71</f>
        <v>134102</v>
      </c>
      <c r="D516" s="240">
        <v>3003.74</v>
      </c>
      <c r="E516" s="180">
        <f>W59</f>
        <v>8593</v>
      </c>
      <c r="F516" s="263">
        <f t="shared" si="17"/>
        <v>88.15709748513521</v>
      </c>
      <c r="G516" s="263">
        <f t="shared" si="17"/>
        <v>15.605958338182241</v>
      </c>
      <c r="H516" s="265">
        <f t="shared" si="16"/>
        <v>-0.82297558808791693</v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342663</v>
      </c>
      <c r="C517" s="240">
        <f>X71</f>
        <v>414960.11</v>
      </c>
      <c r="D517" s="240">
        <v>23180.25</v>
      </c>
      <c r="E517" s="180">
        <f>X59</f>
        <v>37259</v>
      </c>
      <c r="F517" s="263">
        <f t="shared" si="17"/>
        <v>14.782541171902805</v>
      </c>
      <c r="G517" s="263">
        <f t="shared" si="17"/>
        <v>11.137177863066642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2189620</v>
      </c>
      <c r="C518" s="240">
        <f>Y71</f>
        <v>2904148.58</v>
      </c>
      <c r="D518" s="240">
        <v>13174.87</v>
      </c>
      <c r="E518" s="180">
        <f>Y59</f>
        <v>37073</v>
      </c>
      <c r="F518" s="263">
        <f t="shared" si="17"/>
        <v>166.19670630526144</v>
      </c>
      <c r="G518" s="263">
        <f t="shared" si="17"/>
        <v>78.33594745502117</v>
      </c>
      <c r="H518" s="265">
        <f t="shared" si="16"/>
        <v>-0.52865523513361456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237778</v>
      </c>
      <c r="C520" s="240">
        <f>AA71</f>
        <v>285625.7</v>
      </c>
      <c r="D520" s="240">
        <v>584.11</v>
      </c>
      <c r="E520" s="180">
        <f>AA59</f>
        <v>3048</v>
      </c>
      <c r="F520" s="263">
        <f t="shared" si="17"/>
        <v>407.07743404495727</v>
      </c>
      <c r="G520" s="263">
        <f t="shared" si="17"/>
        <v>93.709219160104993</v>
      </c>
      <c r="H520" s="265">
        <f t="shared" si="16"/>
        <v>-0.76980001512499507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2031551</v>
      </c>
      <c r="C521" s="240">
        <f>AB71</f>
        <v>2235506.73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705861</v>
      </c>
      <c r="C522" s="240">
        <f>AC71</f>
        <v>994738.41999999993</v>
      </c>
      <c r="D522" s="240">
        <v>9819</v>
      </c>
      <c r="E522" s="180">
        <f>AC59</f>
        <v>9976</v>
      </c>
      <c r="F522" s="263">
        <f t="shared" si="17"/>
        <v>71.887259395050407</v>
      </c>
      <c r="G522" s="263">
        <f t="shared" si="17"/>
        <v>99.71315356856455</v>
      </c>
      <c r="H522" s="265">
        <f t="shared" si="16"/>
        <v>0.38707685350194354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48476</v>
      </c>
      <c r="C524" s="240">
        <f>AE71</f>
        <v>156704.79</v>
      </c>
      <c r="D524" s="240">
        <v>887</v>
      </c>
      <c r="E524" s="180">
        <f>AE59</f>
        <v>1055</v>
      </c>
      <c r="F524" s="263">
        <f t="shared" si="17"/>
        <v>54.65163472378805</v>
      </c>
      <c r="G524" s="263">
        <f t="shared" si="17"/>
        <v>148.535345971564</v>
      </c>
      <c r="H524" s="265">
        <f t="shared" si="16"/>
        <v>1.7178573289210592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4536945</v>
      </c>
      <c r="C526" s="240">
        <f>AG71</f>
        <v>6046086.9800000004</v>
      </c>
      <c r="D526" s="240">
        <v>18225</v>
      </c>
      <c r="E526" s="180">
        <f>AG59</f>
        <v>17270</v>
      </c>
      <c r="F526" s="263">
        <f t="shared" si="17"/>
        <v>248.94074074074075</v>
      </c>
      <c r="G526" s="263">
        <f t="shared" si="17"/>
        <v>350.09189229878405</v>
      </c>
      <c r="H526" s="265">
        <f t="shared" si="16"/>
        <v>0.40632622549873076</v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51252</v>
      </c>
      <c r="C529" s="240">
        <f>AJ71</f>
        <v>29572.23</v>
      </c>
      <c r="D529" s="240">
        <v>13587</v>
      </c>
      <c r="E529" s="180">
        <f>AJ59</f>
        <v>0</v>
      </c>
      <c r="F529" s="263">
        <f t="shared" si="18"/>
        <v>3.7721351291675869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362613</v>
      </c>
      <c r="C534" s="240">
        <f>AO71</f>
        <v>527430.78</v>
      </c>
      <c r="D534" s="240">
        <v>0</v>
      </c>
      <c r="E534" s="180">
        <f>AO59</f>
        <v>1328.5</v>
      </c>
      <c r="F534" s="263" t="str">
        <f t="shared" si="18"/>
        <v/>
      </c>
      <c r="G534" s="263">
        <f t="shared" si="18"/>
        <v>397.01225442228076</v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6668567</v>
      </c>
      <c r="C535" s="240">
        <f>AP71</f>
        <v>8304439.3300000001</v>
      </c>
      <c r="D535" s="240">
        <v>20802</v>
      </c>
      <c r="E535" s="180">
        <f>AP59</f>
        <v>20568</v>
      </c>
      <c r="F535" s="263">
        <f t="shared" si="18"/>
        <v>320.57335833092969</v>
      </c>
      <c r="G535" s="263">
        <f t="shared" si="18"/>
        <v>403.75531553870087</v>
      </c>
      <c r="H535" s="265">
        <f t="shared" si="16"/>
        <v>0.25947869667292189</v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1074439</v>
      </c>
      <c r="C541" s="240">
        <f>AV71</f>
        <v>1169227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29032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1066836</v>
      </c>
      <c r="C544" s="240">
        <f>AY71</f>
        <v>1683513.45</v>
      </c>
      <c r="D544" s="240">
        <v>0</v>
      </c>
      <c r="E544" s="180">
        <f>AY59</f>
        <v>112604</v>
      </c>
      <c r="F544" s="263" t="str">
        <f t="shared" ref="F544:G550" si="19">IF(B544=0,"",IF(D544=0,"",B544/D544))</f>
        <v/>
      </c>
      <c r="G544" s="263">
        <f t="shared" si="19"/>
        <v>14.950742868814606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192381</v>
      </c>
      <c r="C546" s="240">
        <f>BA71</f>
        <v>243672.06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4345</v>
      </c>
      <c r="C548" s="240">
        <f>BC71</f>
        <v>4549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256511</v>
      </c>
      <c r="C549" s="240">
        <f>BD71</f>
        <v>241098.8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914916</v>
      </c>
      <c r="C550" s="240">
        <f>BE71</f>
        <v>1132589.02</v>
      </c>
      <c r="D550" s="240">
        <v>89368</v>
      </c>
      <c r="E550" s="180">
        <f>BE59</f>
        <v>89368</v>
      </c>
      <c r="F550" s="263">
        <f t="shared" si="19"/>
        <v>10.237624205532182</v>
      </c>
      <c r="G550" s="263">
        <f t="shared" si="19"/>
        <v>12.67331729478113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730627</v>
      </c>
      <c r="C551" s="240">
        <f>BF71</f>
        <v>1101414.3400000001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147383</v>
      </c>
      <c r="C552" s="240">
        <f>BG71</f>
        <v>85705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90448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479362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429689</v>
      </c>
      <c r="C557" s="240">
        <f>BL71</f>
        <v>980587.85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437868</v>
      </c>
      <c r="C559" s="240">
        <f>BN71</f>
        <v>572204.92000000004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756316</v>
      </c>
      <c r="C567" s="240">
        <f>BV71</f>
        <v>956433.40999999992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262998</v>
      </c>
      <c r="C568" s="240">
        <f>BW71</f>
        <v>221551.11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1139461</v>
      </c>
      <c r="C569" s="240">
        <f>BX71</f>
        <v>440095.22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1254656</v>
      </c>
      <c r="C570" s="240">
        <f>BY71</f>
        <v>1588650.1400000001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1705807</v>
      </c>
      <c r="C574" s="240">
        <f>CC71</f>
        <v>4740980.09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-1114448</v>
      </c>
      <c r="C575" s="240">
        <f>CD71</f>
        <v>-2394307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59962</v>
      </c>
      <c r="E612" s="180">
        <f>SUM(C624:D647)+SUM(C668:D713)</f>
        <v>49510690.470774151</v>
      </c>
      <c r="F612" s="180">
        <f>CE64-(AX64+BD64+BE64+BG64+BJ64+BN64+BP64+BQ64+CB64+CC64+CD64)</f>
        <v>6657392</v>
      </c>
      <c r="G612" s="180">
        <f>CE77-(AX77+AY77+BD77+BE77+BG77+BJ77+BN77+BP77+BQ77+CB77+CC77+CD77)</f>
        <v>112604</v>
      </c>
      <c r="H612" s="197">
        <f>CE60-(AX60+AY60+AZ60+BD60+BE60+BG60+BJ60+BN60+BO60+BP60+BQ60+BR60+CB60+CC60+CD60)</f>
        <v>235.93</v>
      </c>
      <c r="I612" s="180">
        <f>CE78-(AX78+AY78+AZ78+BD78+BE78+BF78+BG78+BJ78+BN78+BO78+BP78+BQ78+BR78+CB78+CC78+CD78)</f>
        <v>16585.54</v>
      </c>
      <c r="J612" s="180">
        <f>CE79-(AX79+AY79+AZ79+BA79+BD79+BE79+BF79+BG79+BJ79+BN79+BO79+BP79+BQ79+BR79+CB79+CC79+CD79)</f>
        <v>204565.24</v>
      </c>
      <c r="K612" s="180">
        <f>CE75-(AW75+AX75+AY75+AZ75+BA75+BB75+BC75+BD75+BE75+BF75+BG75+BH75+BI75+BJ75+BK75+BL75+BM75+BN75+BO75+BP75+BQ75+BR75+BS75+BT75+BU75+BV75+BW75+BX75+CB75+CC75+CD75)</f>
        <v>163998925</v>
      </c>
      <c r="L612" s="197">
        <f>CE80-(AW80+AX80+AY80+AZ80+BA80+BB80+BC80+BD80+BE80+BF80+BG80+BH80+BI80+BJ80+BK80+BL80+BM80+BN80+BO80+BP80+BQ80+BR80+BS80+BT80+BU80+BV80+BW80+BX80+BY80+BZ80+CA80+CB80+CC80+CD80)</f>
        <v>91.429999999999993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1132589.02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-2394307</v>
      </c>
      <c r="D615" s="266">
        <f>SUM(C614:C615)</f>
        <v>-1261717.98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29032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85705</v>
      </c>
      <c r="D618" s="180">
        <f>(D615/D612)*BG76</f>
        <v>-3514.0072489243189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572204.92000000004</v>
      </c>
      <c r="D619" s="180">
        <f>(D615/D612)*BN76</f>
        <v>-73920.403984857083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4740980.09</v>
      </c>
      <c r="D620" s="180">
        <f>(D615/D612)*CC76</f>
        <v>-14813.539540375572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5335674.0592258433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241098.8</v>
      </c>
      <c r="D624" s="180">
        <f>(D615/D612)*BD76</f>
        <v>-33772.345116907374</v>
      </c>
      <c r="E624" s="180">
        <f>(E623/E612)*SUM(C624:D624)</f>
        <v>22343.182383286956</v>
      </c>
      <c r="F624" s="180">
        <f>SUM(C624:E624)</f>
        <v>229669.63726637955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1683513.45</v>
      </c>
      <c r="D625" s="180">
        <f>(D615/D612)*AY76</f>
        <v>-101822.04238050766</v>
      </c>
      <c r="E625" s="180">
        <f>(E623/E612)*SUM(C625:D625)</f>
        <v>170455.91029108054</v>
      </c>
      <c r="F625" s="180">
        <f>(F624/F612)*AY64</f>
        <v>11678.584339873803</v>
      </c>
      <c r="G625" s="180">
        <f>SUM(C625:F625)</f>
        <v>1763825.9022504468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1101414.3400000001</v>
      </c>
      <c r="D629" s="180">
        <f>(D615/D612)*BF76</f>
        <v>-8395.7418701844508</v>
      </c>
      <c r="E629" s="180">
        <f>(E623/E612)*SUM(C629:D629)</f>
        <v>117792.5600479202</v>
      </c>
      <c r="F629" s="180">
        <f>(F624/F612)*BF64</f>
        <v>1651.8887938739451</v>
      </c>
      <c r="G629" s="180">
        <f>(G625/G612)*BF77</f>
        <v>0</v>
      </c>
      <c r="H629" s="180">
        <f>(H628/H612)*BF60</f>
        <v>0</v>
      </c>
      <c r="I629" s="180">
        <f>SUM(C629:H629)</f>
        <v>1212463.0469716096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243672.06</v>
      </c>
      <c r="D630" s="180">
        <f>(D615/D612)*BA76</f>
        <v>-7806.5670021013311</v>
      </c>
      <c r="E630" s="180">
        <f>(E623/E612)*SUM(C630:D630)</f>
        <v>25418.780883257688</v>
      </c>
      <c r="F630" s="180">
        <f>(F624/F612)*BA64</f>
        <v>57.922880456829226</v>
      </c>
      <c r="G630" s="180">
        <f>(G625/G612)*BA77</f>
        <v>0</v>
      </c>
      <c r="H630" s="180">
        <f>(H628/H612)*BA60</f>
        <v>0</v>
      </c>
      <c r="I630" s="180">
        <f>(I629/I612)*BA78</f>
        <v>4751.7354305711251</v>
      </c>
      <c r="J630" s="180">
        <f>SUM(C630:I630)</f>
        <v>266093.93219218432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4549</v>
      </c>
      <c r="D633" s="180">
        <f>(D615/D612)*BC76</f>
        <v>0</v>
      </c>
      <c r="E633" s="180">
        <f>(E623/E612)*SUM(C633:D633)</f>
        <v>490.23718038725309</v>
      </c>
      <c r="F633" s="180">
        <f>(F624/F612)*BC64</f>
        <v>156.93340273860403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980587.85</v>
      </c>
      <c r="D637" s="180">
        <f>(D615/D612)*BL76</f>
        <v>-17401.700568026416</v>
      </c>
      <c r="E637" s="180">
        <f>(E623/E612)*SUM(C637:D637)</f>
        <v>103800.76106519809</v>
      </c>
      <c r="F637" s="180">
        <f>(F624/F612)*BL64</f>
        <v>410.63492917071966</v>
      </c>
      <c r="G637" s="180">
        <f>(G625/G612)*BL77</f>
        <v>0</v>
      </c>
      <c r="H637" s="180">
        <f>(H628/H612)*BL60</f>
        <v>0</v>
      </c>
      <c r="I637" s="180">
        <f>(I629/I612)*BL78</f>
        <v>10673.128813282836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956433.40999999992</v>
      </c>
      <c r="D642" s="180">
        <f>(D615/D612)*BV76</f>
        <v>-38948.667172209069</v>
      </c>
      <c r="E642" s="180">
        <f>(E623/E612)*SUM(C642:D642)</f>
        <v>98875.606368920693</v>
      </c>
      <c r="F642" s="180">
        <f>(F624/F612)*BV64</f>
        <v>23.286446878117765</v>
      </c>
      <c r="G642" s="180">
        <f>(G625/G612)*BV77</f>
        <v>0</v>
      </c>
      <c r="H642" s="180">
        <f>(H628/H612)*BV60</f>
        <v>0</v>
      </c>
      <c r="I642" s="180">
        <f>(I629/I612)*BV78</f>
        <v>23831.780774864412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221551.11</v>
      </c>
      <c r="D643" s="180">
        <f>(D615/D612)*BW76</f>
        <v>-11530.993846769621</v>
      </c>
      <c r="E643" s="180">
        <f>(E623/E612)*SUM(C643:D643)</f>
        <v>22633.47319577117</v>
      </c>
      <c r="F643" s="180">
        <f>(F624/F612)*BW64</f>
        <v>167.0414456056981</v>
      </c>
      <c r="G643" s="180">
        <f>(G625/G612)*BW77</f>
        <v>0</v>
      </c>
      <c r="H643" s="180">
        <f>(H628/H612)*BW60</f>
        <v>0</v>
      </c>
      <c r="I643" s="180">
        <f>(I629/I612)*BW78</f>
        <v>67767.057602145127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440095.22</v>
      </c>
      <c r="D644" s="180">
        <f>(D615/D612)*BX76</f>
        <v>-19379.644768019745</v>
      </c>
      <c r="E644" s="180">
        <f>(E623/E612)*SUM(C644:D644)</f>
        <v>45339.726829353101</v>
      </c>
      <c r="F644" s="180">
        <f>(F624/F612)*BX64</f>
        <v>61.717708836966942</v>
      </c>
      <c r="G644" s="180">
        <f>(G625/G612)*BX77</f>
        <v>0</v>
      </c>
      <c r="H644" s="180">
        <f>(H628/H612)*BX60</f>
        <v>0</v>
      </c>
      <c r="I644" s="180">
        <f>(I629/I612)*BX78</f>
        <v>11842.78676542342</v>
      </c>
      <c r="J644" s="180">
        <f>(J630/J612)*BX79</f>
        <v>0</v>
      </c>
      <c r="K644" s="180">
        <f>SUM(C631:J644)</f>
        <v>2902029.7561735515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1588650.1400000001</v>
      </c>
      <c r="D645" s="180">
        <f>(D615/D612)*BY76</f>
        <v>-6291.5459127447384</v>
      </c>
      <c r="E645" s="180">
        <f>(E623/E612)*SUM(C645:D645)</f>
        <v>170527.81172276853</v>
      </c>
      <c r="F645" s="180">
        <f>(F624/F612)*BY64</f>
        <v>451.23959283819318</v>
      </c>
      <c r="G645" s="180">
        <f>(G625/G612)*BY77</f>
        <v>0</v>
      </c>
      <c r="H645" s="180">
        <f>(H628/H612)*BY60</f>
        <v>0</v>
      </c>
      <c r="I645" s="180">
        <f>(I629/I612)*BY78</f>
        <v>3874.4919664656868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1757212.1373693277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11627769.41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2029735.13</v>
      </c>
      <c r="D668" s="180">
        <f>(D615/D612)*C76</f>
        <v>-77939.418263566928</v>
      </c>
      <c r="E668" s="180">
        <f>(E623/E612)*SUM(C668:D668)</f>
        <v>210341.35555366031</v>
      </c>
      <c r="F668" s="180">
        <f>(F624/F612)*C64</f>
        <v>4298.2296139828868</v>
      </c>
      <c r="G668" s="180">
        <f>(G625/G612)*C77</f>
        <v>439014.14303553407</v>
      </c>
      <c r="H668" s="180">
        <f>(H628/H612)*C60</f>
        <v>0</v>
      </c>
      <c r="I668" s="180">
        <f>(I629/I612)*C78</f>
        <v>122740.98135275261</v>
      </c>
      <c r="J668" s="180">
        <f>(J630/J612)*C79</f>
        <v>26211.883314239767</v>
      </c>
      <c r="K668" s="180">
        <f>(K644/K612)*C75</f>
        <v>202126.74188724821</v>
      </c>
      <c r="L668" s="180">
        <f>(L647/L612)*C80</f>
        <v>203531.40692049856</v>
      </c>
      <c r="M668" s="180">
        <f t="shared" ref="M668:M713" si="20">ROUND(SUM(D668:L668),0)</f>
        <v>1130325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5114882</v>
      </c>
      <c r="D670" s="180">
        <f>(D615/D612)*E76</f>
        <v>-124168.6034485174</v>
      </c>
      <c r="E670" s="180">
        <f>(E623/E612)*SUM(C670:D670)</f>
        <v>537839.8029558782</v>
      </c>
      <c r="F670" s="180">
        <f>(F624/F612)*E64</f>
        <v>9083.0252231790673</v>
      </c>
      <c r="G670" s="180">
        <f>(G625/G612)*E77</f>
        <v>983791.42496484646</v>
      </c>
      <c r="H670" s="180">
        <f>(H628/H612)*E60</f>
        <v>0</v>
      </c>
      <c r="I670" s="180">
        <f>(I629/I612)*E78</f>
        <v>517336.78808690025</v>
      </c>
      <c r="J670" s="180">
        <f>(J630/J612)*E79</f>
        <v>57221.503603443438</v>
      </c>
      <c r="K670" s="180">
        <f>(K644/K612)*E75</f>
        <v>241955.20253441887</v>
      </c>
      <c r="L670" s="180">
        <f>(L647/L612)*E80</f>
        <v>476059.76859497157</v>
      </c>
      <c r="M670" s="180">
        <f t="shared" si="20"/>
        <v>2699119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2444260.59</v>
      </c>
      <c r="D671" s="180">
        <f>(D615/D612)*F76</f>
        <v>-75877.306225276014</v>
      </c>
      <c r="E671" s="180">
        <f>(E623/E612)*SUM(C671:D671)</f>
        <v>255236.21523720029</v>
      </c>
      <c r="F671" s="180">
        <f>(F624/F612)*F64</f>
        <v>197.84855236445242</v>
      </c>
      <c r="G671" s="180">
        <f>(G625/G612)*F77</f>
        <v>76878.774539494101</v>
      </c>
      <c r="H671" s="180">
        <f>(H628/H612)*F60</f>
        <v>0</v>
      </c>
      <c r="I671" s="180">
        <f>(I629/I612)*F78</f>
        <v>51636.012369686287</v>
      </c>
      <c r="J671" s="180">
        <f>(J630/J612)*F79</f>
        <v>11346.25589134694</v>
      </c>
      <c r="K671" s="180">
        <f>(K644/K612)*F75</f>
        <v>20064.889124208945</v>
      </c>
      <c r="L671" s="180">
        <f>(L647/L612)*F80</f>
        <v>250234.08102973475</v>
      </c>
      <c r="M671" s="180">
        <f t="shared" si="20"/>
        <v>589717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4330</v>
      </c>
      <c r="D675" s="180">
        <f>(D615/D612)*J76</f>
        <v>-3429.8394106267301</v>
      </c>
      <c r="E675" s="180">
        <f>(E623/E612)*SUM(C675:D675)</f>
        <v>97.008614910986978</v>
      </c>
      <c r="F675" s="180">
        <f>(F624/F612)*J64</f>
        <v>52.506625405178134</v>
      </c>
      <c r="G675" s="180">
        <f>(G625/G612)*J77</f>
        <v>0</v>
      </c>
      <c r="H675" s="180">
        <f>(H628/H612)*J60</f>
        <v>0</v>
      </c>
      <c r="I675" s="180">
        <f>(I629/I612)*J78</f>
        <v>4272.1756701934855</v>
      </c>
      <c r="J675" s="180">
        <f>(J630/J612)*J79</f>
        <v>0</v>
      </c>
      <c r="K675" s="180">
        <f>(K644/K612)*J75</f>
        <v>8596.7178627860521</v>
      </c>
      <c r="L675" s="180">
        <f>(L647/L612)*J80</f>
        <v>768.76829809442324</v>
      </c>
      <c r="M675" s="180">
        <f t="shared" si="20"/>
        <v>10357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59246</v>
      </c>
      <c r="D680" s="180">
        <f>(D615/D612)*O76</f>
        <v>-20684.246261632368</v>
      </c>
      <c r="E680" s="180">
        <f>(E623/E612)*SUM(C680:D680)</f>
        <v>4155.7277255407707</v>
      </c>
      <c r="F680" s="180">
        <f>(F624/F612)*O64</f>
        <v>1823.0010553783366</v>
      </c>
      <c r="G680" s="180">
        <f>(G625/G612)*O77</f>
        <v>0</v>
      </c>
      <c r="H680" s="180">
        <f>(H628/H612)*O60</f>
        <v>0</v>
      </c>
      <c r="I680" s="180">
        <f>(I629/I612)*O78</f>
        <v>12646.926607520072</v>
      </c>
      <c r="J680" s="180">
        <f>(J630/J612)*O79</f>
        <v>0</v>
      </c>
      <c r="K680" s="180">
        <f>(K644/K612)*O75</f>
        <v>12487.445113281086</v>
      </c>
      <c r="L680" s="180">
        <f>(L647/L612)*O80</f>
        <v>0</v>
      </c>
      <c r="M680" s="180">
        <f t="shared" si="20"/>
        <v>10429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4808903.54</v>
      </c>
      <c r="D681" s="180">
        <f>(D615/D612)*P76</f>
        <v>-102663.72076348354</v>
      </c>
      <c r="E681" s="180">
        <f>(E623/E612)*SUM(C681:D681)</f>
        <v>507182.62018217758</v>
      </c>
      <c r="F681" s="180">
        <f>(F624/F612)*P64</f>
        <v>80811.698317588205</v>
      </c>
      <c r="G681" s="180">
        <f>(G625/G612)*P77</f>
        <v>0</v>
      </c>
      <c r="H681" s="180">
        <f>(H628/H612)*P60</f>
        <v>0</v>
      </c>
      <c r="I681" s="180">
        <f>(I629/I612)*P78</f>
        <v>62869.114927556431</v>
      </c>
      <c r="J681" s="180">
        <f>(J630/J612)*P79</f>
        <v>27857.731506846325</v>
      </c>
      <c r="K681" s="180">
        <f>(K644/K612)*P75</f>
        <v>280125.58469001885</v>
      </c>
      <c r="L681" s="180">
        <f>(L647/L612)*P80</f>
        <v>103591.52816822352</v>
      </c>
      <c r="M681" s="180">
        <f t="shared" si="20"/>
        <v>959775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1037520.9</v>
      </c>
      <c r="D682" s="180">
        <f>(D615/D612)*Q76</f>
        <v>-16538.980225476134</v>
      </c>
      <c r="E682" s="180">
        <f>(E623/E612)*SUM(C682:D682)</f>
        <v>110029.30261082156</v>
      </c>
      <c r="F682" s="180">
        <f>(F624/F612)*Q64</f>
        <v>279.33386721795489</v>
      </c>
      <c r="G682" s="180">
        <f>(G625/G612)*Q77</f>
        <v>0</v>
      </c>
      <c r="H682" s="180">
        <f>(H628/H612)*Q60</f>
        <v>0</v>
      </c>
      <c r="I682" s="180">
        <f>(I629/I612)*Q78</f>
        <v>10161.40345922133</v>
      </c>
      <c r="J682" s="180">
        <f>(J630/J612)*Q79</f>
        <v>0</v>
      </c>
      <c r="K682" s="180">
        <f>(K644/K612)*Q75</f>
        <v>29276.593592218513</v>
      </c>
      <c r="L682" s="180">
        <f>(L647/L612)*Q80</f>
        <v>88408.354280858664</v>
      </c>
      <c r="M682" s="180">
        <f t="shared" si="20"/>
        <v>221616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1123711.29</v>
      </c>
      <c r="D683" s="180">
        <f>(D615/D612)*R76</f>
        <v>-3408.7974510523331</v>
      </c>
      <c r="E683" s="180">
        <f>(E623/E612)*SUM(C683:D683)</f>
        <v>120732.8940707865</v>
      </c>
      <c r="F683" s="180">
        <f>(F624/F612)*R64</f>
        <v>1736.4099714315578</v>
      </c>
      <c r="G683" s="180">
        <f>(G625/G612)*R77</f>
        <v>0</v>
      </c>
      <c r="H683" s="180">
        <f>(H628/H612)*R60</f>
        <v>0</v>
      </c>
      <c r="I683" s="180">
        <f>(I629/I612)*R78</f>
        <v>2120.0050382548097</v>
      </c>
      <c r="J683" s="180">
        <f>(J630/J612)*R79</f>
        <v>0</v>
      </c>
      <c r="K683" s="180">
        <f>(K644/K612)*R75</f>
        <v>28068.527310967165</v>
      </c>
      <c r="L683" s="180">
        <f>(L647/L612)*R80</f>
        <v>0</v>
      </c>
      <c r="M683" s="180">
        <f t="shared" si="20"/>
        <v>149249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558587.75</v>
      </c>
      <c r="D684" s="180">
        <f>(D615/D612)*S76</f>
        <v>-31289.393887128514</v>
      </c>
      <c r="E684" s="180">
        <f>(E623/E612)*SUM(C684:D684)</f>
        <v>56825.952808003472</v>
      </c>
      <c r="F684" s="180">
        <f>(F624/F612)*S64</f>
        <v>4686.5440525904332</v>
      </c>
      <c r="G684" s="180">
        <f>(G625/G612)*S77</f>
        <v>0</v>
      </c>
      <c r="H684" s="180">
        <f>(H628/H612)*S60</f>
        <v>0</v>
      </c>
      <c r="I684" s="180">
        <f>(I629/I612)*S78</f>
        <v>19153.148966302073</v>
      </c>
      <c r="J684" s="180">
        <f>(J630/J612)*S79</f>
        <v>2177.3590281377983</v>
      </c>
      <c r="K684" s="180">
        <f>(K644/K612)*S75</f>
        <v>103726.51386528875</v>
      </c>
      <c r="L684" s="180">
        <f>(L647/L612)*S80</f>
        <v>0</v>
      </c>
      <c r="M684" s="180">
        <f t="shared" si="20"/>
        <v>155280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61648.36</v>
      </c>
      <c r="D685" s="180">
        <f>(D615/D612)*T76</f>
        <v>-5197.3640148760887</v>
      </c>
      <c r="E685" s="180">
        <f>(E623/E612)*SUM(C685:D685)</f>
        <v>6083.6177405582084</v>
      </c>
      <c r="F685" s="180">
        <f>(F624/F612)*T64</f>
        <v>1265.9547476139401</v>
      </c>
      <c r="G685" s="180">
        <f>(G625/G612)*T77</f>
        <v>0</v>
      </c>
      <c r="H685" s="180">
        <f>(H628/H612)*T60</f>
        <v>0</v>
      </c>
      <c r="I685" s="180">
        <f>(I629/I612)*T78</f>
        <v>3216.5593683866082</v>
      </c>
      <c r="J685" s="180">
        <f>(J630/J612)*T79</f>
        <v>0</v>
      </c>
      <c r="K685" s="180">
        <f>(K644/K612)*T75</f>
        <v>17167.830453725455</v>
      </c>
      <c r="L685" s="180">
        <f>(L647/L612)*T80</f>
        <v>0</v>
      </c>
      <c r="M685" s="180">
        <f t="shared" si="20"/>
        <v>22537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2760905.91</v>
      </c>
      <c r="D686" s="180">
        <f>(D615/D612)*U76</f>
        <v>-39979.723191354526</v>
      </c>
      <c r="E686" s="180">
        <f>(E623/E612)*SUM(C686:D686)</f>
        <v>293229.10131081793</v>
      </c>
      <c r="F686" s="180">
        <f>(F624/F612)*U64</f>
        <v>29293.729200755399</v>
      </c>
      <c r="G686" s="180">
        <f>(G625/G612)*U77</f>
        <v>0</v>
      </c>
      <c r="H686" s="180">
        <f>(H628/H612)*U60</f>
        <v>0</v>
      </c>
      <c r="I686" s="180">
        <f>(I629/I612)*U78</f>
        <v>24489.713372943494</v>
      </c>
      <c r="J686" s="180">
        <f>(J630/J612)*U79</f>
        <v>545.63728293553481</v>
      </c>
      <c r="K686" s="180">
        <f>(K644/K612)*U75</f>
        <v>285037.28455263277</v>
      </c>
      <c r="L686" s="180">
        <f>(L647/L612)*U80</f>
        <v>0</v>
      </c>
      <c r="M686" s="180">
        <f t="shared" si="20"/>
        <v>592616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12321</v>
      </c>
      <c r="D687" s="180">
        <f>(D615/D612)*V76</f>
        <v>-1809.6085233981521</v>
      </c>
      <c r="E687" s="180">
        <f>(E623/E612)*SUM(C687:D687)</f>
        <v>1132.7929038109244</v>
      </c>
      <c r="F687" s="180">
        <f>(F624/F612)*V64</f>
        <v>407.04709142949855</v>
      </c>
      <c r="G687" s="180">
        <f>(G625/G612)*V77</f>
        <v>0</v>
      </c>
      <c r="H687" s="180">
        <f>(H628/H612)*V60</f>
        <v>0</v>
      </c>
      <c r="I687" s="180">
        <f>(I629/I612)*V78</f>
        <v>1096.5543301317982</v>
      </c>
      <c r="J687" s="180">
        <f>(J630/J612)*V79</f>
        <v>0</v>
      </c>
      <c r="K687" s="180">
        <f>(K644/K612)*V75</f>
        <v>3783.1567960680968</v>
      </c>
      <c r="L687" s="180">
        <f>(L647/L612)*V80</f>
        <v>0</v>
      </c>
      <c r="M687" s="180">
        <f t="shared" si="20"/>
        <v>4610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134102</v>
      </c>
      <c r="D688" s="180">
        <f>(D615/D612)*W76</f>
        <v>0</v>
      </c>
      <c r="E688" s="180">
        <f>(E623/E612)*SUM(C688:D688)</f>
        <v>14451.920502152432</v>
      </c>
      <c r="F688" s="180">
        <f>(F624/F612)*W64</f>
        <v>150.51669293218936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2116.4566094021516</v>
      </c>
      <c r="K688" s="180">
        <f>(K644/K612)*W75</f>
        <v>56634.862160006145</v>
      </c>
      <c r="L688" s="180">
        <f>(L647/L612)*W80</f>
        <v>0</v>
      </c>
      <c r="M688" s="180">
        <f t="shared" si="20"/>
        <v>73354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414960.11</v>
      </c>
      <c r="D689" s="180">
        <f>(D615/D612)*X76</f>
        <v>-10142.224514859412</v>
      </c>
      <c r="E689" s="180">
        <f>(E623/E612)*SUM(C689:D689)</f>
        <v>43626.462684230646</v>
      </c>
      <c r="F689" s="180">
        <f>(F624/F612)*X64</f>
        <v>2295.9746653027728</v>
      </c>
      <c r="G689" s="180">
        <f>(G625/G612)*X77</f>
        <v>0</v>
      </c>
      <c r="H689" s="180">
        <f>(H628/H612)*X60</f>
        <v>0</v>
      </c>
      <c r="I689" s="180">
        <f>(I629/I612)*X78</f>
        <v>6213.8078707468567</v>
      </c>
      <c r="J689" s="180">
        <f>(J630/J612)*X79</f>
        <v>0</v>
      </c>
      <c r="K689" s="180">
        <f>(K644/K612)*X75</f>
        <v>318979.75324140192</v>
      </c>
      <c r="L689" s="180">
        <f>(L647/L612)*X80</f>
        <v>0</v>
      </c>
      <c r="M689" s="180">
        <f t="shared" si="20"/>
        <v>360974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2904148.58</v>
      </c>
      <c r="D690" s="180">
        <f>(D615/D612)*Y76</f>
        <v>-83431.369712484578</v>
      </c>
      <c r="E690" s="180">
        <f>(E623/E612)*SUM(C690:D690)</f>
        <v>303983.39235901297</v>
      </c>
      <c r="F690" s="180">
        <f>(F624/F612)*Y64</f>
        <v>1704.2229270800262</v>
      </c>
      <c r="G690" s="180">
        <f>(G625/G612)*Y77</f>
        <v>0</v>
      </c>
      <c r="H690" s="180">
        <f>(H628/H612)*Y60</f>
        <v>0</v>
      </c>
      <c r="I690" s="180">
        <f>(I629/I612)*Y78</f>
        <v>51099.431784141794</v>
      </c>
      <c r="J690" s="180">
        <f>(J630/J612)*Y79</f>
        <v>26687.62980352587</v>
      </c>
      <c r="K690" s="180">
        <f>(K644/K612)*Y75</f>
        <v>192352.11073783878</v>
      </c>
      <c r="L690" s="180">
        <f>(L647/L612)*Y80</f>
        <v>0</v>
      </c>
      <c r="M690" s="180">
        <f t="shared" si="20"/>
        <v>492395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285625.7</v>
      </c>
      <c r="D692" s="180">
        <f>(D615/D612)*AA76</f>
        <v>-11762.45540208799</v>
      </c>
      <c r="E692" s="180">
        <f>(E623/E612)*SUM(C692:D692)</f>
        <v>29513.72715836118</v>
      </c>
      <c r="F692" s="180">
        <f>(F624/F612)*AA64</f>
        <v>2810.4843967698075</v>
      </c>
      <c r="G692" s="180">
        <f>(G625/G612)*AA77</f>
        <v>0</v>
      </c>
      <c r="H692" s="180">
        <f>(H628/H612)*AA60</f>
        <v>0</v>
      </c>
      <c r="I692" s="180">
        <f>(I629/I612)*AA78</f>
        <v>7237.258578869868</v>
      </c>
      <c r="J692" s="180">
        <f>(J630/J612)*AA79</f>
        <v>0</v>
      </c>
      <c r="K692" s="180">
        <f>(K644/K612)*AA75</f>
        <v>16747.104162484327</v>
      </c>
      <c r="L692" s="180">
        <f>(L647/L612)*AA80</f>
        <v>0</v>
      </c>
      <c r="M692" s="180">
        <f t="shared" si="20"/>
        <v>44546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2235506.73</v>
      </c>
      <c r="D693" s="180">
        <f>(D615/D612)*AB76</f>
        <v>-20221.323150995631</v>
      </c>
      <c r="E693" s="180">
        <f>(E623/E612)*SUM(C693:D693)</f>
        <v>238737.14478054183</v>
      </c>
      <c r="F693" s="180">
        <f>(F624/F612)*AB64</f>
        <v>32381.82254275219</v>
      </c>
      <c r="G693" s="180">
        <f>(G625/G612)*AB77</f>
        <v>0</v>
      </c>
      <c r="H693" s="180">
        <f>(H628/H612)*AB60</f>
        <v>0</v>
      </c>
      <c r="I693" s="180">
        <f>(I629/I612)*AB78</f>
        <v>12354.512119484925</v>
      </c>
      <c r="J693" s="180">
        <f>(J630/J612)*AB79</f>
        <v>198.92795594281196</v>
      </c>
      <c r="K693" s="180">
        <f>(K644/K612)*AB75</f>
        <v>97306.474149919813</v>
      </c>
      <c r="L693" s="180">
        <f>(L647/L612)*AB80</f>
        <v>0</v>
      </c>
      <c r="M693" s="180">
        <f t="shared" si="20"/>
        <v>360758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994738.41999999993</v>
      </c>
      <c r="D694" s="180">
        <f>(D615/D612)*AC76</f>
        <v>-19295.476929722157</v>
      </c>
      <c r="E694" s="180">
        <f>(E623/E612)*SUM(C694:D694)</f>
        <v>105121.65267958163</v>
      </c>
      <c r="F694" s="180">
        <f>(F624/F612)*AC64</f>
        <v>2153.0476291308591</v>
      </c>
      <c r="G694" s="180">
        <f>(G625/G612)*AC77</f>
        <v>0</v>
      </c>
      <c r="H694" s="180">
        <f>(H628/H612)*AC60</f>
        <v>0</v>
      </c>
      <c r="I694" s="180">
        <f>(I629/I612)*AC78</f>
        <v>11842.78676542342</v>
      </c>
      <c r="J694" s="180">
        <f>(J630/J612)*AC79</f>
        <v>1200.9041227066164</v>
      </c>
      <c r="K694" s="180">
        <f>(K644/K612)*AC75</f>
        <v>92110.054989439523</v>
      </c>
      <c r="L694" s="180">
        <f>(L647/L612)*AC80</f>
        <v>0</v>
      </c>
      <c r="M694" s="180">
        <f t="shared" si="20"/>
        <v>193133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156704.79</v>
      </c>
      <c r="D696" s="180">
        <f>(D615/D612)*AE76</f>
        <v>-38422.618182849139</v>
      </c>
      <c r="E696" s="180">
        <f>(E623/E612)*SUM(C696:D696)</f>
        <v>12747.047351444418</v>
      </c>
      <c r="F696" s="180">
        <f>(F624/F612)*AE64</f>
        <v>61.200232239675437</v>
      </c>
      <c r="G696" s="180">
        <f>(G625/G612)*AE77</f>
        <v>0</v>
      </c>
      <c r="H696" s="180">
        <f>(H628/H612)*AE60</f>
        <v>0</v>
      </c>
      <c r="I696" s="180">
        <f>(I629/I612)*AE78</f>
        <v>23539.366286829267</v>
      </c>
      <c r="J696" s="180">
        <f>(J630/J612)*AE79</f>
        <v>182.19995284711743</v>
      </c>
      <c r="K696" s="180">
        <f>(K644/K612)*AE75</f>
        <v>6519.2756272666738</v>
      </c>
      <c r="L696" s="180">
        <f>(L647/L612)*AE80</f>
        <v>0</v>
      </c>
      <c r="M696" s="180">
        <f t="shared" si="20"/>
        <v>4626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6046086.9800000004</v>
      </c>
      <c r="D698" s="180">
        <f>(D615/D612)*AG76</f>
        <v>-189798.47536106201</v>
      </c>
      <c r="E698" s="180">
        <f>(E623/E612)*SUM(C698:D698)</f>
        <v>631121.20555033546</v>
      </c>
      <c r="F698" s="180">
        <f>(F624/F612)*AG64</f>
        <v>11296.617614193032</v>
      </c>
      <c r="G698" s="180">
        <f>(G625/G612)*AG77</f>
        <v>264141.55971057236</v>
      </c>
      <c r="H698" s="180">
        <f>(H628/H612)*AG60</f>
        <v>0</v>
      </c>
      <c r="I698" s="180">
        <f>(I629/I612)*AG78</f>
        <v>116234.75899397061</v>
      </c>
      <c r="J698" s="180">
        <f>(J630/J612)*AG79</f>
        <v>88110.984050818297</v>
      </c>
      <c r="K698" s="180">
        <f>(K644/K612)*AG75</f>
        <v>670790.15427634376</v>
      </c>
      <c r="L698" s="180">
        <f>(L647/L612)*AG80</f>
        <v>446846.5732673835</v>
      </c>
      <c r="M698" s="180">
        <f t="shared" si="20"/>
        <v>2038743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29572.23</v>
      </c>
      <c r="D701" s="180">
        <f>(D615/D612)*AJ76</f>
        <v>-4545.0632680697772</v>
      </c>
      <c r="E701" s="180">
        <f>(E623/E612)*SUM(C701:D701)</f>
        <v>2697.1307214207818</v>
      </c>
      <c r="F701" s="180">
        <f>(F624/F612)*AJ64</f>
        <v>3.4498439819433728E-2</v>
      </c>
      <c r="G701" s="180">
        <f>(G625/G612)*AJ77</f>
        <v>0</v>
      </c>
      <c r="H701" s="180">
        <f>(H628/H612)*AJ60</f>
        <v>0</v>
      </c>
      <c r="I701" s="180">
        <f>(I629/I612)*AJ78</f>
        <v>2777.9376363338888</v>
      </c>
      <c r="J701" s="180">
        <f>(J630/J612)*AJ79</f>
        <v>2356.7102775028338</v>
      </c>
      <c r="K701" s="180">
        <f>(K644/K612)*AJ75</f>
        <v>880.34711428525634</v>
      </c>
      <c r="L701" s="180">
        <f>(L647/L612)*AJ80</f>
        <v>0</v>
      </c>
      <c r="M701" s="180">
        <f t="shared" si="20"/>
        <v>4167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527430.78</v>
      </c>
      <c r="D706" s="180">
        <f>(D615/D612)*AO76</f>
        <v>-41515.786240285517</v>
      </c>
      <c r="E706" s="180">
        <f>(E623/E612)*SUM(C706:D706)</f>
        <v>52366.145625115882</v>
      </c>
      <c r="F706" s="180">
        <f>(F624/F612)*AO64</f>
        <v>1194.5084787478929</v>
      </c>
      <c r="G706" s="180">
        <f>(G625/G612)*AO77</f>
        <v>0</v>
      </c>
      <c r="H706" s="180">
        <f>(H628/H612)*AO60</f>
        <v>0</v>
      </c>
      <c r="I706" s="180">
        <f>(I629/I612)*AO78</f>
        <v>25440.060459057717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37485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8304439.3300000001</v>
      </c>
      <c r="D707" s="180">
        <f>(D615/D612)*AP76</f>
        <v>0</v>
      </c>
      <c r="E707" s="180">
        <f>(E623/E612)*SUM(C707:D707)</f>
        <v>894953.81882528239</v>
      </c>
      <c r="F707" s="180">
        <f>(F624/F612)*AP64</f>
        <v>12500.302677932894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6827.7438887408725</v>
      </c>
      <c r="K707" s="180">
        <f>(K644/K612)*AP75</f>
        <v>119707.58332269955</v>
      </c>
      <c r="L707" s="180">
        <f>(L647/L612)*AP80</f>
        <v>147987.89738317649</v>
      </c>
      <c r="M707" s="180">
        <f t="shared" si="20"/>
        <v>1181977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1169227</v>
      </c>
      <c r="D713" s="180">
        <f>(D615/D612)*AV76</f>
        <v>-1998.9861595677262</v>
      </c>
      <c r="E713" s="180">
        <f>(E623/E612)*SUM(C713:D713)</f>
        <v>125789.96930625349</v>
      </c>
      <c r="F713" s="180">
        <f>(F624/F612)*AV64</f>
        <v>14526.327051648599</v>
      </c>
      <c r="G713" s="180">
        <f>(G625/G612)*AV77</f>
        <v>0</v>
      </c>
      <c r="H713" s="180">
        <f>(H628/H612)*AP60</f>
        <v>0</v>
      </c>
      <c r="I713" s="180">
        <f>(I629/I612)*AV78</f>
        <v>1242.7615741493712</v>
      </c>
      <c r="J713" s="180">
        <f>(J630/J612)*AV79</f>
        <v>13052.004903747957</v>
      </c>
      <c r="K713" s="180">
        <f>(K644/K612)*AV75</f>
        <v>97585.54860900309</v>
      </c>
      <c r="L713" s="180">
        <f>(L647/L612)*AV80</f>
        <v>39783.759426386401</v>
      </c>
      <c r="M713" s="180">
        <f t="shared" si="20"/>
        <v>289981</v>
      </c>
      <c r="N713" s="199" t="s">
        <v>741</v>
      </c>
    </row>
    <row r="715" spans="1:83" ht="12.6" customHeight="1" x14ac:dyDescent="0.25">
      <c r="C715" s="180">
        <f>SUM(C614:C647)+SUM(C668:C713)</f>
        <v>54846364.530000001</v>
      </c>
      <c r="D715" s="180">
        <f>SUM(D616:D647)+SUM(D668:D713)</f>
        <v>-1261717.98</v>
      </c>
      <c r="E715" s="180">
        <f>SUM(E624:E647)+SUM(E668:E713)</f>
        <v>5335674.0592258442</v>
      </c>
      <c r="F715" s="180">
        <f>SUM(F625:F648)+SUM(F668:F713)</f>
        <v>229669.63726637955</v>
      </c>
      <c r="G715" s="180">
        <f>SUM(G626:G647)+SUM(G668:G713)</f>
        <v>1763825.9022504468</v>
      </c>
      <c r="H715" s="180">
        <f>SUM(H629:H647)+SUM(H668:H713)</f>
        <v>0</v>
      </c>
      <c r="I715" s="180">
        <f>SUM(I630:I647)+SUM(I668:I713)</f>
        <v>1212463.0469716098</v>
      </c>
      <c r="J715" s="180">
        <f>SUM(J631:J647)+SUM(J668:J713)</f>
        <v>266093.93219218432</v>
      </c>
      <c r="K715" s="180">
        <f>SUM(K668:K713)</f>
        <v>2902029.7561735515</v>
      </c>
      <c r="L715" s="180">
        <f>SUM(L668:L713)</f>
        <v>1757212.1373693279</v>
      </c>
      <c r="M715" s="180">
        <f>SUM(M668:M713)</f>
        <v>11627769</v>
      </c>
      <c r="N715" s="198" t="s">
        <v>742</v>
      </c>
    </row>
    <row r="716" spans="1:83" ht="12.6" customHeight="1" x14ac:dyDescent="0.25">
      <c r="C716" s="180">
        <f>CE71</f>
        <v>54846364.530000001</v>
      </c>
      <c r="D716" s="180">
        <f>D615</f>
        <v>-1261717.98</v>
      </c>
      <c r="E716" s="180">
        <f>E623</f>
        <v>5335674.0592258433</v>
      </c>
      <c r="F716" s="180">
        <f>F624</f>
        <v>229669.63726637955</v>
      </c>
      <c r="G716" s="180">
        <f>G625</f>
        <v>1763825.9022504468</v>
      </c>
      <c r="H716" s="180">
        <f>H628</f>
        <v>0</v>
      </c>
      <c r="I716" s="180">
        <f>I629</f>
        <v>1212463.0469716096</v>
      </c>
      <c r="J716" s="180">
        <f>J630</f>
        <v>266093.93219218432</v>
      </c>
      <c r="K716" s="180">
        <f>K644</f>
        <v>2902029.7561735515</v>
      </c>
      <c r="L716" s="180">
        <f>L647</f>
        <v>1757212.1373693277</v>
      </c>
      <c r="M716" s="180">
        <f>C648</f>
        <v>11627769.41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106*2018*A</v>
      </c>
      <c r="B722" s="276">
        <f>ROUND(C165,0)</f>
        <v>1504101</v>
      </c>
      <c r="C722" s="276">
        <f>ROUND(C166,0)</f>
        <v>40708</v>
      </c>
      <c r="D722" s="276">
        <f>ROUND(C167,0)</f>
        <v>0</v>
      </c>
      <c r="E722" s="276">
        <f>ROUND(C168,0)</f>
        <v>1787268</v>
      </c>
      <c r="F722" s="276">
        <f>ROUND(C169,0)</f>
        <v>37011</v>
      </c>
      <c r="G722" s="276">
        <f>ROUND(C170,0)</f>
        <v>912618</v>
      </c>
      <c r="H722" s="276">
        <f>ROUND(C171+C172,0)</f>
        <v>307952</v>
      </c>
      <c r="I722" s="276">
        <f>ROUND(C175,0)</f>
        <v>521882</v>
      </c>
      <c r="J722" s="276">
        <f>ROUND(C176,0)</f>
        <v>173370</v>
      </c>
      <c r="K722" s="276">
        <f>ROUND(C179,0)</f>
        <v>147336</v>
      </c>
      <c r="L722" s="276">
        <f>ROUND(C180,0)</f>
        <v>0</v>
      </c>
      <c r="M722" s="276">
        <f>ROUND(C183,0)</f>
        <v>26480</v>
      </c>
      <c r="N722" s="276">
        <f>ROUND(C184,0)</f>
        <v>494207</v>
      </c>
      <c r="O722" s="276">
        <f>ROUND(C185,0)</f>
        <v>0</v>
      </c>
      <c r="P722" s="276">
        <f>ROUND(C188,0)</f>
        <v>0</v>
      </c>
      <c r="Q722" s="276">
        <f>ROUND(C189,0)</f>
        <v>55466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20184</v>
      </c>
      <c r="V722" s="276">
        <f>ROUND(C196,0)</f>
        <v>0</v>
      </c>
      <c r="W722" s="276">
        <f>ROUND(D196,0)</f>
        <v>0</v>
      </c>
      <c r="X722" s="276">
        <f>ROUND(B197,0)</f>
        <v>39216</v>
      </c>
      <c r="Y722" s="276">
        <f>ROUND(C197,0)</f>
        <v>36910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43188</v>
      </c>
      <c r="AE722" s="276">
        <f>ROUND(C199,0)</f>
        <v>94553</v>
      </c>
      <c r="AF722" s="276">
        <f>ROUND(D199,0)</f>
        <v>0</v>
      </c>
      <c r="AG722" s="276">
        <f>ROUND(B200,0)</f>
        <v>2363693</v>
      </c>
      <c r="AH722" s="276">
        <f>ROUND(C200,0)</f>
        <v>1274694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76910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1682</v>
      </c>
      <c r="AW722" s="276">
        <f>ROUND(C209,0)</f>
        <v>1346</v>
      </c>
      <c r="AX722" s="276">
        <f>ROUND(D209,0)</f>
        <v>0</v>
      </c>
      <c r="AY722" s="276">
        <f>ROUND(B210,0)</f>
        <v>1053</v>
      </c>
      <c r="AZ722" s="276">
        <f>ROUND(C210,0)</f>
        <v>4252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1783</v>
      </c>
      <c r="BF722" s="276">
        <f>ROUND(C212,0)</f>
        <v>7989</v>
      </c>
      <c r="BG722" s="276">
        <f>ROUND(D212,0)</f>
        <v>0</v>
      </c>
      <c r="BH722" s="276">
        <f>ROUND(B213,0)</f>
        <v>170875</v>
      </c>
      <c r="BI722" s="276">
        <f>ROUND(C213,0)</f>
        <v>527936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1282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43060475</v>
      </c>
      <c r="BU722" s="276">
        <f>ROUND(C224,0)</f>
        <v>34138146</v>
      </c>
      <c r="BV722" s="276">
        <f>ROUND(C225,0)</f>
        <v>1573612</v>
      </c>
      <c r="BW722" s="276">
        <f>ROUND(C226,0)</f>
        <v>5048355</v>
      </c>
      <c r="BX722" s="276">
        <f>ROUND(C227,0)</f>
        <v>20156968</v>
      </c>
      <c r="BY722" s="276">
        <f>ROUND(C228,0)</f>
        <v>0</v>
      </c>
      <c r="BZ722" s="276">
        <f>ROUND(C231,0)</f>
        <v>0</v>
      </c>
      <c r="CA722" s="276">
        <f>ROUND(C233,0)</f>
        <v>1004881</v>
      </c>
      <c r="CB722" s="276">
        <f>ROUND(C234,0)</f>
        <v>7443</v>
      </c>
      <c r="CC722" s="276">
        <f>ROUND(C238+C239,0)</f>
        <v>3971192</v>
      </c>
      <c r="CD722" s="276">
        <f>D221</f>
        <v>5245874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106*2018*A</v>
      </c>
      <c r="B726" s="276">
        <f>ROUND(C111,0)</f>
        <v>1423</v>
      </c>
      <c r="C726" s="276">
        <f>ROUND(C112,0)</f>
        <v>0</v>
      </c>
      <c r="D726" s="276">
        <f>ROUND(C113,0)</f>
        <v>0</v>
      </c>
      <c r="E726" s="276">
        <f>ROUND(C114,0)</f>
        <v>135</v>
      </c>
      <c r="F726" s="276">
        <f>ROUND(D111,0)</f>
        <v>5659</v>
      </c>
      <c r="G726" s="276">
        <f>ROUND(D112,0)</f>
        <v>0</v>
      </c>
      <c r="H726" s="276">
        <f>ROUND(D113,0)</f>
        <v>0</v>
      </c>
      <c r="I726" s="276">
        <f>ROUND(D114,0)</f>
        <v>258</v>
      </c>
      <c r="J726" s="276">
        <f>ROUND(C116,0)</f>
        <v>6</v>
      </c>
      <c r="K726" s="276">
        <f>ROUND(C117,0)</f>
        <v>0</v>
      </c>
      <c r="L726" s="276">
        <f>ROUND(C118,0)</f>
        <v>38</v>
      </c>
      <c r="M726" s="276">
        <f>ROUND(C119,0)</f>
        <v>0</v>
      </c>
      <c r="N726" s="276">
        <f>ROUND(C120,0)</f>
        <v>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48</v>
      </c>
      <c r="W726" s="276">
        <f>ROUND(C129,0)</f>
        <v>5</v>
      </c>
      <c r="X726" s="276">
        <f>ROUND(B138,0)</f>
        <v>698</v>
      </c>
      <c r="Y726" s="276">
        <f>ROUND(B139,0)</f>
        <v>2909</v>
      </c>
      <c r="Z726" s="276">
        <f>ROUND(B140,0)</f>
        <v>16772</v>
      </c>
      <c r="AA726" s="276">
        <f>ROUND(B141,0)</f>
        <v>27597893</v>
      </c>
      <c r="AB726" s="276">
        <f>ROUND(B142,0)</f>
        <v>32907823</v>
      </c>
      <c r="AC726" s="276">
        <f>ROUND(C138,0)</f>
        <v>299</v>
      </c>
      <c r="AD726" s="276">
        <f>ROUND(C139,0)</f>
        <v>1244</v>
      </c>
      <c r="AE726" s="276">
        <f>ROUND(C140,0)</f>
        <v>8589</v>
      </c>
      <c r="AF726" s="276">
        <f>ROUND(C141,0)</f>
        <v>8753714</v>
      </c>
      <c r="AG726" s="276">
        <f>ROUND(C142,0)</f>
        <v>31955024</v>
      </c>
      <c r="AH726" s="276">
        <f>ROUND(D138,0)</f>
        <v>426</v>
      </c>
      <c r="AI726" s="276">
        <f>ROUND(D139,0)</f>
        <v>1776</v>
      </c>
      <c r="AJ726" s="276">
        <f>ROUND(D140,0)</f>
        <v>15557</v>
      </c>
      <c r="AK726" s="276">
        <f>ROUND(D141,0)</f>
        <v>18177622</v>
      </c>
      <c r="AL726" s="276">
        <f>ROUND(D142,0)</f>
        <v>44606849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106*2018*A</v>
      </c>
      <c r="B730" s="276">
        <f>ROUND(C250,0)</f>
        <v>2877</v>
      </c>
      <c r="C730" s="276">
        <f>ROUND(C251,0)</f>
        <v>7600480</v>
      </c>
      <c r="D730" s="276">
        <f>ROUND(C252,0)</f>
        <v>25712903</v>
      </c>
      <c r="E730" s="276">
        <f>ROUND(C253,0)</f>
        <v>18866249</v>
      </c>
      <c r="F730" s="276">
        <f>ROUND(C254,0)</f>
        <v>0</v>
      </c>
      <c r="G730" s="276">
        <f>ROUND(C255,0)</f>
        <v>347668</v>
      </c>
      <c r="H730" s="276">
        <f>ROUND(C256,0)</f>
        <v>0</v>
      </c>
      <c r="I730" s="276">
        <f>ROUND(C257,0)</f>
        <v>1226171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14007580</v>
      </c>
      <c r="N730" s="276">
        <f>ROUND(C264,0)</f>
        <v>0</v>
      </c>
      <c r="O730" s="276">
        <f>ROUND(C267,0)</f>
        <v>0</v>
      </c>
      <c r="P730" s="276">
        <f>ROUND(C268,0)</f>
        <v>20184</v>
      </c>
      <c r="Q730" s="276">
        <f>ROUND(C269,0)</f>
        <v>76126</v>
      </c>
      <c r="R730" s="276">
        <f>ROUND(C270,0)</f>
        <v>0</v>
      </c>
      <c r="S730" s="276">
        <f>ROUND(C271,0)</f>
        <v>137741</v>
      </c>
      <c r="T730" s="276">
        <f>ROUND(C272,0)</f>
        <v>3638387</v>
      </c>
      <c r="U730" s="276">
        <f>ROUND(C273,0)</f>
        <v>76910</v>
      </c>
      <c r="V730" s="276">
        <f>ROUND(C274,0)</f>
        <v>0</v>
      </c>
      <c r="W730" s="276">
        <f>ROUND(C275,0)</f>
        <v>0</v>
      </c>
      <c r="X730" s="276">
        <f>ROUND(C276,0)</f>
        <v>718198</v>
      </c>
      <c r="Y730" s="276">
        <f>ROUND(C279,0)</f>
        <v>0</v>
      </c>
      <c r="Z730" s="276">
        <f>ROUND(C280,0)</f>
        <v>0</v>
      </c>
      <c r="AA730" s="276">
        <f>ROUND(C281,0)</f>
        <v>52137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ROUND(A304,0)</f>
        <v>0</v>
      </c>
      <c r="AH730" s="276">
        <f>ROUND(A305,0)</f>
        <v>0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1072713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513555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31616401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262.79000000000002</v>
      </c>
      <c r="BJ730" s="276">
        <f>ROUND(C359,0)</f>
        <v>54529229</v>
      </c>
      <c r="BK730" s="276">
        <f>ROUND(C360,0)</f>
        <v>109469696</v>
      </c>
      <c r="BL730" s="276">
        <f>ROUND(C364,0)</f>
        <v>107948748</v>
      </c>
      <c r="BM730" s="276">
        <f>ROUND(C365,0)</f>
        <v>1012324</v>
      </c>
      <c r="BN730" s="276">
        <f>ROUND(C366,0)</f>
        <v>0</v>
      </c>
      <c r="BO730" s="276">
        <f>ROUND(C370,0)</f>
        <v>2394307</v>
      </c>
      <c r="BP730" s="276">
        <f>ROUND(C371,0)</f>
        <v>0</v>
      </c>
      <c r="BQ730" s="276">
        <f>ROUND(C378,0)</f>
        <v>23401366</v>
      </c>
      <c r="BR730" s="276">
        <f>ROUND(C379,0)</f>
        <v>4589658</v>
      </c>
      <c r="BS730" s="276">
        <f>ROUND(C380,0)</f>
        <v>2248814</v>
      </c>
      <c r="BT730" s="276">
        <f>ROUND(C381,0)</f>
        <v>6805433</v>
      </c>
      <c r="BU730" s="276">
        <f>ROUND(C382,0)</f>
        <v>795553</v>
      </c>
      <c r="BV730" s="276">
        <f>ROUND(C383,0)</f>
        <v>4559398</v>
      </c>
      <c r="BW730" s="276">
        <f>ROUND(C384,0)</f>
        <v>542805</v>
      </c>
      <c r="BX730" s="276">
        <f>ROUND(C385,0)</f>
        <v>695250</v>
      </c>
      <c r="BY730" s="276">
        <f>ROUND(C386,0)</f>
        <v>147336</v>
      </c>
      <c r="BZ730" s="276">
        <f>ROUND(C387,0)</f>
        <v>520687</v>
      </c>
      <c r="CA730" s="276">
        <f>ROUND(C388,0)</f>
        <v>55468</v>
      </c>
      <c r="CB730" s="276">
        <f>C363</f>
        <v>5245874</v>
      </c>
      <c r="CC730" s="276">
        <f>ROUND(C389,0)</f>
        <v>12878903</v>
      </c>
      <c r="CD730" s="276">
        <f>ROUND(C392,0)</f>
        <v>375342</v>
      </c>
      <c r="CE730" s="276">
        <f>ROUND(C394,0)</f>
        <v>2011331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106*2018*6010*A</v>
      </c>
      <c r="B734" s="276">
        <f>ROUND(C59,0)</f>
        <v>1656</v>
      </c>
      <c r="C734" s="276">
        <f>ROUND(C60,2)</f>
        <v>12.86</v>
      </c>
      <c r="D734" s="276">
        <f>ROUND(C61,0)</f>
        <v>975253</v>
      </c>
      <c r="E734" s="276">
        <f>ROUND(C62,0)</f>
        <v>211062</v>
      </c>
      <c r="F734" s="276">
        <f>ROUND(C63,0)</f>
        <v>76569</v>
      </c>
      <c r="G734" s="276">
        <f>ROUND(C64,0)</f>
        <v>124592</v>
      </c>
      <c r="H734" s="276">
        <f>ROUND(C65,0)</f>
        <v>0</v>
      </c>
      <c r="I734" s="276">
        <f>ROUND(C66,0)</f>
        <v>0</v>
      </c>
      <c r="J734" s="276">
        <f>ROUND(C67,0)</f>
        <v>22497</v>
      </c>
      <c r="K734" s="276">
        <f>ROUND(C68,0)</f>
        <v>4294</v>
      </c>
      <c r="L734" s="276">
        <f>ROUND(C69,0)</f>
        <v>615468</v>
      </c>
      <c r="M734" s="276">
        <f>ROUND(C70,0)</f>
        <v>0</v>
      </c>
      <c r="N734" s="276">
        <f>ROUND(C75,0)</f>
        <v>11422546</v>
      </c>
      <c r="O734" s="276">
        <f>ROUND(C73,0)</f>
        <v>10485499</v>
      </c>
      <c r="P734" s="276">
        <f>IF(C76&gt;0,ROUND(C76,0),0)</f>
        <v>3704</v>
      </c>
      <c r="Q734" s="276">
        <f>IF(C77&gt;0,ROUND(C77,0),0)</f>
        <v>28027</v>
      </c>
      <c r="R734" s="276">
        <f>IF(C78&gt;0,ROUND(C78,0),0)</f>
        <v>1679</v>
      </c>
      <c r="S734" s="276">
        <f>IF(C79&gt;0,ROUND(C79,0),0)</f>
        <v>20151</v>
      </c>
      <c r="T734" s="276">
        <f>IF(C80&gt;0,ROUND(C80,2),0)</f>
        <v>10.59</v>
      </c>
      <c r="U734" s="276"/>
      <c r="V734" s="276"/>
      <c r="W734" s="276"/>
      <c r="X734" s="276"/>
      <c r="Y734" s="276">
        <f>IF(M668&lt;&gt;0,ROUND(M668,0),0)</f>
        <v>1130325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106*2018*6030*A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106*2018*6070*A</v>
      </c>
      <c r="B736" s="276">
        <f>ROUND(E59,0)</f>
        <v>3711</v>
      </c>
      <c r="C736" s="278">
        <f>ROUND(E60,2)</f>
        <v>46.51</v>
      </c>
      <c r="D736" s="276">
        <f>ROUND(E61,0)</f>
        <v>2664089</v>
      </c>
      <c r="E736" s="276">
        <f>ROUND(E62,0)</f>
        <v>576556</v>
      </c>
      <c r="F736" s="276">
        <f>ROUND(E63,0)</f>
        <v>175775</v>
      </c>
      <c r="G736" s="276">
        <f>ROUND(E64,0)</f>
        <v>263288</v>
      </c>
      <c r="H736" s="276">
        <f>ROUND(E65,0)</f>
        <v>0</v>
      </c>
      <c r="I736" s="276">
        <f>ROUND(E66,0)</f>
        <v>549</v>
      </c>
      <c r="J736" s="276">
        <f>ROUND(E67,0)</f>
        <v>35842</v>
      </c>
      <c r="K736" s="276">
        <f>ROUND(E68,0)</f>
        <v>34727</v>
      </c>
      <c r="L736" s="276">
        <f>ROUND(E69,0)</f>
        <v>1364056</v>
      </c>
      <c r="M736" s="276">
        <f>ROUND(E70,0)</f>
        <v>0</v>
      </c>
      <c r="N736" s="276">
        <f>ROUND(E75,0)</f>
        <v>13673324</v>
      </c>
      <c r="O736" s="276">
        <f>ROUND(E73,0)</f>
        <v>10917006</v>
      </c>
      <c r="P736" s="276">
        <f>IF(E76&gt;0,ROUND(E76,0),0)</f>
        <v>5901</v>
      </c>
      <c r="Q736" s="276">
        <f>IF(E77&gt;0,ROUND(E77,0),0)</f>
        <v>62806</v>
      </c>
      <c r="R736" s="276">
        <f>IF(E78&gt;0,ROUND(E78,0),0)</f>
        <v>7077</v>
      </c>
      <c r="S736" s="276">
        <f>IF(E79&gt;0,ROUND(E79,0),0)</f>
        <v>43990</v>
      </c>
      <c r="T736" s="278">
        <f>IF(E80&gt;0,ROUND(E80,2),0)</f>
        <v>24.77</v>
      </c>
      <c r="U736" s="276"/>
      <c r="V736" s="277"/>
      <c r="W736" s="276"/>
      <c r="X736" s="276"/>
      <c r="Y736" s="276">
        <f t="shared" si="21"/>
        <v>2699119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106*2018*6100*A</v>
      </c>
      <c r="B737" s="276">
        <f>ROUND(F59,0)</f>
        <v>290</v>
      </c>
      <c r="C737" s="278">
        <f>ROUND(F60,2)</f>
        <v>13.02</v>
      </c>
      <c r="D737" s="276">
        <f>ROUND(F61,0)</f>
        <v>1357629</v>
      </c>
      <c r="E737" s="276">
        <f>ROUND(F62,0)</f>
        <v>293815</v>
      </c>
      <c r="F737" s="276">
        <f>ROUND(F63,0)</f>
        <v>136987</v>
      </c>
      <c r="G737" s="276">
        <f>ROUND(F64,0)</f>
        <v>5735</v>
      </c>
      <c r="H737" s="276">
        <f>ROUND(F65,0)</f>
        <v>0</v>
      </c>
      <c r="I737" s="276">
        <f>ROUND(F66,0)</f>
        <v>5000</v>
      </c>
      <c r="J737" s="276">
        <f>ROUND(F67,0)</f>
        <v>21902</v>
      </c>
      <c r="K737" s="276">
        <f>ROUND(F68,0)</f>
        <v>0</v>
      </c>
      <c r="L737" s="276">
        <f>ROUND(F69,0)</f>
        <v>623193</v>
      </c>
      <c r="M737" s="276">
        <f>ROUND(F70,0)</f>
        <v>0</v>
      </c>
      <c r="N737" s="276">
        <f>ROUND(F75,0)</f>
        <v>1133903</v>
      </c>
      <c r="O737" s="276">
        <f>ROUND(F73,0)</f>
        <v>898344</v>
      </c>
      <c r="P737" s="276">
        <f>IF(F76&gt;0,ROUND(F76,0),0)</f>
        <v>3606</v>
      </c>
      <c r="Q737" s="276">
        <f>IF(F77&gt;0,ROUND(F77,0),0)</f>
        <v>4908</v>
      </c>
      <c r="R737" s="276">
        <f>IF(F78&gt;0,ROUND(F78,0),0)</f>
        <v>706</v>
      </c>
      <c r="S737" s="276">
        <f>IF(F79&gt;0,ROUND(F79,0),0)</f>
        <v>8723</v>
      </c>
      <c r="T737" s="278">
        <f>IF(F80&gt;0,ROUND(F80,2),0)</f>
        <v>13.02</v>
      </c>
      <c r="U737" s="276"/>
      <c r="V737" s="277"/>
      <c r="W737" s="276"/>
      <c r="X737" s="276"/>
      <c r="Y737" s="276">
        <f t="shared" si="21"/>
        <v>589717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106*2018*6120*A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106*2018*6140*A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106*2018*6150*A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106*2018*6170*A</v>
      </c>
      <c r="B741" s="276">
        <f>ROUND(J59,0)</f>
        <v>258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1522</v>
      </c>
      <c r="H741" s="276">
        <f>ROUND(J65,0)</f>
        <v>0</v>
      </c>
      <c r="I741" s="276">
        <f>ROUND(J66,0)</f>
        <v>1818</v>
      </c>
      <c r="J741" s="276">
        <f>ROUND(J67,0)</f>
        <v>990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485816</v>
      </c>
      <c r="O741" s="276">
        <f>ROUND(J73,0)</f>
        <v>484866</v>
      </c>
      <c r="P741" s="276">
        <f>IF(J76&gt;0,ROUND(J76,0),0)</f>
        <v>163</v>
      </c>
      <c r="Q741" s="276">
        <f>IF(J77&gt;0,ROUND(J77,0),0)</f>
        <v>0</v>
      </c>
      <c r="R741" s="276">
        <f>IF(J78&gt;0,ROUND(J78,0),0)</f>
        <v>58</v>
      </c>
      <c r="S741" s="276">
        <f>IF(J79&gt;0,ROUND(J79,0),0)</f>
        <v>0</v>
      </c>
      <c r="T741" s="278">
        <f>IF(J80&gt;0,ROUND(J80,2),0)</f>
        <v>0.04</v>
      </c>
      <c r="U741" s="276"/>
      <c r="V741" s="277"/>
      <c r="W741" s="276"/>
      <c r="X741" s="276"/>
      <c r="Y741" s="276">
        <f t="shared" si="21"/>
        <v>10357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106*2018*6200*A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106*2018*6210*A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106*2018*6330*A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106*2018*6400*A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106*2018*7010*A</v>
      </c>
      <c r="B746" s="276">
        <f>ROUND(O59,0)</f>
        <v>135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52843</v>
      </c>
      <c r="H746" s="276">
        <f>ROUND(O65,0)</f>
        <v>0</v>
      </c>
      <c r="I746" s="276">
        <f>ROUND(O66,0)</f>
        <v>432</v>
      </c>
      <c r="J746" s="276">
        <f>ROUND(O67,0)</f>
        <v>5971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705688</v>
      </c>
      <c r="O746" s="276">
        <f>ROUND(O73,0)</f>
        <v>575010</v>
      </c>
      <c r="P746" s="276">
        <f>IF(O76&gt;0,ROUND(O76,0),0)</f>
        <v>983</v>
      </c>
      <c r="Q746" s="276">
        <f>IF(O77&gt;0,ROUND(O77,0),0)</f>
        <v>0</v>
      </c>
      <c r="R746" s="276">
        <f>IF(O78&gt;0,ROUND(O78,0),0)</f>
        <v>173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10429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106*2018*7020*A</v>
      </c>
      <c r="B747" s="276">
        <f>ROUND(P59,0)</f>
        <v>125991</v>
      </c>
      <c r="C747" s="278">
        <f>ROUND(P60,2)</f>
        <v>12.85</v>
      </c>
      <c r="D747" s="276">
        <f>ROUND(P61,0)</f>
        <v>1165938</v>
      </c>
      <c r="E747" s="276">
        <f>ROUND(P62,0)</f>
        <v>252330</v>
      </c>
      <c r="F747" s="276">
        <f>ROUND(P63,0)</f>
        <v>309057</v>
      </c>
      <c r="G747" s="276">
        <f>ROUND(P64,0)</f>
        <v>2342474</v>
      </c>
      <c r="H747" s="276">
        <f>ROUND(P65,0)</f>
        <v>0</v>
      </c>
      <c r="I747" s="276">
        <f>ROUND(P66,0)</f>
        <v>90564</v>
      </c>
      <c r="J747" s="276">
        <f>ROUND(P67,0)</f>
        <v>29634</v>
      </c>
      <c r="K747" s="276">
        <f>ROUND(P68,0)</f>
        <v>49</v>
      </c>
      <c r="L747" s="276">
        <f>ROUND(P69,0)</f>
        <v>618858</v>
      </c>
      <c r="M747" s="276">
        <f>ROUND(P70,0)</f>
        <v>0</v>
      </c>
      <c r="N747" s="276">
        <f>ROUND(P75,0)</f>
        <v>15830401</v>
      </c>
      <c r="O747" s="276">
        <f>ROUND(P73,0)</f>
        <v>5850350</v>
      </c>
      <c r="P747" s="276">
        <f>IF(P76&gt;0,ROUND(P76,0),0)</f>
        <v>4879</v>
      </c>
      <c r="Q747" s="276">
        <f>IF(P77&gt;0,ROUND(P77,0),0)</f>
        <v>0</v>
      </c>
      <c r="R747" s="276">
        <f>IF(P78&gt;0,ROUND(P78,0),0)</f>
        <v>860</v>
      </c>
      <c r="S747" s="276">
        <f>IF(P79&gt;0,ROUND(P79,0),0)</f>
        <v>21416</v>
      </c>
      <c r="T747" s="278">
        <f>IF(P80&gt;0,ROUND(P80,2),0)</f>
        <v>5.39</v>
      </c>
      <c r="U747" s="276"/>
      <c r="V747" s="277"/>
      <c r="W747" s="276"/>
      <c r="X747" s="276"/>
      <c r="Y747" s="276">
        <f t="shared" si="21"/>
        <v>959775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106*2018*7030*A</v>
      </c>
      <c r="B748" s="276">
        <f>ROUND(Q59,0)</f>
        <v>69922</v>
      </c>
      <c r="C748" s="278">
        <f>ROUND(Q60,2)</f>
        <v>4.5999999999999996</v>
      </c>
      <c r="D748" s="276">
        <f>ROUND(Q61,0)</f>
        <v>629115</v>
      </c>
      <c r="E748" s="276">
        <f>ROUND(Q62,0)</f>
        <v>136152</v>
      </c>
      <c r="F748" s="276">
        <f>ROUND(Q63,0)</f>
        <v>39099</v>
      </c>
      <c r="G748" s="276">
        <f>ROUND(Q64,0)</f>
        <v>8097</v>
      </c>
      <c r="H748" s="276">
        <f>ROUND(Q65,0)</f>
        <v>0</v>
      </c>
      <c r="I748" s="276">
        <f>ROUND(Q66,0)</f>
        <v>0</v>
      </c>
      <c r="J748" s="276">
        <f>ROUND(Q67,0)</f>
        <v>4774</v>
      </c>
      <c r="K748" s="276">
        <f>ROUND(Q68,0)</f>
        <v>0</v>
      </c>
      <c r="L748" s="276">
        <f>ROUND(Q69,0)</f>
        <v>220284</v>
      </c>
      <c r="M748" s="276">
        <f>ROUND(Q70,0)</f>
        <v>0</v>
      </c>
      <c r="N748" s="276">
        <f>ROUND(Q75,0)</f>
        <v>1654473</v>
      </c>
      <c r="O748" s="276">
        <f>ROUND(Q73,0)</f>
        <v>568029</v>
      </c>
      <c r="P748" s="276">
        <f>IF(Q76&gt;0,ROUND(Q76,0),0)</f>
        <v>786</v>
      </c>
      <c r="Q748" s="276">
        <f>IF(Q77&gt;0,ROUND(Q77,0),0)</f>
        <v>0</v>
      </c>
      <c r="R748" s="276">
        <f>IF(Q78&gt;0,ROUND(Q78,0),0)</f>
        <v>139</v>
      </c>
      <c r="S748" s="276">
        <f>IF(Q79&gt;0,ROUND(Q79,0),0)</f>
        <v>0</v>
      </c>
      <c r="T748" s="278">
        <f>IF(Q80&gt;0,ROUND(Q80,2),0)</f>
        <v>4.5999999999999996</v>
      </c>
      <c r="U748" s="276"/>
      <c r="V748" s="277"/>
      <c r="W748" s="276"/>
      <c r="X748" s="276"/>
      <c r="Y748" s="276">
        <f t="shared" si="21"/>
        <v>221616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106*2018*7040*A</v>
      </c>
      <c r="B749" s="276">
        <f>ROUND(R59,0)</f>
        <v>126995</v>
      </c>
      <c r="C749" s="278">
        <f>ROUND(R60,2)</f>
        <v>1.02</v>
      </c>
      <c r="D749" s="276">
        <f>ROUND(R61,0)</f>
        <v>59684</v>
      </c>
      <c r="E749" s="276">
        <f>ROUND(R62,0)</f>
        <v>12917</v>
      </c>
      <c r="F749" s="276">
        <f>ROUND(R63,0)</f>
        <v>858104</v>
      </c>
      <c r="G749" s="276">
        <f>ROUND(R64,0)</f>
        <v>50333</v>
      </c>
      <c r="H749" s="276">
        <f>ROUND(R65,0)</f>
        <v>0</v>
      </c>
      <c r="I749" s="276">
        <f>ROUND(R66,0)</f>
        <v>92493</v>
      </c>
      <c r="J749" s="276">
        <f>ROUND(R67,0)</f>
        <v>984</v>
      </c>
      <c r="K749" s="276">
        <f>ROUND(R68,0)</f>
        <v>0</v>
      </c>
      <c r="L749" s="276">
        <f>ROUND(R69,0)</f>
        <v>49196</v>
      </c>
      <c r="M749" s="276">
        <f>ROUND(R70,0)</f>
        <v>0</v>
      </c>
      <c r="N749" s="276">
        <f>ROUND(R75,0)</f>
        <v>1586203</v>
      </c>
      <c r="O749" s="276">
        <f>ROUND(R73,0)</f>
        <v>732747</v>
      </c>
      <c r="P749" s="276">
        <f>IF(R76&gt;0,ROUND(R76,0),0)</f>
        <v>162</v>
      </c>
      <c r="Q749" s="276">
        <f>IF(R77&gt;0,ROUND(R77,0),0)</f>
        <v>0</v>
      </c>
      <c r="R749" s="276">
        <f>IF(R78&gt;0,ROUND(R78,0),0)</f>
        <v>29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149249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106*2018*7050*A</v>
      </c>
      <c r="B750" s="276"/>
      <c r="C750" s="278">
        <f>ROUND(S60,2)</f>
        <v>3.87</v>
      </c>
      <c r="D750" s="276">
        <f>ROUND(S61,0)</f>
        <v>98853</v>
      </c>
      <c r="E750" s="276">
        <f>ROUND(S62,0)</f>
        <v>21394</v>
      </c>
      <c r="F750" s="276">
        <f>ROUND(S63,0)</f>
        <v>93450</v>
      </c>
      <c r="G750" s="276">
        <f>ROUND(S64,0)</f>
        <v>135848</v>
      </c>
      <c r="H750" s="276">
        <f>ROUND(S65,0)</f>
        <v>0</v>
      </c>
      <c r="I750" s="276">
        <f>ROUND(S66,0)</f>
        <v>13250</v>
      </c>
      <c r="J750" s="276">
        <f>ROUND(S67,0)</f>
        <v>9032</v>
      </c>
      <c r="K750" s="276">
        <f>ROUND(S68,0)</f>
        <v>1466</v>
      </c>
      <c r="L750" s="276">
        <f>ROUND(S69,0)</f>
        <v>185295</v>
      </c>
      <c r="M750" s="276">
        <f>ROUND(S70,0)</f>
        <v>0</v>
      </c>
      <c r="N750" s="276">
        <f>ROUND(S75,0)</f>
        <v>5861772</v>
      </c>
      <c r="O750" s="276">
        <f>ROUND(S73,0)</f>
        <v>2449048</v>
      </c>
      <c r="P750" s="276">
        <f>IF(S76&gt;0,ROUND(S76,0),0)</f>
        <v>1487</v>
      </c>
      <c r="Q750" s="276">
        <f>IF(S77&gt;0,ROUND(S77,0),0)</f>
        <v>0</v>
      </c>
      <c r="R750" s="276">
        <f>IF(S78&gt;0,ROUND(S78,0),0)</f>
        <v>262</v>
      </c>
      <c r="S750" s="276">
        <f>IF(S79&gt;0,ROUND(S79,0),0)</f>
        <v>1674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155280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106*2018*7060*A</v>
      </c>
      <c r="B751" s="276"/>
      <c r="C751" s="278">
        <f>ROUND(T60,2)</f>
        <v>0.04</v>
      </c>
      <c r="D751" s="276">
        <f>ROUND(T61,0)</f>
        <v>17706</v>
      </c>
      <c r="E751" s="276">
        <f>ROUND(T62,0)</f>
        <v>3832</v>
      </c>
      <c r="F751" s="276">
        <f>ROUND(T63,0)</f>
        <v>0</v>
      </c>
      <c r="G751" s="276">
        <f>ROUND(T64,0)</f>
        <v>36696</v>
      </c>
      <c r="H751" s="276">
        <f>ROUND(T65,0)</f>
        <v>0</v>
      </c>
      <c r="I751" s="276">
        <f>ROUND(T66,0)</f>
        <v>0</v>
      </c>
      <c r="J751" s="276">
        <f>ROUND(T67,0)</f>
        <v>1500</v>
      </c>
      <c r="K751" s="276">
        <f>ROUND(T68,0)</f>
        <v>0</v>
      </c>
      <c r="L751" s="276">
        <f>ROUND(T69,0)</f>
        <v>1914</v>
      </c>
      <c r="M751" s="276">
        <f>ROUND(T70,0)</f>
        <v>0</v>
      </c>
      <c r="N751" s="276">
        <f>ROUND(T75,0)</f>
        <v>970185</v>
      </c>
      <c r="O751" s="276">
        <f>ROUND(T73,0)</f>
        <v>484338</v>
      </c>
      <c r="P751" s="276">
        <f>IF(T76&gt;0,ROUND(T76,0),0)</f>
        <v>247</v>
      </c>
      <c r="Q751" s="276">
        <f>IF(T77&gt;0,ROUND(T77,0),0)</f>
        <v>0</v>
      </c>
      <c r="R751" s="276">
        <f>IF(T78&gt;0,ROUND(T78,0),0)</f>
        <v>44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22537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106*2018*7070*A</v>
      </c>
      <c r="B752" s="276">
        <f>ROUND(U59,0)</f>
        <v>111782</v>
      </c>
      <c r="C752" s="278">
        <f>ROUND(U60,2)</f>
        <v>13.11</v>
      </c>
      <c r="D752" s="276">
        <f>ROUND(U61,0)</f>
        <v>803556</v>
      </c>
      <c r="E752" s="276">
        <f>ROUND(U62,0)</f>
        <v>173904</v>
      </c>
      <c r="F752" s="276">
        <f>ROUND(U63,0)</f>
        <v>2457</v>
      </c>
      <c r="G752" s="276">
        <f>ROUND(U64,0)</f>
        <v>849132</v>
      </c>
      <c r="H752" s="276">
        <f>ROUND(U65,0)</f>
        <v>0</v>
      </c>
      <c r="I752" s="276">
        <f>ROUND(U66,0)</f>
        <v>290810</v>
      </c>
      <c r="J752" s="276">
        <f>ROUND(U67,0)</f>
        <v>11540</v>
      </c>
      <c r="K752" s="276">
        <f>ROUND(U68,0)</f>
        <v>0</v>
      </c>
      <c r="L752" s="276">
        <f>ROUND(U69,0)</f>
        <v>629507</v>
      </c>
      <c r="M752" s="276">
        <f>ROUND(U70,0)</f>
        <v>0</v>
      </c>
      <c r="N752" s="276">
        <f>ROUND(U75,0)</f>
        <v>16107970</v>
      </c>
      <c r="O752" s="276">
        <f>ROUND(U73,0)</f>
        <v>4452922</v>
      </c>
      <c r="P752" s="276">
        <f>IF(U76&gt;0,ROUND(U76,0),0)</f>
        <v>1900</v>
      </c>
      <c r="Q752" s="276">
        <f>IF(U77&gt;0,ROUND(U77,0),0)</f>
        <v>0</v>
      </c>
      <c r="R752" s="276">
        <f>IF(U78&gt;0,ROUND(U78,0),0)</f>
        <v>335</v>
      </c>
      <c r="S752" s="276">
        <f>IF(U79&gt;0,ROUND(U79,0),0)</f>
        <v>419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592616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106*2018*7110*A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11799</v>
      </c>
      <c r="H753" s="276">
        <f>ROUND(V65,0)</f>
        <v>0</v>
      </c>
      <c r="I753" s="276">
        <f>ROUND(V66,0)</f>
        <v>0</v>
      </c>
      <c r="J753" s="276">
        <f>ROUND(V67,0)</f>
        <v>522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213793</v>
      </c>
      <c r="O753" s="276">
        <f>ROUND(V73,0)</f>
        <v>4065</v>
      </c>
      <c r="P753" s="276">
        <f>IF(V76&gt;0,ROUND(V76,0),0)</f>
        <v>86</v>
      </c>
      <c r="Q753" s="276">
        <f>IF(V77&gt;0,ROUND(V77,0),0)</f>
        <v>0</v>
      </c>
      <c r="R753" s="276">
        <f>IF(V78&gt;0,ROUND(V78,0),0)</f>
        <v>15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4610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106*2018*7120*A</v>
      </c>
      <c r="B754" s="276">
        <f>ROUND(W59,0)</f>
        <v>8593</v>
      </c>
      <c r="C754" s="278">
        <f>ROUND(W60,2)</f>
        <v>0</v>
      </c>
      <c r="D754" s="276">
        <f>ROUND(W61,0)</f>
        <v>304</v>
      </c>
      <c r="E754" s="276">
        <f>ROUND(W62,0)</f>
        <v>66</v>
      </c>
      <c r="F754" s="276">
        <f>ROUND(W63,0)</f>
        <v>0</v>
      </c>
      <c r="G754" s="276">
        <f>ROUND(W64,0)</f>
        <v>4363</v>
      </c>
      <c r="H754" s="276">
        <f>ROUND(W65,0)</f>
        <v>0</v>
      </c>
      <c r="I754" s="276">
        <f>ROUND(W66,0)</f>
        <v>129369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3200538</v>
      </c>
      <c r="O754" s="276">
        <f>ROUND(W73,0)</f>
        <v>217655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1627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73354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106*2018*7130*A</v>
      </c>
      <c r="B755" s="276">
        <f>ROUND(X59,0)</f>
        <v>37259</v>
      </c>
      <c r="C755" s="278">
        <f>ROUND(X60,2)</f>
        <v>1</v>
      </c>
      <c r="D755" s="276">
        <f>ROUND(X61,0)</f>
        <v>104353</v>
      </c>
      <c r="E755" s="276">
        <f>ROUND(X62,0)</f>
        <v>22584</v>
      </c>
      <c r="F755" s="276">
        <f>ROUND(X63,0)</f>
        <v>0</v>
      </c>
      <c r="G755" s="276">
        <f>ROUND(X64,0)</f>
        <v>66553</v>
      </c>
      <c r="H755" s="276">
        <f>ROUND(X65,0)</f>
        <v>0</v>
      </c>
      <c r="I755" s="276">
        <f>ROUND(X66,0)</f>
        <v>169937</v>
      </c>
      <c r="J755" s="276">
        <f>ROUND(X67,0)</f>
        <v>2928</v>
      </c>
      <c r="K755" s="276">
        <f>ROUND(X68,0)</f>
        <v>0</v>
      </c>
      <c r="L755" s="276">
        <f>ROUND(X69,0)</f>
        <v>48605</v>
      </c>
      <c r="M755" s="276">
        <f>ROUND(X70,0)</f>
        <v>0</v>
      </c>
      <c r="N755" s="276">
        <f>ROUND(X75,0)</f>
        <v>18026120</v>
      </c>
      <c r="O755" s="276">
        <f>ROUND(X73,0)</f>
        <v>2749347</v>
      </c>
      <c r="P755" s="276">
        <f>IF(X76&gt;0,ROUND(X76,0),0)</f>
        <v>482</v>
      </c>
      <c r="Q755" s="276">
        <f>IF(X77&gt;0,ROUND(X77,0),0)</f>
        <v>0</v>
      </c>
      <c r="R755" s="276">
        <f>IF(X78&gt;0,ROUND(X78,0),0)</f>
        <v>85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360974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106*2018*7140*A</v>
      </c>
      <c r="B756" s="276">
        <f>ROUND(Y59,0)</f>
        <v>37073</v>
      </c>
      <c r="C756" s="278">
        <f>ROUND(Y60,2)</f>
        <v>15.49</v>
      </c>
      <c r="D756" s="276">
        <f>ROUND(Y61,0)</f>
        <v>1334246</v>
      </c>
      <c r="E756" s="276">
        <f>ROUND(Y62,0)</f>
        <v>288755</v>
      </c>
      <c r="F756" s="276">
        <f>ROUND(Y63,0)</f>
        <v>13947</v>
      </c>
      <c r="G756" s="276">
        <f>ROUND(Y64,0)</f>
        <v>49400</v>
      </c>
      <c r="H756" s="276">
        <f>ROUND(Y65,0)</f>
        <v>0</v>
      </c>
      <c r="I756" s="276">
        <f>ROUND(Y66,0)</f>
        <v>450609</v>
      </c>
      <c r="J756" s="276">
        <f>ROUND(Y67,0)</f>
        <v>24083</v>
      </c>
      <c r="K756" s="276">
        <f>ROUND(Y68,0)</f>
        <v>0</v>
      </c>
      <c r="L756" s="276">
        <f>ROUND(Y69,0)</f>
        <v>743109</v>
      </c>
      <c r="M756" s="276">
        <f>ROUND(Y70,0)</f>
        <v>0</v>
      </c>
      <c r="N756" s="276">
        <f>ROUND(Y75,0)</f>
        <v>10870164</v>
      </c>
      <c r="O756" s="276">
        <f>ROUND(Y73,0)</f>
        <v>1489469</v>
      </c>
      <c r="P756" s="276">
        <f>IF(Y76&gt;0,ROUND(Y76,0),0)</f>
        <v>3965</v>
      </c>
      <c r="Q756" s="276">
        <f>IF(Y77&gt;0,ROUND(Y77,0),0)</f>
        <v>0</v>
      </c>
      <c r="R756" s="276">
        <f>IF(Y78&gt;0,ROUND(Y78,0),0)</f>
        <v>699</v>
      </c>
      <c r="S756" s="276">
        <f>IF(Y79&gt;0,ROUND(Y79,0),0)</f>
        <v>20517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492395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106*2018*7150*A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106*2018*7160*A</v>
      </c>
      <c r="B758" s="276">
        <f>ROUND(AA59,0)</f>
        <v>3048</v>
      </c>
      <c r="C758" s="278">
        <f>ROUND(AA60,2)</f>
        <v>1.01</v>
      </c>
      <c r="D758" s="276">
        <f>ROUND(AA61,0)</f>
        <v>103179</v>
      </c>
      <c r="E758" s="276">
        <f>ROUND(AA62,0)</f>
        <v>22330</v>
      </c>
      <c r="F758" s="276">
        <f>ROUND(AA63,0)</f>
        <v>0</v>
      </c>
      <c r="G758" s="276">
        <f>ROUND(AA64,0)</f>
        <v>81467</v>
      </c>
      <c r="H758" s="276">
        <f>ROUND(AA65,0)</f>
        <v>0</v>
      </c>
      <c r="I758" s="276">
        <f>ROUND(AA66,0)</f>
        <v>20309</v>
      </c>
      <c r="J758" s="276">
        <f>ROUND(AA67,0)</f>
        <v>3395</v>
      </c>
      <c r="K758" s="276">
        <f>ROUND(AA68,0)</f>
        <v>0</v>
      </c>
      <c r="L758" s="276">
        <f>ROUND(AA69,0)</f>
        <v>54946</v>
      </c>
      <c r="M758" s="276">
        <f>ROUND(AA70,0)</f>
        <v>0</v>
      </c>
      <c r="N758" s="276">
        <f>ROUND(AA75,0)</f>
        <v>946409</v>
      </c>
      <c r="O758" s="276">
        <f>ROUND(AA73,0)</f>
        <v>178757</v>
      </c>
      <c r="P758" s="276">
        <f>IF(AA76&gt;0,ROUND(AA76,0),0)</f>
        <v>559</v>
      </c>
      <c r="Q758" s="276">
        <f>IF(AA77&gt;0,ROUND(AA77,0),0)</f>
        <v>0</v>
      </c>
      <c r="R758" s="276">
        <f>IF(AA78&gt;0,ROUND(AA78,0),0)</f>
        <v>99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44546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106*2018*7170*A</v>
      </c>
      <c r="B759" s="276"/>
      <c r="C759" s="278">
        <f>ROUND(AB60,2)</f>
        <v>5.68</v>
      </c>
      <c r="D759" s="276">
        <f>ROUND(AB61,0)</f>
        <v>668388</v>
      </c>
      <c r="E759" s="276">
        <f>ROUND(AB62,0)</f>
        <v>144651</v>
      </c>
      <c r="F759" s="276">
        <f>ROUND(AB63,0)</f>
        <v>0</v>
      </c>
      <c r="G759" s="276">
        <f>ROUND(AB64,0)</f>
        <v>938646</v>
      </c>
      <c r="H759" s="276">
        <f>ROUND(AB65,0)</f>
        <v>0</v>
      </c>
      <c r="I759" s="276">
        <f>ROUND(AB66,0)</f>
        <v>203228</v>
      </c>
      <c r="J759" s="276">
        <f>ROUND(AB67,0)</f>
        <v>5837</v>
      </c>
      <c r="K759" s="276">
        <f>ROUND(AB68,0)</f>
        <v>0</v>
      </c>
      <c r="L759" s="276">
        <f>ROUND(AB69,0)</f>
        <v>274757</v>
      </c>
      <c r="M759" s="276">
        <f>ROUND(AB70,0)</f>
        <v>0</v>
      </c>
      <c r="N759" s="276">
        <f>ROUND(AB75,0)</f>
        <v>5498964</v>
      </c>
      <c r="O759" s="276">
        <f>ROUND(AB73,0)</f>
        <v>3294021</v>
      </c>
      <c r="P759" s="276">
        <f>IF(AB76&gt;0,ROUND(AB76,0),0)</f>
        <v>961</v>
      </c>
      <c r="Q759" s="276">
        <f>IF(AB77&gt;0,ROUND(AB77,0),0)</f>
        <v>0</v>
      </c>
      <c r="R759" s="276">
        <f>IF(AB78&gt;0,ROUND(AB78,0),0)</f>
        <v>169</v>
      </c>
      <c r="S759" s="276">
        <f>IF(AB79&gt;0,ROUND(AB79,0),0)</f>
        <v>153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360758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106*2018*7180*A</v>
      </c>
      <c r="B760" s="276">
        <f>ROUND(AC59,0)</f>
        <v>9976</v>
      </c>
      <c r="C760" s="278">
        <f>ROUND(AC60,2)</f>
        <v>5.81</v>
      </c>
      <c r="D760" s="276">
        <f>ROUND(AC61,0)</f>
        <v>484848</v>
      </c>
      <c r="E760" s="276">
        <f>ROUND(AC62,0)</f>
        <v>104930</v>
      </c>
      <c r="F760" s="276">
        <f>ROUND(AC63,0)</f>
        <v>0</v>
      </c>
      <c r="G760" s="276">
        <f>ROUND(AC64,0)</f>
        <v>62410</v>
      </c>
      <c r="H760" s="276">
        <f>ROUND(AC65,0)</f>
        <v>0</v>
      </c>
      <c r="I760" s="276">
        <f>ROUND(AC66,0)</f>
        <v>5942</v>
      </c>
      <c r="J760" s="276">
        <f>ROUND(AC67,0)</f>
        <v>5570</v>
      </c>
      <c r="K760" s="276">
        <f>ROUND(AC68,0)</f>
        <v>52951</v>
      </c>
      <c r="L760" s="276">
        <f>ROUND(AC69,0)</f>
        <v>278087</v>
      </c>
      <c r="M760" s="276">
        <f>ROUND(AC70,0)</f>
        <v>0</v>
      </c>
      <c r="N760" s="276">
        <f>ROUND(AC75,0)</f>
        <v>5205305</v>
      </c>
      <c r="O760" s="276">
        <f>ROUND(AC73,0)</f>
        <v>4040066</v>
      </c>
      <c r="P760" s="276">
        <f>IF(AC76&gt;0,ROUND(AC76,0),0)</f>
        <v>917</v>
      </c>
      <c r="Q760" s="276">
        <f>IF(AC77&gt;0,ROUND(AC77,0),0)</f>
        <v>0</v>
      </c>
      <c r="R760" s="276">
        <f>IF(AC78&gt;0,ROUND(AC78,0),0)</f>
        <v>162</v>
      </c>
      <c r="S760" s="276">
        <f>IF(AC79&gt;0,ROUND(AC79,0),0)</f>
        <v>923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193133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106*2018*7190*A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106*2018*7200*A</v>
      </c>
      <c r="B762" s="276">
        <f>ROUND(AE59,0)</f>
        <v>1055</v>
      </c>
      <c r="C762" s="278">
        <f>ROUND(AE60,2)</f>
        <v>0.91</v>
      </c>
      <c r="D762" s="276">
        <f>ROUND(AE61,0)</f>
        <v>82306</v>
      </c>
      <c r="E762" s="276">
        <f>ROUND(AE62,0)</f>
        <v>17812</v>
      </c>
      <c r="F762" s="276">
        <f>ROUND(AE63,0)</f>
        <v>0</v>
      </c>
      <c r="G762" s="276">
        <f>ROUND(AE64,0)</f>
        <v>1774</v>
      </c>
      <c r="H762" s="276">
        <f>ROUND(AE65,0)</f>
        <v>0</v>
      </c>
      <c r="I762" s="276">
        <f>ROUND(AE66,0)</f>
        <v>0</v>
      </c>
      <c r="J762" s="276">
        <f>ROUND(AE67,0)</f>
        <v>11091</v>
      </c>
      <c r="K762" s="276">
        <f>ROUND(AE68,0)</f>
        <v>0</v>
      </c>
      <c r="L762" s="276">
        <f>ROUND(AE69,0)</f>
        <v>43722</v>
      </c>
      <c r="M762" s="276">
        <f>ROUND(AE70,0)</f>
        <v>0</v>
      </c>
      <c r="N762" s="276">
        <f>ROUND(AE75,0)</f>
        <v>368416</v>
      </c>
      <c r="O762" s="276">
        <f>ROUND(AE73,0)</f>
        <v>212516</v>
      </c>
      <c r="P762" s="276">
        <f>IF(AE76&gt;0,ROUND(AE76,0),0)</f>
        <v>1826</v>
      </c>
      <c r="Q762" s="276">
        <f>IF(AE77&gt;0,ROUND(AE77,0),0)</f>
        <v>0</v>
      </c>
      <c r="R762" s="276">
        <f>IF(AE78&gt;0,ROUND(AE78,0),0)</f>
        <v>322</v>
      </c>
      <c r="S762" s="276">
        <f>IF(AE79&gt;0,ROUND(AE79,0),0)</f>
        <v>140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4626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106*2018*7220*A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106*2018*7230*A</v>
      </c>
      <c r="B764" s="276">
        <f>ROUND(AG59,0)</f>
        <v>17270</v>
      </c>
      <c r="C764" s="278">
        <f>ROUND(AG60,2)</f>
        <v>30.74</v>
      </c>
      <c r="D764" s="276">
        <f>ROUND(AG61,0)</f>
        <v>2581693</v>
      </c>
      <c r="E764" s="276">
        <f>ROUND(AG62,0)</f>
        <v>558724</v>
      </c>
      <c r="F764" s="276">
        <f>ROUND(AG63,0)</f>
        <v>941204</v>
      </c>
      <c r="G764" s="276">
        <f>ROUND(AG64,0)</f>
        <v>327453</v>
      </c>
      <c r="H764" s="276">
        <f>ROUND(AG65,0)</f>
        <v>0</v>
      </c>
      <c r="I764" s="276">
        <f>ROUND(AG66,0)</f>
        <v>98240</v>
      </c>
      <c r="J764" s="276">
        <f>ROUND(AG67,0)</f>
        <v>54786</v>
      </c>
      <c r="K764" s="276">
        <f>ROUND(AG68,0)</f>
        <v>0</v>
      </c>
      <c r="L764" s="276">
        <f>ROUND(AG69,0)</f>
        <v>1483987</v>
      </c>
      <c r="M764" s="276">
        <f>ROUND(AG70,0)</f>
        <v>0</v>
      </c>
      <c r="N764" s="276">
        <f>ROUND(AG75,0)</f>
        <v>37907559</v>
      </c>
      <c r="O764" s="276">
        <f>ROUND(AG73,0)</f>
        <v>4424133</v>
      </c>
      <c r="P764" s="276">
        <f>IF(AG76&gt;0,ROUND(AG76,0),0)</f>
        <v>9020</v>
      </c>
      <c r="Q764" s="276">
        <f>IF(AG77&gt;0,ROUND(AG77,0),0)</f>
        <v>16863</v>
      </c>
      <c r="R764" s="276">
        <f>IF(AG78&gt;0,ROUND(AG78,0),0)</f>
        <v>1590</v>
      </c>
      <c r="S764" s="276">
        <f>IF(AG79&gt;0,ROUND(AG79,0),0)</f>
        <v>67737</v>
      </c>
      <c r="T764" s="278">
        <f>IF(AG80&gt;0,ROUND(AG80,2),0)</f>
        <v>23.25</v>
      </c>
      <c r="U764" s="276"/>
      <c r="V764" s="277"/>
      <c r="W764" s="276"/>
      <c r="X764" s="276"/>
      <c r="Y764" s="276">
        <f t="shared" si="21"/>
        <v>2038743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106*2018*7240*A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106*2018*7250*A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106*2018*7260*A</v>
      </c>
      <c r="B767" s="276">
        <f>ROUND(AJ59,0)</f>
        <v>0</v>
      </c>
      <c r="C767" s="278">
        <f>ROUND(AJ60,2)</f>
        <v>0.19</v>
      </c>
      <c r="D767" s="276">
        <f>ROUND(AJ61,0)</f>
        <v>15756</v>
      </c>
      <c r="E767" s="276">
        <f>ROUND(AJ62,0)</f>
        <v>3410</v>
      </c>
      <c r="F767" s="276">
        <f>ROUND(AJ63,0)</f>
        <v>0</v>
      </c>
      <c r="G767" s="276">
        <f>ROUND(AJ64,0)</f>
        <v>1</v>
      </c>
      <c r="H767" s="276">
        <f>ROUND(AJ65,0)</f>
        <v>0</v>
      </c>
      <c r="I767" s="276">
        <f>ROUND(AJ66,0)</f>
        <v>0</v>
      </c>
      <c r="J767" s="276">
        <f>ROUND(AJ67,0)</f>
        <v>1312</v>
      </c>
      <c r="K767" s="276">
        <f>ROUND(AJ68,0)</f>
        <v>0</v>
      </c>
      <c r="L767" s="276">
        <f>ROUND(AJ69,0)</f>
        <v>9093</v>
      </c>
      <c r="M767" s="276">
        <f>ROUND(AJ70,0)</f>
        <v>0</v>
      </c>
      <c r="N767" s="276">
        <f>ROUND(AJ75,0)</f>
        <v>49750</v>
      </c>
      <c r="O767" s="276">
        <f>ROUND(AJ73,0)</f>
        <v>0</v>
      </c>
      <c r="P767" s="276">
        <f>IF(AJ76&gt;0,ROUND(AJ76,0),0)</f>
        <v>216</v>
      </c>
      <c r="Q767" s="276">
        <f>IF(AJ77&gt;0,ROUND(AJ77,0),0)</f>
        <v>0</v>
      </c>
      <c r="R767" s="276">
        <f>IF(AJ78&gt;0,ROUND(AJ78,0),0)</f>
        <v>38</v>
      </c>
      <c r="S767" s="276">
        <f>IF(AJ79&gt;0,ROUND(AJ79,0),0)</f>
        <v>1812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4167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106*2018*7310*A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106*2018*7320*A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106*2018*7330*A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106*2018*7340*A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106*2018*7350*A</v>
      </c>
      <c r="B772" s="276">
        <f>ROUND(AO59,0)</f>
        <v>1329</v>
      </c>
      <c r="C772" s="278">
        <f>ROUND(AO60,2)</f>
        <v>3.16</v>
      </c>
      <c r="D772" s="276">
        <f>ROUND(AO61,0)</f>
        <v>270949</v>
      </c>
      <c r="E772" s="276">
        <f>ROUND(AO62,0)</f>
        <v>58638</v>
      </c>
      <c r="F772" s="276">
        <f>ROUND(AO63,0)</f>
        <v>0</v>
      </c>
      <c r="G772" s="276">
        <f>ROUND(AO64,0)</f>
        <v>34625</v>
      </c>
      <c r="H772" s="276">
        <f>ROUND(AO65,0)</f>
        <v>0</v>
      </c>
      <c r="I772" s="276">
        <f>ROUND(AO66,0)</f>
        <v>0</v>
      </c>
      <c r="J772" s="276">
        <f>ROUND(AO67,0)</f>
        <v>11984</v>
      </c>
      <c r="K772" s="276">
        <f>ROUND(AO68,0)</f>
        <v>0</v>
      </c>
      <c r="L772" s="276">
        <f>ROUND(AO69,0)</f>
        <v>151235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1973</v>
      </c>
      <c r="Q772" s="276">
        <f>IF(AO77&gt;0,ROUND(AO77,0),0)</f>
        <v>0</v>
      </c>
      <c r="R772" s="276">
        <f>IF(AO78&gt;0,ROUND(AO78,0),0)</f>
        <v>348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37485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106*2018*7380*A</v>
      </c>
      <c r="B773" s="276">
        <f>ROUND(AP59,0)</f>
        <v>20568</v>
      </c>
      <c r="C773" s="278">
        <f>ROUND(AP60,2)</f>
        <v>24.74</v>
      </c>
      <c r="D773" s="276">
        <f>ROUND(AP61,0)</f>
        <v>3697330</v>
      </c>
      <c r="E773" s="276">
        <f>ROUND(AP62,0)</f>
        <v>800168</v>
      </c>
      <c r="F773" s="276">
        <f>ROUND(AP63,0)</f>
        <v>1673009</v>
      </c>
      <c r="G773" s="276">
        <f>ROUND(AP64,0)</f>
        <v>362344</v>
      </c>
      <c r="H773" s="276">
        <f>ROUND(AP65,0)</f>
        <v>0</v>
      </c>
      <c r="I773" s="276">
        <f>ROUND(AP66,0)</f>
        <v>72812</v>
      </c>
      <c r="J773" s="276">
        <f>ROUND(AP67,0)</f>
        <v>0</v>
      </c>
      <c r="K773" s="276">
        <f>ROUND(AP68,0)</f>
        <v>399498</v>
      </c>
      <c r="L773" s="276">
        <f>ROUND(AP69,0)</f>
        <v>1299278</v>
      </c>
      <c r="M773" s="276">
        <f>ROUND(AP70,0)</f>
        <v>0</v>
      </c>
      <c r="N773" s="276">
        <f>ROUND(AP75,0)</f>
        <v>6764891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5249</v>
      </c>
      <c r="T773" s="278">
        <f>IF(AP80&gt;0,ROUND(AP80,2),0)</f>
        <v>7.7</v>
      </c>
      <c r="U773" s="276"/>
      <c r="V773" s="277"/>
      <c r="W773" s="276"/>
      <c r="X773" s="276"/>
      <c r="Y773" s="276">
        <f t="shared" si="21"/>
        <v>1181977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106*2018*7390*A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106*2018*7400*A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106*2018*7410*A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106*2018*7420*A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106*2018*7430*A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106*2018*7490*A</v>
      </c>
      <c r="B779" s="276"/>
      <c r="C779" s="278">
        <f>ROUND(AP60,2)</f>
        <v>24.74</v>
      </c>
      <c r="D779" s="276">
        <f>ROUND(AV61,0)</f>
        <v>0</v>
      </c>
      <c r="E779" s="276">
        <f>ROUND(AV62,0)</f>
        <v>0</v>
      </c>
      <c r="F779" s="276">
        <f>ROUND(AV63,0)</f>
        <v>18300</v>
      </c>
      <c r="G779" s="276">
        <f>ROUND(AV64,0)</f>
        <v>421072</v>
      </c>
      <c r="H779" s="276">
        <f>ROUND(AV65,0)</f>
        <v>0</v>
      </c>
      <c r="I779" s="276">
        <f>ROUND(AV66,0)</f>
        <v>556816</v>
      </c>
      <c r="J779" s="276">
        <f>ROUND(AV67,0)</f>
        <v>577</v>
      </c>
      <c r="K779" s="276">
        <f>ROUND(AV68,0)</f>
        <v>172339</v>
      </c>
      <c r="L779" s="276">
        <f>ROUND(AV69,0)</f>
        <v>123</v>
      </c>
      <c r="M779" s="276">
        <f>ROUND(AV70,0)</f>
        <v>0</v>
      </c>
      <c r="N779" s="276">
        <f>ROUND(AV75,0)</f>
        <v>5514735</v>
      </c>
      <c r="O779" s="276">
        <f>ROUND(AV73,0)</f>
        <v>21041</v>
      </c>
      <c r="P779" s="276">
        <f>IF(AV76&gt;0,ROUND(AV76,0),0)</f>
        <v>95</v>
      </c>
      <c r="Q779" s="276">
        <f>IF(AV77&gt;0,ROUND(AV77,0),0)</f>
        <v>0</v>
      </c>
      <c r="R779" s="276">
        <f>IF(AV78&gt;0,ROUND(AV78,0),0)</f>
        <v>17</v>
      </c>
      <c r="S779" s="276">
        <f>IF(AV79&gt;0,ROUND(AV79,0),0)</f>
        <v>10034</v>
      </c>
      <c r="T779" s="278">
        <f>IF(AV80&gt;0,ROUND(AV80,2),0)</f>
        <v>2.0699999999999998</v>
      </c>
      <c r="U779" s="276"/>
      <c r="V779" s="277"/>
      <c r="W779" s="276"/>
      <c r="X779" s="276"/>
      <c r="Y779" s="276">
        <f t="shared" si="21"/>
        <v>289981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106*2018*8200*A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106*2018*8310*A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705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28327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106*2018*8320*A</v>
      </c>
      <c r="B782" s="276">
        <f>ROUND(AY59,0)</f>
        <v>112604</v>
      </c>
      <c r="C782" s="278">
        <f>ROUND(AY60,2)</f>
        <v>12.95</v>
      </c>
      <c r="D782" s="276">
        <f>ROUND(AY61,0)</f>
        <v>537973</v>
      </c>
      <c r="E782" s="276">
        <f>ROUND(AY62,0)</f>
        <v>116427</v>
      </c>
      <c r="F782" s="276">
        <f>ROUND(AY63,0)</f>
        <v>0</v>
      </c>
      <c r="G782" s="276">
        <f>ROUND(AY64,0)</f>
        <v>338525</v>
      </c>
      <c r="H782" s="276">
        <f>ROUND(AY65,0)</f>
        <v>0</v>
      </c>
      <c r="I782" s="276">
        <f>ROUND(AY66,0)</f>
        <v>40002</v>
      </c>
      <c r="J782" s="276">
        <f>ROUND(AY67,0)</f>
        <v>29391</v>
      </c>
      <c r="K782" s="276">
        <f>ROUND(AY68,0)</f>
        <v>0</v>
      </c>
      <c r="L782" s="276">
        <f>ROUND(AY69,0)</f>
        <v>621195</v>
      </c>
      <c r="M782" s="276">
        <f>ROUND(AY70,0)</f>
        <v>0</v>
      </c>
      <c r="N782" s="276"/>
      <c r="O782" s="276"/>
      <c r="P782" s="276">
        <f>IF(AY76&gt;0,ROUND(AY76,0),0)</f>
        <v>4839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106*2018*8330*A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106*2018*8350*A</v>
      </c>
      <c r="B784" s="276">
        <f>ROUND(BA59,0)</f>
        <v>0</v>
      </c>
      <c r="C784" s="278">
        <f>ROUND(BA60,2)</f>
        <v>1.05</v>
      </c>
      <c r="D784" s="276">
        <f>ROUND(BA61,0)</f>
        <v>34130</v>
      </c>
      <c r="E784" s="276">
        <f>ROUND(BA62,0)</f>
        <v>7386</v>
      </c>
      <c r="F784" s="276">
        <f>ROUND(BA63,0)</f>
        <v>0</v>
      </c>
      <c r="G784" s="276">
        <f>ROUND(BA64,0)</f>
        <v>1679</v>
      </c>
      <c r="H784" s="276">
        <f>ROUND(BA65,0)</f>
        <v>0</v>
      </c>
      <c r="I784" s="276">
        <f>ROUND(BA66,0)</f>
        <v>147972</v>
      </c>
      <c r="J784" s="276">
        <f>ROUND(BA67,0)</f>
        <v>2253</v>
      </c>
      <c r="K784" s="276">
        <f>ROUND(BA68,0)</f>
        <v>0</v>
      </c>
      <c r="L784" s="276">
        <f>ROUND(BA69,0)</f>
        <v>50252</v>
      </c>
      <c r="M784" s="276">
        <f>ROUND(BA70,0)</f>
        <v>0</v>
      </c>
      <c r="N784" s="276"/>
      <c r="O784" s="276"/>
      <c r="P784" s="276">
        <f>IF(BA76&gt;0,ROUND(BA76,0),0)</f>
        <v>371</v>
      </c>
      <c r="Q784" s="276">
        <f>IF(BA77&gt;0,ROUND(BA77,0),0)</f>
        <v>0</v>
      </c>
      <c r="R784" s="276">
        <f>IF(BA78&gt;0,ROUND(BA78,0),0)</f>
        <v>65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106*2018*8360*A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106*2018*8370*A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4549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106*2018*8420*A</v>
      </c>
      <c r="B787" s="276"/>
      <c r="C787" s="278">
        <f>ROUND(BD60,2)</f>
        <v>4.04</v>
      </c>
      <c r="D787" s="276">
        <f>ROUND(BD61,0)</f>
        <v>169594</v>
      </c>
      <c r="E787" s="276">
        <f>ROUND(BD62,0)</f>
        <v>36703</v>
      </c>
      <c r="F787" s="276">
        <f>ROUND(BD63,0)</f>
        <v>0</v>
      </c>
      <c r="G787" s="276">
        <f>ROUND(BD64,0)</f>
        <v>5097</v>
      </c>
      <c r="H787" s="276">
        <f>ROUND(BD65,0)</f>
        <v>0</v>
      </c>
      <c r="I787" s="276">
        <f>ROUND(BD66,0)</f>
        <v>0</v>
      </c>
      <c r="J787" s="276">
        <f>ROUND(BD67,0)</f>
        <v>9748</v>
      </c>
      <c r="K787" s="276">
        <f>ROUND(BD68,0)</f>
        <v>0</v>
      </c>
      <c r="L787" s="276">
        <f>ROUND(BD69,0)</f>
        <v>19957</v>
      </c>
      <c r="M787" s="276">
        <f>ROUND(BD70,0)</f>
        <v>0</v>
      </c>
      <c r="N787" s="276"/>
      <c r="O787" s="276"/>
      <c r="P787" s="276">
        <f>IF(BD76&gt;0,ROUND(BD76,0),0)</f>
        <v>1605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106*2018*8430*A</v>
      </c>
      <c r="B788" s="276">
        <f>ROUND(BE59,0)</f>
        <v>89368</v>
      </c>
      <c r="C788" s="278">
        <f>ROUND(BE60,2)</f>
        <v>4.01</v>
      </c>
      <c r="D788" s="276">
        <f>ROUND(BE61,0)</f>
        <v>275575</v>
      </c>
      <c r="E788" s="276">
        <f>ROUND(BE62,0)</f>
        <v>59639</v>
      </c>
      <c r="F788" s="276">
        <f>ROUND(BE63,0)</f>
        <v>0</v>
      </c>
      <c r="G788" s="276">
        <f>ROUND(BE64,0)</f>
        <v>77473</v>
      </c>
      <c r="H788" s="276">
        <f>ROUND(BE65,0)</f>
        <v>0</v>
      </c>
      <c r="I788" s="276">
        <f>ROUND(BE66,0)</f>
        <v>346451</v>
      </c>
      <c r="J788" s="276">
        <f>ROUND(BE67,0)</f>
        <v>178607</v>
      </c>
      <c r="K788" s="276">
        <f>ROUND(BE68,0)</f>
        <v>1589</v>
      </c>
      <c r="L788" s="276">
        <f>ROUND(BE69,0)</f>
        <v>193255</v>
      </c>
      <c r="M788" s="276">
        <f>ROUND(BE70,0)</f>
        <v>0</v>
      </c>
      <c r="N788" s="276"/>
      <c r="O788" s="276"/>
      <c r="P788" s="276">
        <f>IF(BE76&gt;0,ROUND(BE76,0),0)</f>
        <v>29406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106*2018*8460*A</v>
      </c>
      <c r="B789" s="276"/>
      <c r="C789" s="278">
        <f>ROUND(BF60,2)</f>
        <v>9.48</v>
      </c>
      <c r="D789" s="276">
        <f>ROUND(BF61,0)</f>
        <v>394551</v>
      </c>
      <c r="E789" s="276">
        <f>ROUND(BF62,0)</f>
        <v>85388</v>
      </c>
      <c r="F789" s="276">
        <f>ROUND(BF63,0)</f>
        <v>0</v>
      </c>
      <c r="G789" s="276">
        <f>ROUND(BF64,0)</f>
        <v>47883</v>
      </c>
      <c r="H789" s="276">
        <f>ROUND(BF65,0)</f>
        <v>0</v>
      </c>
      <c r="I789" s="276">
        <f>ROUND(BF66,0)</f>
        <v>117426</v>
      </c>
      <c r="J789" s="276">
        <f>ROUND(BF67,0)</f>
        <v>2423</v>
      </c>
      <c r="K789" s="276">
        <f>ROUND(BF68,0)</f>
        <v>0</v>
      </c>
      <c r="L789" s="276">
        <f>ROUND(BF69,0)</f>
        <v>453743</v>
      </c>
      <c r="M789" s="276">
        <f>ROUND(BF70,0)</f>
        <v>0</v>
      </c>
      <c r="N789" s="276"/>
      <c r="O789" s="276"/>
      <c r="P789" s="276">
        <f>IF(BF76&gt;0,ROUND(BF76,0),0)</f>
        <v>399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106*2018*8470*A</v>
      </c>
      <c r="B790" s="276"/>
      <c r="C790" s="278">
        <f>ROUND(BG60,2)</f>
        <v>0</v>
      </c>
      <c r="D790" s="276">
        <f>ROUND(BG61,0)</f>
        <v>69448</v>
      </c>
      <c r="E790" s="276">
        <f>ROUND(BG62,0)</f>
        <v>15030</v>
      </c>
      <c r="F790" s="276">
        <f>ROUND(BG63,0)</f>
        <v>0</v>
      </c>
      <c r="G790" s="276">
        <f>ROUND(BG64,0)</f>
        <v>200</v>
      </c>
      <c r="H790" s="276">
        <f>ROUND(BG65,0)</f>
        <v>0</v>
      </c>
      <c r="I790" s="276">
        <f>ROUND(BG66,0)</f>
        <v>0</v>
      </c>
      <c r="J790" s="276">
        <f>ROUND(BG67,0)</f>
        <v>1014</v>
      </c>
      <c r="K790" s="276">
        <f>ROUND(BG68,0)</f>
        <v>0</v>
      </c>
      <c r="L790" s="276">
        <f>ROUND(BG69,0)</f>
        <v>13</v>
      </c>
      <c r="M790" s="276">
        <f>ROUND(BG70,0)</f>
        <v>0</v>
      </c>
      <c r="N790" s="276"/>
      <c r="O790" s="276"/>
      <c r="P790" s="276">
        <f>IF(BG76&gt;0,ROUND(BG76,0),0)</f>
        <v>167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106*2018*8480*A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106*2018*8490*A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106*2018*8510*A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106*2018*8530*A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106*2018*8560*A</v>
      </c>
      <c r="B795" s="276"/>
      <c r="C795" s="278">
        <f>ROUND(BL60,2)</f>
        <v>9.81</v>
      </c>
      <c r="D795" s="276">
        <f>ROUND(BL61,0)</f>
        <v>404167</v>
      </c>
      <c r="E795" s="276">
        <f>ROUND(BL62,0)</f>
        <v>87469</v>
      </c>
      <c r="F795" s="276">
        <f>ROUND(BL63,0)</f>
        <v>0</v>
      </c>
      <c r="G795" s="276">
        <f>ROUND(BL64,0)</f>
        <v>11903</v>
      </c>
      <c r="H795" s="276">
        <f>ROUND(BL65,0)</f>
        <v>2475</v>
      </c>
      <c r="I795" s="276">
        <f>ROUND(BL66,0)</f>
        <v>0</v>
      </c>
      <c r="J795" s="276">
        <f>ROUND(BL67,0)</f>
        <v>5023</v>
      </c>
      <c r="K795" s="276">
        <f>ROUND(BL68,0)</f>
        <v>0</v>
      </c>
      <c r="L795" s="276">
        <f>ROUND(BL69,0)</f>
        <v>469551</v>
      </c>
      <c r="M795" s="276">
        <f>ROUND(BL70,0)</f>
        <v>0</v>
      </c>
      <c r="N795" s="276"/>
      <c r="O795" s="276"/>
      <c r="P795" s="276">
        <f>IF(BL76&gt;0,ROUND(BL76,0),0)</f>
        <v>827</v>
      </c>
      <c r="Q795" s="276">
        <f>IF(BL77&gt;0,ROUND(BL77,0),0)</f>
        <v>0</v>
      </c>
      <c r="R795" s="276">
        <f>IF(BL78&gt;0,ROUND(BL78,0),0)</f>
        <v>146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106*2018*8590*A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106*2018*8610*A</v>
      </c>
      <c r="B797" s="276"/>
      <c r="C797" s="278">
        <f>ROUND(BN60,2)</f>
        <v>3.01</v>
      </c>
      <c r="D797" s="276">
        <f>ROUND(BN61,0)</f>
        <v>280308</v>
      </c>
      <c r="E797" s="276">
        <f>ROUND(BN62,0)</f>
        <v>60664</v>
      </c>
      <c r="F797" s="276">
        <f>ROUND(BN63,0)</f>
        <v>0</v>
      </c>
      <c r="G797" s="276">
        <f>ROUND(BN64,0)</f>
        <v>2524</v>
      </c>
      <c r="H797" s="276">
        <f>ROUND(BN65,0)</f>
        <v>0</v>
      </c>
      <c r="I797" s="276">
        <f>ROUND(BN66,0)</f>
        <v>0</v>
      </c>
      <c r="J797" s="276">
        <f>ROUND(BN67,0)</f>
        <v>21337</v>
      </c>
      <c r="K797" s="276">
        <f>ROUND(BN68,0)</f>
        <v>10</v>
      </c>
      <c r="L797" s="276">
        <f>ROUND(BN69,0)</f>
        <v>207362</v>
      </c>
      <c r="M797" s="276">
        <f>ROUND(BN70,0)</f>
        <v>0</v>
      </c>
      <c r="N797" s="276"/>
      <c r="O797" s="276"/>
      <c r="P797" s="276">
        <f>IF(BN76&gt;0,ROUND(BN76,0),0)</f>
        <v>3513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106*2018*8620*A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106*2018*8630*A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106*2018*8640*A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106*2018*8650*A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106*2018*8660*A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106*2018*8670*A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106*2018*8680*A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106*2018*8690*A</v>
      </c>
      <c r="B805" s="276"/>
      <c r="C805" s="278">
        <f>ROUND(BV60,2)</f>
        <v>7.84</v>
      </c>
      <c r="D805" s="276">
        <f>ROUND(BV61,0)</f>
        <v>416956</v>
      </c>
      <c r="E805" s="276">
        <f>ROUND(BV62,0)</f>
        <v>90237</v>
      </c>
      <c r="F805" s="276">
        <f>ROUND(BV63,0)</f>
        <v>0</v>
      </c>
      <c r="G805" s="276">
        <f>ROUND(BV64,0)</f>
        <v>675</v>
      </c>
      <c r="H805" s="276">
        <f>ROUND(BV65,0)</f>
        <v>0</v>
      </c>
      <c r="I805" s="276">
        <f>ROUND(BV66,0)</f>
        <v>0</v>
      </c>
      <c r="J805" s="276">
        <f>ROUND(BV67,0)</f>
        <v>11243</v>
      </c>
      <c r="K805" s="276">
        <f>ROUND(BV68,0)</f>
        <v>0</v>
      </c>
      <c r="L805" s="276">
        <f>ROUND(BV69,0)</f>
        <v>437322</v>
      </c>
      <c r="M805" s="276">
        <f>ROUND(BV70,0)</f>
        <v>0</v>
      </c>
      <c r="N805" s="276"/>
      <c r="O805" s="276"/>
      <c r="P805" s="276">
        <f>IF(BV76&gt;0,ROUND(BV76,0),0)</f>
        <v>1851</v>
      </c>
      <c r="Q805" s="276">
        <f>IF(BV77&gt;0,ROUND(BV77,0),0)</f>
        <v>0</v>
      </c>
      <c r="R805" s="276">
        <f>IF(BV78&gt;0,ROUND(BV78,0),0)</f>
        <v>326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106*2018*8700*A</v>
      </c>
      <c r="B806" s="276"/>
      <c r="C806" s="278">
        <f>ROUND(BW60,2)</f>
        <v>1</v>
      </c>
      <c r="D806" s="276">
        <f>ROUND(BW61,0)</f>
        <v>107399</v>
      </c>
      <c r="E806" s="276">
        <f>ROUND(BW62,0)</f>
        <v>23243</v>
      </c>
      <c r="F806" s="276">
        <f>ROUND(BW63,0)</f>
        <v>8730</v>
      </c>
      <c r="G806" s="276">
        <f>ROUND(BW64,0)</f>
        <v>4842</v>
      </c>
      <c r="H806" s="276">
        <f>ROUND(BW65,0)</f>
        <v>0</v>
      </c>
      <c r="I806" s="276">
        <f>ROUND(BW66,0)</f>
        <v>0</v>
      </c>
      <c r="J806" s="276">
        <f>ROUND(BW67,0)</f>
        <v>3328</v>
      </c>
      <c r="K806" s="276">
        <f>ROUND(BW68,0)</f>
        <v>0</v>
      </c>
      <c r="L806" s="276">
        <f>ROUND(BW69,0)</f>
        <v>74009</v>
      </c>
      <c r="M806" s="276">
        <f>ROUND(BW70,0)</f>
        <v>0</v>
      </c>
      <c r="N806" s="276"/>
      <c r="O806" s="276"/>
      <c r="P806" s="276">
        <f>IF(BW76&gt;0,ROUND(BW76,0),0)</f>
        <v>548</v>
      </c>
      <c r="Q806" s="276">
        <f>IF(BW77&gt;0,ROUND(BW77,0),0)</f>
        <v>0</v>
      </c>
      <c r="R806" s="276">
        <f>IF(BW78&gt;0,ROUND(BW78,0),0)</f>
        <v>927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106*2018*8710*A</v>
      </c>
      <c r="B807" s="276"/>
      <c r="C807" s="278">
        <f>ROUND(BX60,2)</f>
        <v>2</v>
      </c>
      <c r="D807" s="276">
        <f>ROUND(BX61,0)</f>
        <v>154946</v>
      </c>
      <c r="E807" s="276">
        <f>ROUND(BX62,0)</f>
        <v>33533</v>
      </c>
      <c r="F807" s="276">
        <f>ROUND(BX63,0)</f>
        <v>0</v>
      </c>
      <c r="G807" s="276">
        <f>ROUND(BX64,0)</f>
        <v>1789</v>
      </c>
      <c r="H807" s="276">
        <f>ROUND(BX65,0)</f>
        <v>0</v>
      </c>
      <c r="I807" s="276">
        <f>ROUND(BX66,0)</f>
        <v>145945</v>
      </c>
      <c r="J807" s="276">
        <f>ROUND(BX67,0)</f>
        <v>5594</v>
      </c>
      <c r="K807" s="276">
        <f>ROUND(BX68,0)</f>
        <v>0</v>
      </c>
      <c r="L807" s="276">
        <f>ROUND(BX69,0)</f>
        <v>98288</v>
      </c>
      <c r="M807" s="276">
        <f>ROUND(BX70,0)</f>
        <v>0</v>
      </c>
      <c r="N807" s="276"/>
      <c r="O807" s="276"/>
      <c r="P807" s="276">
        <f>IF(BX76&gt;0,ROUND(BX76,0),0)</f>
        <v>921</v>
      </c>
      <c r="Q807" s="276">
        <f>IF(BX77&gt;0,ROUND(BX77,0),0)</f>
        <v>0</v>
      </c>
      <c r="R807" s="276">
        <f>IF(BX78&gt;0,ROUND(BX78,0),0)</f>
        <v>162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106*2018*8720*A</v>
      </c>
      <c r="B808" s="276"/>
      <c r="C808" s="278">
        <f>ROUND(BY60,2)</f>
        <v>8.14</v>
      </c>
      <c r="D808" s="276">
        <f>ROUND(BY61,0)</f>
        <v>928715</v>
      </c>
      <c r="E808" s="276">
        <f>ROUND(BY62,0)</f>
        <v>200990</v>
      </c>
      <c r="F808" s="276">
        <f>ROUND(BY63,0)</f>
        <v>0</v>
      </c>
      <c r="G808" s="276">
        <f>ROUND(BY64,0)</f>
        <v>13080</v>
      </c>
      <c r="H808" s="276">
        <f>ROUND(BY65,0)</f>
        <v>0</v>
      </c>
      <c r="I808" s="276">
        <f>ROUND(BY66,0)</f>
        <v>0</v>
      </c>
      <c r="J808" s="276">
        <f>ROUND(BY67,0)</f>
        <v>1816</v>
      </c>
      <c r="K808" s="276">
        <f>ROUND(BY68,0)</f>
        <v>0</v>
      </c>
      <c r="L808" s="276">
        <f>ROUND(BY69,0)</f>
        <v>444049</v>
      </c>
      <c r="M808" s="276">
        <f>ROUND(BY70,0)</f>
        <v>0</v>
      </c>
      <c r="N808" s="276"/>
      <c r="O808" s="276"/>
      <c r="P808" s="276">
        <f>IF(BY76&gt;0,ROUND(BY76,0),0)</f>
        <v>299</v>
      </c>
      <c r="Q808" s="276">
        <f>IF(BY77&gt;0,ROUND(BY77,0),0)</f>
        <v>0</v>
      </c>
      <c r="R808" s="276">
        <f>IF(BY78&gt;0,ROUND(BY78,0),0)</f>
        <v>53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106*2018*8730*A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106*2018*8740*A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106*2018*8770*A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106*2018*8790*A</v>
      </c>
      <c r="B812" s="276"/>
      <c r="C812" s="278">
        <f>ROUND(CC60,2)</f>
        <v>2.85</v>
      </c>
      <c r="D812" s="276">
        <f>ROUND(CC61,0)</f>
        <v>318462</v>
      </c>
      <c r="E812" s="276">
        <f>ROUND(CC62,0)</f>
        <v>68921</v>
      </c>
      <c r="F812" s="276">
        <f>ROUND(CC63,0)</f>
        <v>96093</v>
      </c>
      <c r="G812" s="276">
        <f>ROUND(CC64,0)</f>
        <v>62042</v>
      </c>
      <c r="H812" s="276">
        <f>ROUND(CC65,0)</f>
        <v>793078</v>
      </c>
      <c r="I812" s="276">
        <f>ROUND(CC66,0)</f>
        <v>1559424</v>
      </c>
      <c r="J812" s="276">
        <f>ROUND(CC67,0)</f>
        <v>4276</v>
      </c>
      <c r="K812" s="276">
        <f>ROUND(CC68,0)</f>
        <v>0</v>
      </c>
      <c r="L812" s="276">
        <f>ROUND(CC69,0)</f>
        <v>1838684</v>
      </c>
      <c r="M812" s="276">
        <f>ROUND(CC70,0)</f>
        <v>0</v>
      </c>
      <c r="N812" s="276"/>
      <c r="O812" s="276"/>
      <c r="P812" s="276">
        <f>IF(CC76&gt;0,ROUND(CC76,0),0)</f>
        <v>704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106*2018*9000*A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2394307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287.52999999999997</v>
      </c>
      <c r="D815" s="277">
        <f t="shared" si="22"/>
        <v>21207399</v>
      </c>
      <c r="E815" s="277">
        <f t="shared" si="22"/>
        <v>4589660</v>
      </c>
      <c r="F815" s="277">
        <f t="shared" si="22"/>
        <v>4442781</v>
      </c>
      <c r="G815" s="277">
        <f t="shared" si="22"/>
        <v>6805433</v>
      </c>
      <c r="H815" s="277">
        <f t="shared" si="22"/>
        <v>795553</v>
      </c>
      <c r="I815" s="277">
        <f t="shared" si="22"/>
        <v>4559398</v>
      </c>
      <c r="J815" s="277">
        <f t="shared" si="22"/>
        <v>542804</v>
      </c>
      <c r="K815" s="277">
        <f t="shared" si="22"/>
        <v>695250</v>
      </c>
      <c r="L815" s="277">
        <f>SUM(L734:L813)+SUM(U734:U813)</f>
        <v>13602393</v>
      </c>
      <c r="M815" s="277">
        <f>SUM(M734:M813)+SUM(V734:V813)</f>
        <v>2394307</v>
      </c>
      <c r="N815" s="277">
        <f t="shared" ref="N815:Y815" si="23">SUM(N734:N813)</f>
        <v>163998925</v>
      </c>
      <c r="O815" s="277">
        <f t="shared" si="23"/>
        <v>54529229</v>
      </c>
      <c r="P815" s="277">
        <f t="shared" si="23"/>
        <v>89368</v>
      </c>
      <c r="Q815" s="277">
        <f t="shared" si="23"/>
        <v>112604</v>
      </c>
      <c r="R815" s="277">
        <f t="shared" si="23"/>
        <v>16585</v>
      </c>
      <c r="S815" s="277">
        <f t="shared" si="23"/>
        <v>204565</v>
      </c>
      <c r="T815" s="281">
        <f t="shared" si="23"/>
        <v>91.429999999999993</v>
      </c>
      <c r="U815" s="277">
        <f t="shared" si="23"/>
        <v>0</v>
      </c>
      <c r="V815" s="277">
        <f t="shared" si="23"/>
        <v>2394307</v>
      </c>
      <c r="W815" s="277">
        <f t="shared" si="23"/>
        <v>0</v>
      </c>
      <c r="X815" s="277">
        <f t="shared" si="23"/>
        <v>0</v>
      </c>
      <c r="Y815" s="277">
        <f t="shared" si="23"/>
        <v>11627769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262.79000000000002</v>
      </c>
      <c r="D816" s="277">
        <f>CE61</f>
        <v>21207399</v>
      </c>
      <c r="E816" s="277">
        <f>CE62</f>
        <v>4589660</v>
      </c>
      <c r="F816" s="277">
        <f>CE63</f>
        <v>4442781</v>
      </c>
      <c r="G816" s="277">
        <f>CE64</f>
        <v>6805433</v>
      </c>
      <c r="H816" s="280">
        <f>CE65</f>
        <v>795553</v>
      </c>
      <c r="I816" s="280">
        <f>CE66</f>
        <v>4559398</v>
      </c>
      <c r="J816" s="280">
        <f>CE67</f>
        <v>542804</v>
      </c>
      <c r="K816" s="280">
        <f>CE68</f>
        <v>695250</v>
      </c>
      <c r="L816" s="280">
        <f>CE69</f>
        <v>13602393.530000001</v>
      </c>
      <c r="M816" s="280">
        <f>CE70</f>
        <v>2394307</v>
      </c>
      <c r="N816" s="277">
        <f>CE75</f>
        <v>163998925</v>
      </c>
      <c r="O816" s="277">
        <f>CE73</f>
        <v>54529229</v>
      </c>
      <c r="P816" s="277">
        <f>CE76</f>
        <v>89368</v>
      </c>
      <c r="Q816" s="277">
        <f>CE77</f>
        <v>112604</v>
      </c>
      <c r="R816" s="277">
        <f>CE78</f>
        <v>16585.54</v>
      </c>
      <c r="S816" s="277">
        <f>CE79</f>
        <v>204565.24</v>
      </c>
      <c r="T816" s="281">
        <f>CE80</f>
        <v>91.429999999999993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11627769.41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23401366</v>
      </c>
      <c r="E817" s="180">
        <f>C379</f>
        <v>4589658</v>
      </c>
      <c r="F817" s="180">
        <f>C380</f>
        <v>2248814</v>
      </c>
      <c r="G817" s="240">
        <f>C381</f>
        <v>6805433</v>
      </c>
      <c r="H817" s="240">
        <f>C382</f>
        <v>795553</v>
      </c>
      <c r="I817" s="240">
        <f>C383</f>
        <v>4559398</v>
      </c>
      <c r="J817" s="240">
        <f>C384</f>
        <v>542805</v>
      </c>
      <c r="K817" s="240">
        <f>C385</f>
        <v>695249.91</v>
      </c>
      <c r="L817" s="240">
        <f>C386+C387+C388+C389</f>
        <v>13602393.630000001</v>
      </c>
      <c r="M817" s="240">
        <f>C370</f>
        <v>2394307</v>
      </c>
      <c r="N817" s="180">
        <f>D361</f>
        <v>163998925</v>
      </c>
      <c r="O817" s="180">
        <f>C359</f>
        <v>54529229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M43" sqref="M43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CASCADE VALLEY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H-106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330 S. STILLAGUAMISH AVE.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330 S. STILLAGUAMISH AVE.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ARLINGTON, WA  98223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H-106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CASCADE VALLEY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Brian Ivie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Paul Ishizuka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Bruce Lisser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(360)445-8514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(360)445-8522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1408</v>
      </c>
      <c r="G23" s="21">
        <f>data!D111</f>
        <v>5678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143</v>
      </c>
      <c r="G26" s="13">
        <f>data!D114</f>
        <v>282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</v>
      </c>
      <c r="E34" s="49" t="s">
        <v>291</v>
      </c>
      <c r="F34" s="24"/>
      <c r="G34" s="21">
        <f>data!E127</f>
        <v>48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J28" sqref="J28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CASCADE VALLEY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698.12379999999996</v>
      </c>
      <c r="C7" s="48">
        <f>data!B139</f>
        <v>2908.7673999999997</v>
      </c>
      <c r="D7" s="48">
        <f>data!B140</f>
        <v>16772.288199999999</v>
      </c>
      <c r="E7" s="48">
        <f>data!B141</f>
        <v>32270699</v>
      </c>
      <c r="F7" s="48">
        <f>data!B142</f>
        <v>44120088</v>
      </c>
      <c r="G7" s="48">
        <f>data!B141+data!B142</f>
        <v>76390787</v>
      </c>
    </row>
    <row r="8" spans="1:13" ht="20.100000000000001" customHeight="1" x14ac:dyDescent="0.25">
      <c r="A8" s="23" t="s">
        <v>297</v>
      </c>
      <c r="B8" s="48">
        <f>data!C138</f>
        <v>298.68770000000001</v>
      </c>
      <c r="C8" s="48">
        <f>data!C139</f>
        <v>1244.4971</v>
      </c>
      <c r="D8" s="48">
        <f>data!C140</f>
        <v>8588.6882000000005</v>
      </c>
      <c r="E8" s="48">
        <f>data!C141</f>
        <v>14398419</v>
      </c>
      <c r="F8" s="48">
        <f>data!C142</f>
        <v>38278574</v>
      </c>
      <c r="G8" s="48">
        <f>data!C141+data!C142</f>
        <v>52676993</v>
      </c>
    </row>
    <row r="9" spans="1:13" ht="20.100000000000001" customHeight="1" x14ac:dyDescent="0.25">
      <c r="A9" s="23" t="s">
        <v>1058</v>
      </c>
      <c r="B9" s="48">
        <f>data!D138</f>
        <v>426</v>
      </c>
      <c r="C9" s="48">
        <f>data!D139</f>
        <v>1776</v>
      </c>
      <c r="D9" s="48">
        <f>data!D140</f>
        <v>15557</v>
      </c>
      <c r="E9" s="48">
        <f>data!D141</f>
        <v>11869244</v>
      </c>
      <c r="F9" s="48">
        <f>data!D142</f>
        <v>59864816</v>
      </c>
      <c r="G9" s="48">
        <f>data!D141+data!D142</f>
        <v>71734060</v>
      </c>
    </row>
    <row r="10" spans="1:13" ht="20.100000000000001" customHeight="1" x14ac:dyDescent="0.25">
      <c r="A10" s="111" t="s">
        <v>203</v>
      </c>
      <c r="B10" s="48">
        <f>data!E138</f>
        <v>1422.8115</v>
      </c>
      <c r="C10" s="48">
        <f>data!E139</f>
        <v>5929.2644999999993</v>
      </c>
      <c r="D10" s="48">
        <f>data!E140</f>
        <v>40917.9764</v>
      </c>
      <c r="E10" s="48">
        <f>data!E141</f>
        <v>58538362</v>
      </c>
      <c r="F10" s="48">
        <f>data!E142</f>
        <v>142263478</v>
      </c>
      <c r="G10" s="48">
        <f>data!E141+data!E142</f>
        <v>200801840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31" sqref="C31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CASCADE VALLEY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1690491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69151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40795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2052198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38647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977036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208611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5076929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608413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127082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735495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87316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87316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45573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522418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567991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34614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34614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CASCADE VALLEY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20183.5</v>
      </c>
      <c r="D8" s="21">
        <f>data!C196</f>
        <v>0</v>
      </c>
      <c r="E8" s="21">
        <f>data!D196</f>
        <v>0</v>
      </c>
      <c r="F8" s="21">
        <f>data!E196</f>
        <v>20183.5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76126</v>
      </c>
      <c r="D9" s="21">
        <f>data!C197</f>
        <v>2226</v>
      </c>
      <c r="E9" s="21">
        <f>data!D197</f>
        <v>0</v>
      </c>
      <c r="F9" s="21">
        <f>data!E197</f>
        <v>78352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137741</v>
      </c>
      <c r="D11" s="21">
        <f>data!C199</f>
        <v>27964</v>
      </c>
      <c r="E11" s="21">
        <f>data!D199</f>
        <v>0</v>
      </c>
      <c r="F11" s="21">
        <f>data!E199</f>
        <v>165705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3638387</v>
      </c>
      <c r="D12" s="21">
        <f>data!C200</f>
        <v>1548148</v>
      </c>
      <c r="E12" s="21">
        <f>data!D200</f>
        <v>0</v>
      </c>
      <c r="F12" s="21">
        <f>data!E200</f>
        <v>5186535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76910</v>
      </c>
      <c r="D14" s="21">
        <f>data!C202</f>
        <v>122797</v>
      </c>
      <c r="E14" s="21">
        <f>data!D202</f>
        <v>0</v>
      </c>
      <c r="F14" s="21">
        <f>data!E202</f>
        <v>199707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3949347.5</v>
      </c>
      <c r="D16" s="21">
        <f>data!C204</f>
        <v>1701135</v>
      </c>
      <c r="E16" s="21">
        <f>data!D204</f>
        <v>0</v>
      </c>
      <c r="F16" s="21">
        <f>data!E204</f>
        <v>5650482.5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3028</v>
      </c>
      <c r="D24" s="21">
        <f>data!C209</f>
        <v>1345</v>
      </c>
      <c r="E24" s="21">
        <f>data!D209</f>
        <v>0</v>
      </c>
      <c r="F24" s="21">
        <f>data!E209</f>
        <v>4373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5305</v>
      </c>
      <c r="D25" s="21">
        <f>data!C210</f>
        <v>6877</v>
      </c>
      <c r="E25" s="21">
        <f>data!D210</f>
        <v>0</v>
      </c>
      <c r="F25" s="21">
        <f>data!E210</f>
        <v>12182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9773</v>
      </c>
      <c r="D27" s="21">
        <f>data!C212</f>
        <v>17145</v>
      </c>
      <c r="E27" s="21">
        <f>data!D212</f>
        <v>0</v>
      </c>
      <c r="F27" s="21">
        <f>data!E212</f>
        <v>26918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698811</v>
      </c>
      <c r="D28" s="21">
        <f>data!C213</f>
        <v>800622</v>
      </c>
      <c r="E28" s="21">
        <f>data!D213</f>
        <v>0</v>
      </c>
      <c r="F28" s="21">
        <f>data!E213</f>
        <v>1499433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1282</v>
      </c>
      <c r="D30" s="21">
        <f>data!C215</f>
        <v>26165</v>
      </c>
      <c r="E30" s="21">
        <f>data!D215</f>
        <v>0</v>
      </c>
      <c r="F30" s="21">
        <f>data!E215</f>
        <v>27447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718199</v>
      </c>
      <c r="D32" s="21">
        <f>data!C217</f>
        <v>852154</v>
      </c>
      <c r="E32" s="21">
        <f>data!D217</f>
        <v>0</v>
      </c>
      <c r="F32" s="21">
        <f>data!E217</f>
        <v>1570353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CASCADE VALLEY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6477110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54308766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41442707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2265523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5452705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28717848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2062721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134250270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870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483424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552740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1036164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141763544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CASCADE VALLEY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3815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9761090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24129476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18956896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323718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1251030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16512233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15587012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15587012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20183.5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78352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165705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5186535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199707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5650482.5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1570353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4080129.5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36179374.5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CASCADE VALLEY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data!C305</f>
        <v>149149</v>
      </c>
    </row>
    <row r="59" spans="1:3" ht="20.100000000000001" customHeight="1" x14ac:dyDescent="0.25">
      <c r="A59" s="13">
        <v>3</v>
      </c>
      <c r="B59" s="14" t="s">
        <v>1126</v>
      </c>
      <c r="C59" s="21" t="e">
        <f>data!#REF!</f>
        <v>#REF!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2471667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181742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2802558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338425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338425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181742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156683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33220134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33220134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36179375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CASCADE VALLEY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58538362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142263478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200801840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6477110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134250270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1036164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141763544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59038296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2768282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2768282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61806578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24138343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5076929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2891568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7737255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799140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5175392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853777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735495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87316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567991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34614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262968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48360788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13445790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526000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13971790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2274075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16245865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19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CASCADE VALLEY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1463</v>
      </c>
      <c r="D9" s="14">
        <f>data!D59</f>
        <v>0</v>
      </c>
      <c r="E9" s="14">
        <f>data!E59</f>
        <v>3939</v>
      </c>
      <c r="F9" s="14">
        <f>data!F59</f>
        <v>276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11.810141095890412</v>
      </c>
      <c r="D10" s="26">
        <f>data!D60</f>
        <v>0</v>
      </c>
      <c r="E10" s="26">
        <f>data!E60</f>
        <v>42.474341095890416</v>
      </c>
      <c r="F10" s="26">
        <f>data!F60</f>
        <v>10.586814383561645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1082522</v>
      </c>
      <c r="D11" s="14">
        <f>data!D61</f>
        <v>0</v>
      </c>
      <c r="E11" s="14">
        <f>data!E61</f>
        <v>3158935</v>
      </c>
      <c r="F11" s="14">
        <f>data!F61</f>
        <v>1421070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227683</v>
      </c>
      <c r="D12" s="14">
        <f>data!D62</f>
        <v>0</v>
      </c>
      <c r="E12" s="14">
        <f>data!E62</f>
        <v>664407</v>
      </c>
      <c r="F12" s="14">
        <f>data!F62</f>
        <v>298888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68763</v>
      </c>
      <c r="D13" s="14">
        <f>data!D63</f>
        <v>0</v>
      </c>
      <c r="E13" s="14">
        <f>data!E63</f>
        <v>107384.67</v>
      </c>
      <c r="F13" s="14">
        <f>data!F63</f>
        <v>46880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137325</v>
      </c>
      <c r="D14" s="14">
        <f>data!D64</f>
        <v>0</v>
      </c>
      <c r="E14" s="14">
        <f>data!E64</f>
        <v>319841.24</v>
      </c>
      <c r="F14" s="14">
        <f>data!F64</f>
        <v>9732.01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302.20999999999998</v>
      </c>
      <c r="F16" s="14">
        <f>data!F66</f>
        <v>5250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35386</v>
      </c>
      <c r="D17" s="14">
        <f>data!D67</f>
        <v>0</v>
      </c>
      <c r="E17" s="14">
        <f>data!E67</f>
        <v>56375</v>
      </c>
      <c r="F17" s="14">
        <f>data!F67</f>
        <v>34450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32491.42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1253</v>
      </c>
      <c r="F19" s="14">
        <f>data!F69</f>
        <v>1077.06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1551679</v>
      </c>
      <c r="D21" s="14">
        <f>data!D71</f>
        <v>0</v>
      </c>
      <c r="E21" s="14">
        <f>data!E71</f>
        <v>4340989.54</v>
      </c>
      <c r="F21" s="14">
        <f>data!F71</f>
        <v>1817347.07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537959</v>
      </c>
      <c r="D23" s="48">
        <f>+data!M669</f>
        <v>0</v>
      </c>
      <c r="E23" s="48">
        <f>+data!M670</f>
        <v>1320331</v>
      </c>
      <c r="F23" s="48">
        <f>+data!M671</f>
        <v>360730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9381433</v>
      </c>
      <c r="D24" s="14">
        <f>data!D73</f>
        <v>0</v>
      </c>
      <c r="E24" s="14">
        <f>data!E73</f>
        <v>12878845</v>
      </c>
      <c r="F24" s="14">
        <f>data!F73</f>
        <v>850789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797862</v>
      </c>
      <c r="D25" s="14">
        <f>data!D74</f>
        <v>0</v>
      </c>
      <c r="E25" s="14">
        <f>data!E74</f>
        <v>4546354</v>
      </c>
      <c r="F25" s="14">
        <f>data!F74</f>
        <v>117176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10179295</v>
      </c>
      <c r="D26" s="14">
        <f>data!D75</f>
        <v>0</v>
      </c>
      <c r="E26" s="14">
        <f>data!E75</f>
        <v>17425199</v>
      </c>
      <c r="F26" s="14">
        <f>data!F75</f>
        <v>967965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3704</v>
      </c>
      <c r="D28" s="14">
        <f>data!D76</f>
        <v>0</v>
      </c>
      <c r="E28" s="14">
        <f>data!E76</f>
        <v>5901</v>
      </c>
      <c r="F28" s="14">
        <f>data!F76</f>
        <v>3606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4096.3999999999996</v>
      </c>
      <c r="D29" s="14">
        <f>data!D77</f>
        <v>0</v>
      </c>
      <c r="E29" s="14">
        <f>data!E77</f>
        <v>11029.199999999999</v>
      </c>
      <c r="F29" s="14">
        <f>data!F77</f>
        <v>772.8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1732.7773337437159</v>
      </c>
      <c r="D30" s="14">
        <f>data!D78</f>
        <v>0</v>
      </c>
      <c r="E30" s="14">
        <f>data!E78</f>
        <v>2760.5612976300399</v>
      </c>
      <c r="F30" s="14">
        <f>data!F78</f>
        <v>1686.9317131425055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20171</v>
      </c>
      <c r="D31" s="14">
        <f>data!D79</f>
        <v>0</v>
      </c>
      <c r="E31" s="14">
        <f>data!E79</f>
        <v>61108</v>
      </c>
      <c r="F31" s="14">
        <f>data!F79</f>
        <v>10436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8.91</v>
      </c>
      <c r="D32" s="84">
        <f>data!D80</f>
        <v>0</v>
      </c>
      <c r="E32" s="84">
        <f>data!E80</f>
        <v>22.36</v>
      </c>
      <c r="F32" s="84">
        <f>data!F80</f>
        <v>10.52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CASCADE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282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143</v>
      </c>
      <c r="I41" s="14">
        <f>data!P59</f>
        <v>160776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14.273359589041096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1309178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275355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120763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7688.81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41763</v>
      </c>
      <c r="I46" s="14">
        <f>data!P64</f>
        <v>2757515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9493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199.65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972</v>
      </c>
      <c r="I48" s="14">
        <f>data!P66</f>
        <v>109467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1557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9391</v>
      </c>
      <c r="I49" s="14">
        <f>data!P67</f>
        <v>46612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49853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727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9445.4599999999991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52126</v>
      </c>
      <c r="I53" s="14">
        <f>data!P71</f>
        <v>4678963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7118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15907</v>
      </c>
      <c r="I55" s="48">
        <f>+data!M681</f>
        <v>800677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530786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588515</v>
      </c>
      <c r="I56" s="14">
        <f>data!P73</f>
        <v>6160846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1284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113642</v>
      </c>
      <c r="I57" s="14">
        <f>data!P74</f>
        <v>15984337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532070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702157</v>
      </c>
      <c r="I58" s="14">
        <f>data!P75</f>
        <v>22145183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163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983</v>
      </c>
      <c r="I60" s="14">
        <f>data!P76</f>
        <v>4879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76.253430183646245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459.85964337744952</v>
      </c>
      <c r="I62" s="14">
        <f>data!P78</f>
        <v>2282.4569685031292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31883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5.74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CASCADE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69480</v>
      </c>
      <c r="D73" s="48">
        <f>data!R59</f>
        <v>157393</v>
      </c>
      <c r="E73" s="212"/>
      <c r="F73" s="212"/>
      <c r="G73" s="14">
        <f>data!U59</f>
        <v>211301</v>
      </c>
      <c r="H73" s="14">
        <f>data!V59</f>
        <v>661</v>
      </c>
      <c r="I73" s="14">
        <f>data!W59</f>
        <v>10226.89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6.1856698630136986</v>
      </c>
      <c r="D74" s="26">
        <f>data!R60</f>
        <v>1.0342595890410959</v>
      </c>
      <c r="E74" s="26">
        <f>data!S60</f>
        <v>3.9618993150684929</v>
      </c>
      <c r="F74" s="26">
        <f>data!T60</f>
        <v>0.02</v>
      </c>
      <c r="G74" s="26">
        <f>data!U60</f>
        <v>13.680814383561644</v>
      </c>
      <c r="H74" s="26">
        <f>data!V60</f>
        <v>0.01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778919</v>
      </c>
      <c r="D75" s="14">
        <f>data!R61</f>
        <v>62531</v>
      </c>
      <c r="E75" s="14">
        <f>data!S61</f>
        <v>186117</v>
      </c>
      <c r="F75" s="14">
        <f>data!T61</f>
        <v>5521</v>
      </c>
      <c r="G75" s="14">
        <f>data!U61</f>
        <v>827408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163827</v>
      </c>
      <c r="D76" s="14">
        <f>data!R62</f>
        <v>13152</v>
      </c>
      <c r="E76" s="14">
        <f>data!S62</f>
        <v>39145</v>
      </c>
      <c r="F76" s="14">
        <f>data!T62</f>
        <v>1161</v>
      </c>
      <c r="G76" s="14">
        <f>data!U62</f>
        <v>174026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931745</v>
      </c>
      <c r="E77" s="14">
        <f>data!S63</f>
        <v>350</v>
      </c>
      <c r="F77" s="14">
        <f>data!T63</f>
        <v>0</v>
      </c>
      <c r="G77" s="14">
        <f>data!U63</f>
        <v>137299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10481</v>
      </c>
      <c r="D78" s="14">
        <f>data!R64</f>
        <v>58209</v>
      </c>
      <c r="E78" s="14">
        <f>data!S64</f>
        <v>153680</v>
      </c>
      <c r="F78" s="14">
        <f>data!T64</f>
        <v>52314</v>
      </c>
      <c r="G78" s="14">
        <f>data!U64</f>
        <v>1054760</v>
      </c>
      <c r="H78" s="14">
        <f>data!V64</f>
        <v>5740</v>
      </c>
      <c r="I78" s="14">
        <f>data!W64</f>
        <v>6881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91600</v>
      </c>
      <c r="E80" s="14">
        <f>data!S66</f>
        <v>17376</v>
      </c>
      <c r="F80" s="14">
        <f>data!T66</f>
        <v>0</v>
      </c>
      <c r="G80" s="14">
        <f>data!U66</f>
        <v>386466</v>
      </c>
      <c r="H80" s="14">
        <f>data!V66</f>
        <v>0</v>
      </c>
      <c r="I80" s="14">
        <f>data!W66</f>
        <v>133043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7509</v>
      </c>
      <c r="D81" s="14">
        <f>data!R67</f>
        <v>1548</v>
      </c>
      <c r="E81" s="14">
        <f>data!S67</f>
        <v>14206</v>
      </c>
      <c r="F81" s="14">
        <f>data!T67</f>
        <v>2360</v>
      </c>
      <c r="G81" s="14">
        <f>data!U67</f>
        <v>18152</v>
      </c>
      <c r="H81" s="14">
        <f>data!V67</f>
        <v>822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56</v>
      </c>
      <c r="D83" s="14">
        <f>data!R69</f>
        <v>28</v>
      </c>
      <c r="E83" s="14">
        <f>data!S69</f>
        <v>217</v>
      </c>
      <c r="F83" s="14">
        <f>data!T69</f>
        <v>0</v>
      </c>
      <c r="G83" s="14">
        <f>data!U69</f>
        <v>160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960792</v>
      </c>
      <c r="D85" s="14">
        <f>data!R71</f>
        <v>1158813</v>
      </c>
      <c r="E85" s="14">
        <f>data!S71</f>
        <v>411091</v>
      </c>
      <c r="F85" s="14">
        <f>data!T71</f>
        <v>61356</v>
      </c>
      <c r="G85" s="14">
        <f>data!U71</f>
        <v>2598271</v>
      </c>
      <c r="H85" s="14">
        <f>data!V71</f>
        <v>6562</v>
      </c>
      <c r="I85" s="14">
        <f>data!W71</f>
        <v>139924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190659</v>
      </c>
      <c r="D87" s="48">
        <f>+data!M683</f>
        <v>113343</v>
      </c>
      <c r="E87" s="48">
        <f>+data!M684</f>
        <v>121814</v>
      </c>
      <c r="F87" s="48">
        <f>+data!M685</f>
        <v>19098</v>
      </c>
      <c r="G87" s="48">
        <f>+data!M686</f>
        <v>488348</v>
      </c>
      <c r="H87" s="48">
        <f>+data!M687</f>
        <v>4694</v>
      </c>
      <c r="I87" s="48">
        <f>+data!M688</f>
        <v>52782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554853</v>
      </c>
      <c r="D88" s="14">
        <f>data!R73</f>
        <v>863263</v>
      </c>
      <c r="E88" s="14">
        <f>data!S73</f>
        <v>2114995</v>
      </c>
      <c r="F88" s="14">
        <f>data!T73</f>
        <v>522225</v>
      </c>
      <c r="G88" s="14">
        <f>data!U73</f>
        <v>5535827</v>
      </c>
      <c r="H88" s="14">
        <f>data!V73</f>
        <v>11781</v>
      </c>
      <c r="I88" s="14">
        <f>data!W73</f>
        <v>219387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1216539</v>
      </c>
      <c r="D89" s="14">
        <f>data!R74</f>
        <v>1357975</v>
      </c>
      <c r="E89" s="14">
        <f>data!S74</f>
        <v>5389507</v>
      </c>
      <c r="F89" s="14">
        <f>data!T74</f>
        <v>596011</v>
      </c>
      <c r="G89" s="14">
        <f>data!U74</f>
        <v>18614376</v>
      </c>
      <c r="H89" s="14">
        <f>data!V74</f>
        <v>341925</v>
      </c>
      <c r="I89" s="14">
        <f>data!W74</f>
        <v>3557714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1771392</v>
      </c>
      <c r="D90" s="14">
        <f>data!R75</f>
        <v>2221238</v>
      </c>
      <c r="E90" s="14">
        <f>data!S75</f>
        <v>7504502</v>
      </c>
      <c r="F90" s="14">
        <f>data!T75</f>
        <v>1118236</v>
      </c>
      <c r="G90" s="14">
        <f>data!U75</f>
        <v>24150203</v>
      </c>
      <c r="H90" s="14">
        <f>data!V75</f>
        <v>353706</v>
      </c>
      <c r="I90" s="14">
        <f>data!W75</f>
        <v>3777101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786</v>
      </c>
      <c r="D92" s="14">
        <f>data!R76</f>
        <v>162</v>
      </c>
      <c r="E92" s="14">
        <f>data!S76</f>
        <v>1487</v>
      </c>
      <c r="F92" s="14">
        <f>data!T76</f>
        <v>247</v>
      </c>
      <c r="G92" s="14">
        <f>data!U76</f>
        <v>1900</v>
      </c>
      <c r="H92" s="14">
        <f>data!V76</f>
        <v>86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367.70058971991386</v>
      </c>
      <c r="D94" s="14">
        <f>data!R78</f>
        <v>75.785617728531847</v>
      </c>
      <c r="E94" s="14">
        <f>data!S78</f>
        <v>695.63712075510409</v>
      </c>
      <c r="F94" s="14">
        <f>data!T78</f>
        <v>115.54967641325537</v>
      </c>
      <c r="G94" s="14">
        <f>data!U78</f>
        <v>888.84366471734893</v>
      </c>
      <c r="H94" s="14">
        <f>data!V78</f>
        <v>40.231871139837899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2135</v>
      </c>
      <c r="F95" s="14">
        <f>data!T79</f>
        <v>0</v>
      </c>
      <c r="G95" s="14">
        <f>data!U79</f>
        <v>239</v>
      </c>
      <c r="H95" s="14">
        <f>data!V79</f>
        <v>0</v>
      </c>
      <c r="I95" s="14">
        <f>data!W79</f>
        <v>2273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6.14</v>
      </c>
      <c r="D96" s="84">
        <f>data!R80</f>
        <v>0</v>
      </c>
      <c r="E96" s="84">
        <f>data!S80</f>
        <v>0</v>
      </c>
      <c r="F96" s="84">
        <f>data!T80</f>
        <v>0.02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CASCADE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46720.63</v>
      </c>
      <c r="D105" s="14">
        <f>data!Y59</f>
        <v>43086.27</v>
      </c>
      <c r="E105" s="14">
        <f>data!Z59</f>
        <v>0</v>
      </c>
      <c r="F105" s="14">
        <f>data!AA59</f>
        <v>3977.97</v>
      </c>
      <c r="G105" s="212"/>
      <c r="H105" s="14">
        <f>data!AC59</f>
        <v>11950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0.99999794520547969</v>
      </c>
      <c r="D106" s="26">
        <f>data!Y60</f>
        <v>16.732500000000002</v>
      </c>
      <c r="E106" s="26">
        <f>data!Z60</f>
        <v>0</v>
      </c>
      <c r="F106" s="26">
        <f>data!AA60</f>
        <v>1.0731191780821916</v>
      </c>
      <c r="G106" s="26">
        <f>data!AB60</f>
        <v>6.1890308219178092</v>
      </c>
      <c r="H106" s="26">
        <f>data!AC60</f>
        <v>6.6130869863013713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107261</v>
      </c>
      <c r="D107" s="14">
        <f>data!Y61</f>
        <v>1433074</v>
      </c>
      <c r="E107" s="14">
        <f>data!Z61</f>
        <v>0</v>
      </c>
      <c r="F107" s="14">
        <f>data!AA61</f>
        <v>106472</v>
      </c>
      <c r="G107" s="14">
        <f>data!AB61</f>
        <v>699147</v>
      </c>
      <c r="H107" s="14">
        <f>data!AC61</f>
        <v>532340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22560</v>
      </c>
      <c r="D108" s="14">
        <f>data!Y62</f>
        <v>301413</v>
      </c>
      <c r="E108" s="14">
        <f>data!Z62</f>
        <v>0</v>
      </c>
      <c r="F108" s="14">
        <f>data!AA62</f>
        <v>22394</v>
      </c>
      <c r="G108" s="14">
        <f>data!AB62</f>
        <v>147049</v>
      </c>
      <c r="H108" s="14">
        <f>data!AC62</f>
        <v>111965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21892</v>
      </c>
      <c r="E109" s="14">
        <f>data!Z63</f>
        <v>0</v>
      </c>
      <c r="F109" s="14">
        <f>data!AA63</f>
        <v>0</v>
      </c>
      <c r="G109" s="14">
        <f>data!AB63</f>
        <v>19623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135002</v>
      </c>
      <c r="D110" s="14">
        <f>data!Y64</f>
        <v>65023</v>
      </c>
      <c r="E110" s="14">
        <f>data!Z64</f>
        <v>0</v>
      </c>
      <c r="F110" s="14">
        <f>data!AA64</f>
        <v>109888</v>
      </c>
      <c r="G110" s="14">
        <f>data!AB64</f>
        <v>998612</v>
      </c>
      <c r="H110" s="14">
        <f>data!AC64</f>
        <v>90850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181847</v>
      </c>
      <c r="D112" s="14">
        <f>data!Y66</f>
        <v>243874</v>
      </c>
      <c r="E112" s="14">
        <f>data!Z66</f>
        <v>0</v>
      </c>
      <c r="F112" s="14">
        <f>data!AA66</f>
        <v>22818</v>
      </c>
      <c r="G112" s="14">
        <f>data!AB66</f>
        <v>233636</v>
      </c>
      <c r="H112" s="14">
        <f>data!AC66</f>
        <v>6051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4605</v>
      </c>
      <c r="D113" s="14">
        <f>data!Y67</f>
        <v>37880</v>
      </c>
      <c r="E113" s="14">
        <f>data!Z67</f>
        <v>0</v>
      </c>
      <c r="F113" s="14">
        <f>data!AA67</f>
        <v>5340</v>
      </c>
      <c r="G113" s="14">
        <f>data!AB67</f>
        <v>9181</v>
      </c>
      <c r="H113" s="14">
        <f>data!AC67</f>
        <v>8761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19552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6737</v>
      </c>
      <c r="D115" s="14">
        <f>data!Y69</f>
        <v>142</v>
      </c>
      <c r="E115" s="14">
        <f>data!Z69</f>
        <v>0</v>
      </c>
      <c r="F115" s="14">
        <f>data!AA69</f>
        <v>14</v>
      </c>
      <c r="G115" s="14">
        <f>data!AB69</f>
        <v>3945</v>
      </c>
      <c r="H115" s="14">
        <f>data!AC69</f>
        <v>169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458012</v>
      </c>
      <c r="D117" s="14">
        <f>data!Y71</f>
        <v>2103298</v>
      </c>
      <c r="E117" s="14">
        <f>data!Z71</f>
        <v>0</v>
      </c>
      <c r="F117" s="14">
        <f>data!AA71</f>
        <v>266926</v>
      </c>
      <c r="G117" s="14">
        <f>data!AB71</f>
        <v>2111193</v>
      </c>
      <c r="H117" s="14">
        <f>data!AC71</f>
        <v>769688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272194</v>
      </c>
      <c r="D119" s="48">
        <f>+data!M690</f>
        <v>331572</v>
      </c>
      <c r="E119" s="48">
        <f>+data!M691</f>
        <v>0</v>
      </c>
      <c r="F119" s="48">
        <f>+data!M692</f>
        <v>38111</v>
      </c>
      <c r="G119" s="48">
        <f>+data!M693</f>
        <v>261017</v>
      </c>
      <c r="H119" s="48">
        <f>+data!M694</f>
        <v>113422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3352898</v>
      </c>
      <c r="D120" s="14">
        <f>data!Y73</f>
        <v>1581826</v>
      </c>
      <c r="E120" s="14">
        <f>data!Z73</f>
        <v>0</v>
      </c>
      <c r="F120" s="14">
        <f>data!AA73</f>
        <v>212937</v>
      </c>
      <c r="G120" s="14">
        <f>data!AB73</f>
        <v>3849577</v>
      </c>
      <c r="H120" s="14">
        <f>data!AC73</f>
        <v>3749096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18581295</v>
      </c>
      <c r="D121" s="14">
        <f>data!Y74</f>
        <v>11175950</v>
      </c>
      <c r="E121" s="14">
        <f>data!Z74</f>
        <v>0</v>
      </c>
      <c r="F121" s="14">
        <f>data!AA74</f>
        <v>1009056</v>
      </c>
      <c r="G121" s="14">
        <f>data!AB74</f>
        <v>2759453</v>
      </c>
      <c r="H121" s="14">
        <f>data!AC74</f>
        <v>847886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21934193</v>
      </c>
      <c r="D122" s="14">
        <f>data!Y75</f>
        <v>12757776</v>
      </c>
      <c r="E122" s="14">
        <f>data!Z75</f>
        <v>0</v>
      </c>
      <c r="F122" s="14">
        <f>data!AA75</f>
        <v>1221993</v>
      </c>
      <c r="G122" s="14">
        <f>data!AB75</f>
        <v>6609030</v>
      </c>
      <c r="H122" s="14">
        <f>data!AC75</f>
        <v>4596982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482</v>
      </c>
      <c r="D124" s="14">
        <f>data!Y76</f>
        <v>3965</v>
      </c>
      <c r="E124" s="14">
        <f>data!Z76</f>
        <v>0</v>
      </c>
      <c r="F124" s="14">
        <f>data!AA76</f>
        <v>559</v>
      </c>
      <c r="G124" s="14">
        <f>data!AB76</f>
        <v>961</v>
      </c>
      <c r="H124" s="14">
        <f>data!AC76</f>
        <v>917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225.48560336513802</v>
      </c>
      <c r="D126" s="14">
        <f>data!Y78</f>
        <v>1854.876384528573</v>
      </c>
      <c r="E126" s="14">
        <f>data!Z78</f>
        <v>0</v>
      </c>
      <c r="F126" s="14">
        <f>data!AA78</f>
        <v>261.50716240894633</v>
      </c>
      <c r="G126" s="14">
        <f>data!AB78</f>
        <v>449.56776936493281</v>
      </c>
      <c r="H126" s="14">
        <f>data!AC78</f>
        <v>428.98402133989947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24669</v>
      </c>
      <c r="E127" s="14">
        <f>data!Z79</f>
        <v>0</v>
      </c>
      <c r="F127" s="14">
        <f>data!AA79</f>
        <v>0</v>
      </c>
      <c r="G127" s="14">
        <f>data!AB79</f>
        <v>159</v>
      </c>
      <c r="H127" s="14">
        <f>data!AC79</f>
        <v>976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CASCADE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3167</v>
      </c>
      <c r="D137" s="14">
        <f>data!AF59</f>
        <v>0</v>
      </c>
      <c r="E137" s="14">
        <f>data!AG59</f>
        <v>19779</v>
      </c>
      <c r="F137" s="14">
        <f>data!AH59</f>
        <v>0</v>
      </c>
      <c r="G137" s="14">
        <f>data!AI59</f>
        <v>0</v>
      </c>
      <c r="H137" s="14">
        <f>data!AJ59</f>
        <v>198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1.2006486301369865</v>
      </c>
      <c r="D138" s="26">
        <f>data!AF60</f>
        <v>0</v>
      </c>
      <c r="E138" s="26">
        <f>data!AG60</f>
        <v>31.095984931506855</v>
      </c>
      <c r="F138" s="26">
        <f>data!AH60</f>
        <v>0</v>
      </c>
      <c r="G138" s="26">
        <f>data!AI60</f>
        <v>0</v>
      </c>
      <c r="H138" s="26">
        <f>data!AJ60</f>
        <v>0.15688150684931509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109464</v>
      </c>
      <c r="D139" s="14">
        <f>data!AF61</f>
        <v>0</v>
      </c>
      <c r="E139" s="14">
        <f>data!AG61</f>
        <v>2988003</v>
      </c>
      <c r="F139" s="14">
        <f>data!AH61</f>
        <v>0</v>
      </c>
      <c r="G139" s="14">
        <f>data!AI61</f>
        <v>0</v>
      </c>
      <c r="H139" s="14">
        <f>data!AJ61</f>
        <v>14211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23023</v>
      </c>
      <c r="D140" s="14">
        <f>data!AF62</f>
        <v>0</v>
      </c>
      <c r="E140" s="14">
        <f>data!AG62</f>
        <v>628456</v>
      </c>
      <c r="F140" s="14">
        <f>data!AH62</f>
        <v>0</v>
      </c>
      <c r="G140" s="14">
        <f>data!AI62</f>
        <v>0</v>
      </c>
      <c r="H140" s="14">
        <f>data!AJ62</f>
        <v>2989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248269</v>
      </c>
      <c r="F141" s="14">
        <f>data!AH63</f>
        <v>0</v>
      </c>
      <c r="G141" s="14">
        <f>data!AI63</f>
        <v>0</v>
      </c>
      <c r="H141" s="14">
        <f>data!AJ63</f>
        <v>-300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1719</v>
      </c>
      <c r="D142" s="14">
        <f>data!AF64</f>
        <v>0</v>
      </c>
      <c r="E142" s="14">
        <f>data!AG64</f>
        <v>368545</v>
      </c>
      <c r="F142" s="14">
        <f>data!AH64</f>
        <v>0</v>
      </c>
      <c r="G142" s="14">
        <f>data!AI64</f>
        <v>0</v>
      </c>
      <c r="H142" s="14">
        <f>data!AJ64</f>
        <v>436005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100874</v>
      </c>
      <c r="F144" s="14">
        <f>data!AH66</f>
        <v>0</v>
      </c>
      <c r="G144" s="14">
        <f>data!AI66</f>
        <v>0</v>
      </c>
      <c r="H144" s="14">
        <f>data!AJ66</f>
        <v>587774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17445</v>
      </c>
      <c r="D145" s="14">
        <f>data!AF67</f>
        <v>0</v>
      </c>
      <c r="E145" s="14">
        <f>data!AG67</f>
        <v>86173</v>
      </c>
      <c r="F145" s="14">
        <f>data!AH67</f>
        <v>0</v>
      </c>
      <c r="G145" s="14">
        <f>data!AI67</f>
        <v>0</v>
      </c>
      <c r="H145" s="14">
        <f>data!AJ67</f>
        <v>2064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144001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83.52</v>
      </c>
      <c r="D147" s="14">
        <f>data!AF69</f>
        <v>0</v>
      </c>
      <c r="E147" s="14">
        <f>data!AG69</f>
        <v>10895</v>
      </c>
      <c r="F147" s="14">
        <f>data!AH69</f>
        <v>0</v>
      </c>
      <c r="G147" s="14">
        <f>data!AI69</f>
        <v>0</v>
      </c>
      <c r="H147" s="14">
        <f>data!AJ69</f>
        <v>156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151734.51999999999</v>
      </c>
      <c r="D149" s="14">
        <f>data!AF71</f>
        <v>0</v>
      </c>
      <c r="E149" s="14">
        <f>data!AG71</f>
        <v>4431215</v>
      </c>
      <c r="F149" s="14">
        <f>data!AH71</f>
        <v>0</v>
      </c>
      <c r="G149" s="14">
        <f>data!AI71</f>
        <v>0</v>
      </c>
      <c r="H149" s="14">
        <f>data!AJ71</f>
        <v>1186900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23434</v>
      </c>
      <c r="D151" s="48">
        <f>+data!M697</f>
        <v>0</v>
      </c>
      <c r="E151" s="48">
        <f>+data!M698</f>
        <v>1835606</v>
      </c>
      <c r="F151" s="48">
        <f>+data!M699</f>
        <v>0</v>
      </c>
      <c r="G151" s="48">
        <f>+data!M700</f>
        <v>0</v>
      </c>
      <c r="H151" s="48">
        <f>+data!M701</f>
        <v>171432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229878</v>
      </c>
      <c r="D152" s="14">
        <f>data!AF73</f>
        <v>0</v>
      </c>
      <c r="E152" s="14">
        <f>data!AG73</f>
        <v>5340595</v>
      </c>
      <c r="F152" s="14">
        <f>data!AH73</f>
        <v>0</v>
      </c>
      <c r="G152" s="14">
        <f>data!AI73</f>
        <v>0</v>
      </c>
      <c r="H152" s="14">
        <f>data!AJ73</f>
        <v>8010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288472</v>
      </c>
      <c r="D153" s="14">
        <f>data!AF74</f>
        <v>0</v>
      </c>
      <c r="E153" s="14">
        <f>data!AG74</f>
        <v>38866528</v>
      </c>
      <c r="F153" s="14">
        <f>data!AH74</f>
        <v>0</v>
      </c>
      <c r="G153" s="14">
        <f>data!AI74</f>
        <v>0</v>
      </c>
      <c r="H153" s="14">
        <f>data!AJ74</f>
        <v>6484727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518350</v>
      </c>
      <c r="D154" s="14">
        <f>data!AF75</f>
        <v>0</v>
      </c>
      <c r="E154" s="14">
        <f>data!AG75</f>
        <v>44207123</v>
      </c>
      <c r="F154" s="14">
        <f>data!AH75</f>
        <v>0</v>
      </c>
      <c r="G154" s="14">
        <f>data!AI75</f>
        <v>0</v>
      </c>
      <c r="H154" s="14">
        <f>data!AJ75</f>
        <v>6492737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1826</v>
      </c>
      <c r="D156" s="14">
        <f>data!AF76</f>
        <v>0</v>
      </c>
      <c r="E156" s="14">
        <f>data!AG76</f>
        <v>9020</v>
      </c>
      <c r="F156" s="14">
        <f>data!AH76</f>
        <v>0</v>
      </c>
      <c r="G156" s="14">
        <f>data!AI76</f>
        <v>0</v>
      </c>
      <c r="H156" s="14">
        <f>data!AJ76</f>
        <v>216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16863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854.22554303888364</v>
      </c>
      <c r="D158" s="14">
        <f>data!AF78</f>
        <v>0</v>
      </c>
      <c r="E158" s="14">
        <f>data!AG78</f>
        <v>4219.6683451318358</v>
      </c>
      <c r="F158" s="14">
        <f>data!AH78</f>
        <v>0</v>
      </c>
      <c r="G158" s="14">
        <f>data!AI78</f>
        <v>0</v>
      </c>
      <c r="H158" s="14">
        <f>data!AJ78</f>
        <v>101.04749030470914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194</v>
      </c>
      <c r="D159" s="14">
        <f>data!AF79</f>
        <v>0</v>
      </c>
      <c r="E159" s="14">
        <f>data!AG79</f>
        <v>78347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22.37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CASCADE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1875.25</v>
      </c>
      <c r="G169" s="14">
        <f>data!AP59</f>
        <v>25941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0.11</v>
      </c>
      <c r="D170" s="26">
        <f>data!AM60</f>
        <v>0</v>
      </c>
      <c r="E170" s="26">
        <f>data!AN60</f>
        <v>0</v>
      </c>
      <c r="F170" s="26">
        <f>data!AO60</f>
        <v>2.6467383561643834</v>
      </c>
      <c r="G170" s="26" t="e">
        <f>data!#REF!</f>
        <v>#REF!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10337</v>
      </c>
      <c r="D171" s="14">
        <f>data!AM61</f>
        <v>0</v>
      </c>
      <c r="E171" s="14">
        <f>data!AN61</f>
        <v>0</v>
      </c>
      <c r="F171" s="14">
        <f>data!AO61</f>
        <v>210033</v>
      </c>
      <c r="G171" s="14">
        <f>data!AP61</f>
        <v>4802464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2174</v>
      </c>
      <c r="D172" s="14">
        <f>data!AM62</f>
        <v>0</v>
      </c>
      <c r="E172" s="14">
        <f>data!AN62</f>
        <v>0</v>
      </c>
      <c r="F172" s="14">
        <f>data!AO62</f>
        <v>44175</v>
      </c>
      <c r="G172" s="14">
        <f>data!AP62</f>
        <v>1010085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1053724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57</v>
      </c>
      <c r="D174" s="14">
        <f>data!AM64</f>
        <v>0</v>
      </c>
      <c r="E174" s="14">
        <f>data!AN64</f>
        <v>0</v>
      </c>
      <c r="F174" s="14">
        <f>data!AO64</f>
        <v>42423</v>
      </c>
      <c r="G174" s="14">
        <f>data!AP64</f>
        <v>428791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48381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207414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18849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449536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78812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12568</v>
      </c>
      <c r="D181" s="14">
        <f>data!AM71</f>
        <v>0</v>
      </c>
      <c r="E181" s="14">
        <f>data!AN71</f>
        <v>0</v>
      </c>
      <c r="F181" s="14">
        <f>data!AO71</f>
        <v>315480</v>
      </c>
      <c r="G181" s="14">
        <f>data!AP71</f>
        <v>8079207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952</v>
      </c>
      <c r="D183" s="48">
        <f>+data!M704</f>
        <v>0</v>
      </c>
      <c r="E183" s="48">
        <f>+data!M705</f>
        <v>0</v>
      </c>
      <c r="F183" s="48">
        <f>+data!M706</f>
        <v>63462</v>
      </c>
      <c r="G183" s="48">
        <f>+data!M707</f>
        <v>772960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9615409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9615409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1973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922.99397394069979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14355</v>
      </c>
      <c r="G191" s="14">
        <f>data!AP79</f>
        <v>656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1.2</v>
      </c>
      <c r="G192" s="26">
        <f>data!AP80</f>
        <v>3.03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CASCADE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96960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data!AP60</f>
        <v>30.32</v>
      </c>
      <c r="G202" s="26">
        <f>data!AW60</f>
        <v>0</v>
      </c>
      <c r="H202" s="26">
        <f>data!AX60</f>
        <v>0</v>
      </c>
      <c r="I202" s="26">
        <f>data!AY60</f>
        <v>13.187184931506847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562138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118232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588</v>
      </c>
      <c r="I206" s="14">
        <f>data!AY64</f>
        <v>256387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18790</v>
      </c>
      <c r="I208" s="14">
        <f>data!AY66</f>
        <v>92598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908</v>
      </c>
      <c r="G209" s="14">
        <f>data!AW67</f>
        <v>0</v>
      </c>
      <c r="H209" s="14">
        <f>data!AX67</f>
        <v>0</v>
      </c>
      <c r="I209" s="14">
        <f>data!AY67</f>
        <v>46229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33227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3699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908</v>
      </c>
      <c r="G213" s="14">
        <f>data!AW71</f>
        <v>0</v>
      </c>
      <c r="H213" s="14">
        <f>data!AX71</f>
        <v>52605</v>
      </c>
      <c r="I213" s="14">
        <f>data!AY71</f>
        <v>1079283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394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95</v>
      </c>
      <c r="G220" s="14">
        <f>data!AW76</f>
        <v>0</v>
      </c>
      <c r="H220" s="14">
        <f>data!AX76</f>
        <v>0</v>
      </c>
      <c r="I220" s="85">
        <f>data!AY76</f>
        <v>4839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44.442183235867446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CASCADE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89368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1.0198520547945207</v>
      </c>
      <c r="E234" s="26">
        <f>data!BB60</f>
        <v>0</v>
      </c>
      <c r="F234" s="26">
        <f>data!BC60</f>
        <v>0</v>
      </c>
      <c r="G234" s="26">
        <f>data!BD60</f>
        <v>4.3461705479452055</v>
      </c>
      <c r="H234" s="26">
        <f>data!BE60</f>
        <v>3.894119178082192</v>
      </c>
      <c r="I234" s="26">
        <f>data!BF60</f>
        <v>11.001612328767123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36706</v>
      </c>
      <c r="E235" s="14">
        <f>data!BB61</f>
        <v>0</v>
      </c>
      <c r="F235" s="14">
        <f>data!BC61</f>
        <v>0</v>
      </c>
      <c r="G235" s="14">
        <f>data!BD61</f>
        <v>183971</v>
      </c>
      <c r="H235" s="14">
        <f>data!BE61</f>
        <v>284712</v>
      </c>
      <c r="I235" s="14">
        <f>data!BF61</f>
        <v>421349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7720</v>
      </c>
      <c r="E236" s="14">
        <f>data!BB62</f>
        <v>0</v>
      </c>
      <c r="F236" s="14">
        <f>data!BC62</f>
        <v>0</v>
      </c>
      <c r="G236" s="14">
        <f>data!BD62</f>
        <v>38694</v>
      </c>
      <c r="H236" s="14">
        <f>data!BE62</f>
        <v>59882</v>
      </c>
      <c r="I236" s="14">
        <f>data!BF62</f>
        <v>88621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1375</v>
      </c>
      <c r="E238" s="14">
        <f>data!BB64</f>
        <v>0</v>
      </c>
      <c r="F238" s="14">
        <f>data!BC64</f>
        <v>0</v>
      </c>
      <c r="G238" s="14">
        <f>data!BD64</f>
        <v>-22212</v>
      </c>
      <c r="H238" s="14">
        <f>data!BE64</f>
        <v>78543</v>
      </c>
      <c r="I238" s="14">
        <f>data!BF64</f>
        <v>50467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155439</v>
      </c>
      <c r="E240" s="14">
        <f>data!BB66</f>
        <v>0</v>
      </c>
      <c r="F240" s="14">
        <f>data!BC66</f>
        <v>3859</v>
      </c>
      <c r="G240" s="14">
        <f>data!BD66</f>
        <v>0</v>
      </c>
      <c r="H240" s="14">
        <f>data!BE66</f>
        <v>680734</v>
      </c>
      <c r="I240" s="14">
        <f>data!BF66</f>
        <v>150267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3544</v>
      </c>
      <c r="E241" s="14">
        <f>data!BB67</f>
        <v>0</v>
      </c>
      <c r="F241" s="14">
        <f>data!BC67</f>
        <v>0</v>
      </c>
      <c r="G241" s="14">
        <f>data!BD67</f>
        <v>15333</v>
      </c>
      <c r="H241" s="14">
        <f>data!BE67</f>
        <v>280930</v>
      </c>
      <c r="I241" s="14">
        <f>data!BF67</f>
        <v>3812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6815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929</v>
      </c>
      <c r="H243" s="14">
        <f>data!BE69</f>
        <v>1141</v>
      </c>
      <c r="I243" s="14">
        <f>data!BF69</f>
        <v>1036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204784</v>
      </c>
      <c r="E245" s="14">
        <f>data!BB71</f>
        <v>0</v>
      </c>
      <c r="F245" s="14">
        <f>data!BC71</f>
        <v>3859</v>
      </c>
      <c r="G245" s="14">
        <f>data!BD71</f>
        <v>216715</v>
      </c>
      <c r="H245" s="14">
        <f>data!BE71</f>
        <v>1392757</v>
      </c>
      <c r="I245" s="14">
        <f>data!BF71</f>
        <v>715552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371</v>
      </c>
      <c r="E252" s="85">
        <f>data!BB76</f>
        <v>0</v>
      </c>
      <c r="F252" s="85">
        <f>data!BC76</f>
        <v>0</v>
      </c>
      <c r="G252" s="85">
        <f>data!BD76</f>
        <v>1605</v>
      </c>
      <c r="H252" s="85">
        <f>data!BE76</f>
        <v>29406</v>
      </c>
      <c r="I252" s="85">
        <f>data!BF76</f>
        <v>399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173.55842084744023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CASCADE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8.5886739726027415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432875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91045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2</v>
      </c>
      <c r="H270" s="14">
        <f>data!BL64</f>
        <v>11027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1595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7901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83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1595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2</v>
      </c>
      <c r="H277" s="14">
        <f>data!BL71</f>
        <v>542931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167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827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386.88090037960399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CASCADE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4.0095041095890407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504347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106077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3213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2084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33561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58284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707586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3513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CASCADE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8.058563013698631</v>
      </c>
      <c r="E330" s="26">
        <f>data!BW60</f>
        <v>1.0000027397260274</v>
      </c>
      <c r="F330" s="26">
        <f>data!BX60</f>
        <v>4.4038000000000004</v>
      </c>
      <c r="G330" s="26">
        <f>data!BY60</f>
        <v>7.3278493150684936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452545</v>
      </c>
      <c r="E331" s="86">
        <f>data!BW61</f>
        <v>132174</v>
      </c>
      <c r="F331" s="86">
        <f>data!BX61</f>
        <v>361402</v>
      </c>
      <c r="G331" s="86">
        <f>data!BY61</f>
        <v>919363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95182</v>
      </c>
      <c r="E332" s="86">
        <f>data!BW62</f>
        <v>27800</v>
      </c>
      <c r="F332" s="86">
        <f>data!BX62</f>
        <v>76012</v>
      </c>
      <c r="G332" s="86">
        <f>data!BY62</f>
        <v>193366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3398</v>
      </c>
      <c r="F333" s="86">
        <f>data!BX63</f>
        <v>12482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41</v>
      </c>
      <c r="E334" s="86">
        <f>data!BW64</f>
        <v>6781</v>
      </c>
      <c r="F334" s="86">
        <f>data!BX64</f>
        <v>3432</v>
      </c>
      <c r="G334" s="86">
        <f>data!BY64</f>
        <v>-12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25354</v>
      </c>
      <c r="E336" s="86">
        <f>data!BW66</f>
        <v>5179</v>
      </c>
      <c r="F336" s="86">
        <f>data!BX66</f>
        <v>160034</v>
      </c>
      <c r="G336" s="86">
        <f>data!BY66</f>
        <v>1502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17684</v>
      </c>
      <c r="E337" s="86">
        <f>data!BW67</f>
        <v>5235</v>
      </c>
      <c r="F337" s="86">
        <f>data!BX67</f>
        <v>8799</v>
      </c>
      <c r="G337" s="86">
        <f>data!BY67</f>
        <v>2856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268</v>
      </c>
      <c r="E339" s="86">
        <f>data!BW69</f>
        <v>11029</v>
      </c>
      <c r="F339" s="86">
        <f>data!BX69</f>
        <v>10202</v>
      </c>
      <c r="G339" s="86">
        <f>data!BY69</f>
        <v>52143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591074</v>
      </c>
      <c r="E341" s="14">
        <f>data!BW71</f>
        <v>191596</v>
      </c>
      <c r="F341" s="14">
        <f>data!BX71</f>
        <v>632363</v>
      </c>
      <c r="G341" s="14">
        <f>data!BY71</f>
        <v>1169218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1851</v>
      </c>
      <c r="E348" s="85">
        <f>data!BW76</f>
        <v>548</v>
      </c>
      <c r="F348" s="85">
        <f>data!BX76</f>
        <v>921</v>
      </c>
      <c r="G348" s="85">
        <f>data!BY76</f>
        <v>299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865.92085441674362</v>
      </c>
      <c r="E350" s="85">
        <f>data!BW78</f>
        <v>256.36122540268798</v>
      </c>
      <c r="F350" s="85">
        <f>data!BX78</f>
        <v>430.85527116035701</v>
      </c>
      <c r="G350" s="85">
        <f>data!BY78</f>
        <v>139.87592407920386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CASCADE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1.620945890410959</v>
      </c>
      <c r="E362" s="217"/>
      <c r="F362" s="211"/>
      <c r="G362" s="211"/>
      <c r="H362" s="211"/>
      <c r="I362" s="87">
        <f>data!CE60</f>
        <v>269.63356575342459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1754</v>
      </c>
      <c r="E363" s="218"/>
      <c r="F363" s="219"/>
      <c r="G363" s="219"/>
      <c r="H363" s="219"/>
      <c r="I363" s="86">
        <f>data!CE61</f>
        <v>24138343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369</v>
      </c>
      <c r="E364" s="218"/>
      <c r="F364" s="219"/>
      <c r="G364" s="219"/>
      <c r="H364" s="219"/>
      <c r="I364" s="86">
        <f>data!CE62</f>
        <v>5076927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119295.45</v>
      </c>
      <c r="E365" s="218"/>
      <c r="F365" s="219"/>
      <c r="G365" s="219"/>
      <c r="H365" s="219"/>
      <c r="I365" s="86">
        <f>data!CE63</f>
        <v>2891568.12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54778</v>
      </c>
      <c r="E366" s="218"/>
      <c r="F366" s="219"/>
      <c r="G366" s="219"/>
      <c r="H366" s="219"/>
      <c r="I366" s="86">
        <f>data!CE64</f>
        <v>7737255.0600000005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741266</v>
      </c>
      <c r="E367" s="218"/>
      <c r="F367" s="219"/>
      <c r="G367" s="219"/>
      <c r="H367" s="219"/>
      <c r="I367" s="86">
        <f>data!CE65</f>
        <v>799140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1550588</v>
      </c>
      <c r="E368" s="218"/>
      <c r="F368" s="219"/>
      <c r="G368" s="219"/>
      <c r="H368" s="219"/>
      <c r="I368" s="86">
        <f>data!CE66</f>
        <v>5175391.8599999994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6726</v>
      </c>
      <c r="E369" s="218"/>
      <c r="F369" s="219"/>
      <c r="G369" s="219"/>
      <c r="H369" s="219"/>
      <c r="I369" s="86">
        <f>data!CE67</f>
        <v>853779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735495.41999999993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19682</v>
      </c>
      <c r="E371" s="86">
        <f>data!CD69</f>
        <v>689921</v>
      </c>
      <c r="F371" s="219"/>
      <c r="G371" s="219"/>
      <c r="H371" s="219"/>
      <c r="I371" s="86">
        <f>data!CE69</f>
        <v>952888.58000000007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2768282</v>
      </c>
      <c r="F372" s="220"/>
      <c r="G372" s="220"/>
      <c r="H372" s="220"/>
      <c r="I372" s="14">
        <f>-data!CE70</f>
        <v>-2768282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2494458.4500000002</v>
      </c>
      <c r="E373" s="86">
        <f>data!CD71</f>
        <v>-2078361</v>
      </c>
      <c r="F373" s="219"/>
      <c r="G373" s="219"/>
      <c r="H373" s="219"/>
      <c r="I373" s="14">
        <f>data!CE71</f>
        <v>45592506.039999999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58538362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142263478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200801840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704</v>
      </c>
      <c r="E380" s="214"/>
      <c r="F380" s="211"/>
      <c r="G380" s="211"/>
      <c r="H380" s="211"/>
      <c r="I380" s="14">
        <f>data!CE76</f>
        <v>89368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32761.399999999998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22798.84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247601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80.290000000000006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2019-06-24T19:01:52Z</cp:lastPrinted>
  <dcterms:created xsi:type="dcterms:W3CDTF">1999-06-02T22:01:56Z</dcterms:created>
  <dcterms:modified xsi:type="dcterms:W3CDTF">2020-09-03T21:12:00Z</dcterms:modified>
</cp:coreProperties>
</file>