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data!$DR$729:$DR$774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V80" i="1" l="1"/>
  <c r="C392" i="1" l="1"/>
  <c r="C384" i="1"/>
  <c r="C380" i="1"/>
  <c r="C364" i="1"/>
  <c r="C327" i="1"/>
  <c r="D203" i="1" l="1"/>
  <c r="B195" i="1"/>
  <c r="AV78" i="1" l="1"/>
  <c r="E77" i="1"/>
  <c r="AY76" i="1"/>
  <c r="AZ76" i="1" s="1"/>
  <c r="CD69" i="1" l="1"/>
  <c r="AY70" i="1"/>
  <c r="AZ70" i="1" s="1"/>
  <c r="AV74" i="1"/>
  <c r="AC74" i="1"/>
  <c r="AC73" i="1"/>
  <c r="CC69" i="1" l="1"/>
  <c r="AY69" i="1"/>
  <c r="AZ69" i="1" s="1"/>
  <c r="AC69" i="1"/>
  <c r="CC68" i="1"/>
  <c r="AY68" i="1"/>
  <c r="AZ68" i="1" s="1"/>
  <c r="AY66" i="1"/>
  <c r="AZ66" i="1" s="1"/>
  <c r="AC66" i="1"/>
  <c r="AY65" i="1"/>
  <c r="AZ65" i="1" s="1"/>
  <c r="AC65" i="1"/>
  <c r="CC64" i="1"/>
  <c r="AY64" i="1"/>
  <c r="AZ64" i="1" s="1"/>
  <c r="AC64" i="1"/>
  <c r="CC63" i="1"/>
  <c r="AY63" i="1"/>
  <c r="AZ63" i="1" s="1"/>
  <c r="CC61" i="1"/>
  <c r="AY61" i="1"/>
  <c r="AZ61" i="1" s="1"/>
  <c r="AC61" i="1"/>
  <c r="CC60" i="1"/>
  <c r="AY60" i="1"/>
  <c r="AZ60" i="1" s="1"/>
  <c r="AY51" i="1" l="1"/>
  <c r="AZ51" i="1" s="1"/>
  <c r="CC47" i="1"/>
  <c r="AY47" i="1"/>
  <c r="AZ47" i="1" s="1"/>
  <c r="AC47" i="1"/>
  <c r="O817" i="10" l="1"/>
  <c r="M817" i="10"/>
  <c r="L817" i="10"/>
  <c r="K817" i="10"/>
  <c r="J817" i="10"/>
  <c r="I817" i="10"/>
  <c r="H817" i="10"/>
  <c r="G817" i="10"/>
  <c r="E817" i="10"/>
  <c r="D817" i="10"/>
  <c r="X813" i="10"/>
  <c r="X815" i="10" s="1"/>
  <c r="W813" i="10"/>
  <c r="W815" i="10" s="1"/>
  <c r="V813" i="10"/>
  <c r="V815" i="10" s="1"/>
  <c r="A813" i="10"/>
  <c r="T812" i="10"/>
  <c r="S812" i="10"/>
  <c r="R812" i="10"/>
  <c r="Q812" i="10"/>
  <c r="P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B783" i="10"/>
  <c r="A783" i="10"/>
  <c r="T782" i="10"/>
  <c r="S782" i="10"/>
  <c r="R782" i="10"/>
  <c r="Q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C730" i="10"/>
  <c r="CB730" i="10"/>
  <c r="CA730" i="10"/>
  <c r="BZ730" i="10"/>
  <c r="BY730" i="10"/>
  <c r="BX730" i="10"/>
  <c r="BW730" i="10"/>
  <c r="BV730" i="10"/>
  <c r="BU730" i="10"/>
  <c r="BT730" i="10"/>
  <c r="BR730" i="10"/>
  <c r="BQ730" i="10"/>
  <c r="BP730" i="10"/>
  <c r="BO730" i="10"/>
  <c r="BN730" i="10"/>
  <c r="BM730" i="10"/>
  <c r="BK730" i="10"/>
  <c r="BJ730" i="10"/>
  <c r="BF730" i="10"/>
  <c r="BE730" i="10"/>
  <c r="BB730" i="10"/>
  <c r="BA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Q722" i="10"/>
  <c r="AP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I722" i="10"/>
  <c r="H722" i="10"/>
  <c r="G722" i="10"/>
  <c r="F722" i="10"/>
  <c r="E722" i="10"/>
  <c r="D722" i="10"/>
  <c r="C722" i="10"/>
  <c r="B722" i="10"/>
  <c r="A722" i="10"/>
  <c r="F550" i="10"/>
  <c r="E550" i="10"/>
  <c r="E546" i="10"/>
  <c r="F546" i="10"/>
  <c r="E545" i="10"/>
  <c r="F544" i="10"/>
  <c r="E544" i="10"/>
  <c r="F540" i="10"/>
  <c r="E540" i="10"/>
  <c r="H540" i="10"/>
  <c r="H539" i="10"/>
  <c r="F539" i="10"/>
  <c r="E539" i="10"/>
  <c r="H538" i="10"/>
  <c r="E538" i="10"/>
  <c r="F538" i="10"/>
  <c r="H537" i="10"/>
  <c r="E537" i="10"/>
  <c r="F537" i="10"/>
  <c r="E536" i="10"/>
  <c r="H536" i="10"/>
  <c r="H535" i="10"/>
  <c r="E535" i="10"/>
  <c r="F535" i="10"/>
  <c r="H534" i="10"/>
  <c r="F534" i="10"/>
  <c r="E534" i="10"/>
  <c r="E533" i="10"/>
  <c r="H533" i="10"/>
  <c r="F532" i="10"/>
  <c r="E532" i="10"/>
  <c r="H532" i="10"/>
  <c r="E531" i="10"/>
  <c r="F531" i="10"/>
  <c r="E530" i="10"/>
  <c r="F530" i="10"/>
  <c r="F529" i="10"/>
  <c r="E529" i="10"/>
  <c r="E528" i="10"/>
  <c r="H528" i="10"/>
  <c r="H527" i="10"/>
  <c r="F527" i="10"/>
  <c r="E527" i="10"/>
  <c r="E526" i="10"/>
  <c r="F526" i="10"/>
  <c r="F525" i="10"/>
  <c r="E525" i="10"/>
  <c r="H525" i="10"/>
  <c r="F524" i="10"/>
  <c r="E524" i="10"/>
  <c r="H523" i="10"/>
  <c r="E523" i="10"/>
  <c r="F523" i="10"/>
  <c r="E522" i="10"/>
  <c r="F522" i="10"/>
  <c r="F521" i="10"/>
  <c r="E520" i="10"/>
  <c r="F520" i="10"/>
  <c r="E519" i="10"/>
  <c r="F519" i="10"/>
  <c r="F518" i="10"/>
  <c r="E518" i="10"/>
  <c r="F517" i="10"/>
  <c r="E517" i="10"/>
  <c r="E516" i="10"/>
  <c r="F516" i="10"/>
  <c r="F515" i="10"/>
  <c r="E515" i="10"/>
  <c r="E514" i="10"/>
  <c r="F513" i="10"/>
  <c r="F512" i="10"/>
  <c r="E511" i="10"/>
  <c r="F511" i="10"/>
  <c r="E510" i="10"/>
  <c r="E509" i="10"/>
  <c r="F509" i="10"/>
  <c r="H508" i="10"/>
  <c r="E508" i="10"/>
  <c r="F508" i="10"/>
  <c r="H507" i="10"/>
  <c r="F507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E502" i="10"/>
  <c r="H502" i="10"/>
  <c r="E501" i="10"/>
  <c r="F501" i="10"/>
  <c r="H500" i="10"/>
  <c r="F500" i="10"/>
  <c r="E500" i="10"/>
  <c r="E499" i="10"/>
  <c r="F499" i="10"/>
  <c r="E498" i="10"/>
  <c r="E497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4" i="10"/>
  <c r="B439" i="10"/>
  <c r="B438" i="10"/>
  <c r="B437" i="10"/>
  <c r="B436" i="10"/>
  <c r="B435" i="10"/>
  <c r="B434" i="10"/>
  <c r="B433" i="10"/>
  <c r="B432" i="10"/>
  <c r="B431" i="10"/>
  <c r="B430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92" i="10"/>
  <c r="CD730" i="10" s="1"/>
  <c r="C380" i="10"/>
  <c r="B429" i="10" s="1"/>
  <c r="D372" i="10"/>
  <c r="C364" i="10"/>
  <c r="BL730" i="10" s="1"/>
  <c r="D361" i="10"/>
  <c r="D329" i="10"/>
  <c r="C327" i="10"/>
  <c r="AZ730" i="10" s="1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D217" i="10"/>
  <c r="B217" i="10"/>
  <c r="E216" i="10"/>
  <c r="C215" i="10"/>
  <c r="BO722" i="10" s="1"/>
  <c r="E214" i="10"/>
  <c r="E213" i="10"/>
  <c r="E212" i="10"/>
  <c r="E211" i="10"/>
  <c r="E210" i="10"/>
  <c r="E209" i="10"/>
  <c r="C204" i="10"/>
  <c r="B204" i="10"/>
  <c r="D203" i="10"/>
  <c r="AR722" i="10" s="1"/>
  <c r="D202" i="10"/>
  <c r="AO722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D190" i="10"/>
  <c r="D437" i="10" s="1"/>
  <c r="D186" i="10"/>
  <c r="D181" i="10"/>
  <c r="D435" i="10" s="1"/>
  <c r="C176" i="10"/>
  <c r="J722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D141" i="10"/>
  <c r="AK726" i="10" s="1"/>
  <c r="E140" i="10"/>
  <c r="E139" i="10"/>
  <c r="C415" i="10" s="1"/>
  <c r="E138" i="10"/>
  <c r="C414" i="10" s="1"/>
  <c r="E127" i="10"/>
  <c r="CE80" i="10"/>
  <c r="CF79" i="10"/>
  <c r="CE79" i="10"/>
  <c r="AV78" i="10"/>
  <c r="E77" i="10"/>
  <c r="Q736" i="10" s="1"/>
  <c r="AY76" i="10"/>
  <c r="P782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AV74" i="10"/>
  <c r="CE73" i="10"/>
  <c r="O816" i="10" s="1"/>
  <c r="CC70" i="10"/>
  <c r="M812" i="10" s="1"/>
  <c r="AY70" i="10"/>
  <c r="CD69" i="10"/>
  <c r="CC69" i="10"/>
  <c r="L812" i="10" s="1"/>
  <c r="AY69" i="10"/>
  <c r="L782" i="10" s="1"/>
  <c r="CC68" i="10"/>
  <c r="K812" i="10" s="1"/>
  <c r="AY68" i="10"/>
  <c r="K782" i="10" s="1"/>
  <c r="CC66" i="10"/>
  <c r="I812" i="10" s="1"/>
  <c r="AY66" i="10"/>
  <c r="I782" i="10" s="1"/>
  <c r="CC65" i="10"/>
  <c r="H812" i="10" s="1"/>
  <c r="AY65" i="10"/>
  <c r="H782" i="10" s="1"/>
  <c r="CC64" i="10"/>
  <c r="G812" i="10" s="1"/>
  <c r="AY64" i="10"/>
  <c r="G782" i="10" s="1"/>
  <c r="AC64" i="10"/>
  <c r="G760" i="10" s="1"/>
  <c r="CC63" i="10"/>
  <c r="F812" i="10" s="1"/>
  <c r="AY63" i="10"/>
  <c r="CC61" i="10"/>
  <c r="D812" i="10" s="1"/>
  <c r="AY61" i="10"/>
  <c r="AY60" i="10"/>
  <c r="C782" i="10" s="1"/>
  <c r="B53" i="10"/>
  <c r="AY51" i="10"/>
  <c r="B49" i="10"/>
  <c r="AY47" i="10"/>
  <c r="E141" i="10" l="1"/>
  <c r="D463" i="10" s="1"/>
  <c r="AZ68" i="10"/>
  <c r="K783" i="10" s="1"/>
  <c r="K815" i="10" s="1"/>
  <c r="AZ60" i="10"/>
  <c r="C783" i="10" s="1"/>
  <c r="C815" i="10" s="1"/>
  <c r="AZ65" i="10"/>
  <c r="H783" i="10" s="1"/>
  <c r="H815" i="10" s="1"/>
  <c r="AZ76" i="10"/>
  <c r="P783" i="10" s="1"/>
  <c r="P815" i="10" s="1"/>
  <c r="D277" i="10"/>
  <c r="D292" i="10" s="1"/>
  <c r="D341" i="10" s="1"/>
  <c r="C481" i="10" s="1"/>
  <c r="CE77" i="10"/>
  <c r="Q816" i="10" s="1"/>
  <c r="D177" i="10"/>
  <c r="D434" i="10" s="1"/>
  <c r="E202" i="10"/>
  <c r="C474" i="10" s="1"/>
  <c r="E215" i="10"/>
  <c r="E217" i="10" s="1"/>
  <c r="C478" i="10" s="1"/>
  <c r="D367" i="10"/>
  <c r="C448" i="10" s="1"/>
  <c r="C473" i="10"/>
  <c r="E203" i="10"/>
  <c r="C475" i="10" s="1"/>
  <c r="AZ64" i="10"/>
  <c r="G783" i="10" s="1"/>
  <c r="G815" i="10" s="1"/>
  <c r="AZ69" i="10"/>
  <c r="L783" i="10" s="1"/>
  <c r="C445" i="10"/>
  <c r="AZ66" i="10"/>
  <c r="I783" i="10" s="1"/>
  <c r="I815" i="10" s="1"/>
  <c r="D464" i="10"/>
  <c r="B440" i="10"/>
  <c r="F497" i="10"/>
  <c r="AZ51" i="10"/>
  <c r="CE74" i="10"/>
  <c r="C464" i="10" s="1"/>
  <c r="AV75" i="10"/>
  <c r="CD722" i="10"/>
  <c r="B444" i="10"/>
  <c r="N817" i="10"/>
  <c r="B465" i="10"/>
  <c r="F510" i="10"/>
  <c r="T816" i="10"/>
  <c r="L612" i="10"/>
  <c r="D782" i="10"/>
  <c r="AZ61" i="10"/>
  <c r="D783" i="10" s="1"/>
  <c r="U813" i="10"/>
  <c r="U815" i="10" s="1"/>
  <c r="C615" i="10"/>
  <c r="C438" i="10"/>
  <c r="CD71" i="10"/>
  <c r="C575" i="10" s="1"/>
  <c r="M782" i="10"/>
  <c r="AZ70" i="10"/>
  <c r="CE70" i="10" s="1"/>
  <c r="C468" i="10"/>
  <c r="F782" i="10"/>
  <c r="AZ63" i="10"/>
  <c r="F783" i="10" s="1"/>
  <c r="AZ47" i="10"/>
  <c r="R779" i="10"/>
  <c r="R815" i="10" s="1"/>
  <c r="CE78" i="10"/>
  <c r="D242" i="10"/>
  <c r="B448" i="10" s="1"/>
  <c r="F817" i="10"/>
  <c r="BS730" i="10"/>
  <c r="D390" i="10"/>
  <c r="B441" i="10" s="1"/>
  <c r="F496" i="10"/>
  <c r="CE68" i="10"/>
  <c r="S816" i="10"/>
  <c r="J612" i="10"/>
  <c r="D436" i="10"/>
  <c r="D438" i="10"/>
  <c r="F498" i="10"/>
  <c r="F503" i="10"/>
  <c r="C217" i="10"/>
  <c r="D433" i="10" s="1"/>
  <c r="F502" i="10"/>
  <c r="F533" i="10"/>
  <c r="D328" i="10"/>
  <c r="D330" i="10" s="1"/>
  <c r="D339" i="10" s="1"/>
  <c r="C482" i="10" s="1"/>
  <c r="C463" i="10"/>
  <c r="D204" i="10"/>
  <c r="F514" i="10"/>
  <c r="F528" i="10"/>
  <c r="F536" i="10"/>
  <c r="F545" i="10"/>
  <c r="S815" i="10"/>
  <c r="O815" i="10"/>
  <c r="T815" i="10"/>
  <c r="Q815" i="10"/>
  <c r="CE76" i="10" l="1"/>
  <c r="P816" i="10" s="1"/>
  <c r="G612" i="10"/>
  <c r="CF77" i="10"/>
  <c r="CE60" i="10"/>
  <c r="BI730" i="10" s="1"/>
  <c r="CE64" i="10"/>
  <c r="F612" i="10" s="1"/>
  <c r="L815" i="10"/>
  <c r="CE65" i="10"/>
  <c r="H816" i="10" s="1"/>
  <c r="D815" i="10"/>
  <c r="E204" i="10"/>
  <c r="C476" i="10" s="1"/>
  <c r="CE69" i="10"/>
  <c r="L816" i="10" s="1"/>
  <c r="CE66" i="10"/>
  <c r="I816" i="10" s="1"/>
  <c r="D368" i="10"/>
  <c r="D373" i="10" s="1"/>
  <c r="D391" i="10" s="1"/>
  <c r="D393" i="10" s="1"/>
  <c r="D396" i="10" s="1"/>
  <c r="C439" i="10"/>
  <c r="CE63" i="10"/>
  <c r="F816" i="10" s="1"/>
  <c r="D465" i="10"/>
  <c r="F815" i="10"/>
  <c r="K816" i="10"/>
  <c r="C434" i="10"/>
  <c r="R816" i="10"/>
  <c r="I612" i="10"/>
  <c r="CE61" i="10"/>
  <c r="M783" i="10"/>
  <c r="M815" i="10" s="1"/>
  <c r="CE51" i="10"/>
  <c r="M816" i="10"/>
  <c r="C458" i="10"/>
  <c r="N779" i="10"/>
  <c r="N815" i="10" s="1"/>
  <c r="CE75" i="10"/>
  <c r="CE47" i="10"/>
  <c r="CF76" i="10" l="1"/>
  <c r="BR52" i="10" s="1"/>
  <c r="BR67" i="10" s="1"/>
  <c r="J801" i="10" s="1"/>
  <c r="C430" i="10"/>
  <c r="D612" i="10"/>
  <c r="C816" i="10"/>
  <c r="H612" i="10"/>
  <c r="C440" i="10"/>
  <c r="C429" i="10"/>
  <c r="G816" i="10"/>
  <c r="C431" i="10"/>
  <c r="C432" i="10"/>
  <c r="N816" i="10"/>
  <c r="K612" i="10"/>
  <c r="C465" i="10"/>
  <c r="D816" i="10"/>
  <c r="BO48" i="10"/>
  <c r="BO62" i="10" s="1"/>
  <c r="AA48" i="10"/>
  <c r="AA62" i="10" s="1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BT48" i="10"/>
  <c r="BT62" i="10" s="1"/>
  <c r="AV48" i="10"/>
  <c r="AV62" i="10" s="1"/>
  <c r="AF48" i="10"/>
  <c r="AF62" i="10" s="1"/>
  <c r="H48" i="10"/>
  <c r="H62" i="10" s="1"/>
  <c r="BP48" i="10"/>
  <c r="BP62" i="10" s="1"/>
  <c r="AJ48" i="10"/>
  <c r="AJ62" i="10" s="1"/>
  <c r="L48" i="10"/>
  <c r="L62" i="10" s="1"/>
  <c r="BW48" i="10"/>
  <c r="BW62" i="10" s="1"/>
  <c r="AQ48" i="10"/>
  <c r="AQ62" i="10" s="1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CB48" i="10"/>
  <c r="CB62" i="10" s="1"/>
  <c r="BL48" i="10"/>
  <c r="BL62" i="10" s="1"/>
  <c r="AN48" i="10"/>
  <c r="AN62" i="10" s="1"/>
  <c r="X48" i="10"/>
  <c r="X62" i="10" s="1"/>
  <c r="BX48" i="10"/>
  <c r="BX62" i="10" s="1"/>
  <c r="AR48" i="10"/>
  <c r="AR62" i="10" s="1"/>
  <c r="T48" i="10"/>
  <c r="T62" i="10" s="1"/>
  <c r="D48" i="10"/>
  <c r="D62" i="10" s="1"/>
  <c r="BG48" i="10"/>
  <c r="BG62" i="10" s="1"/>
  <c r="AI48" i="10"/>
  <c r="AI62" i="10" s="1"/>
  <c r="BD48" i="10"/>
  <c r="BD62" i="10" s="1"/>
  <c r="P48" i="10"/>
  <c r="P62" i="10" s="1"/>
  <c r="S48" i="10"/>
  <c r="S62" i="10" s="1"/>
  <c r="CA48" i="10"/>
  <c r="CA62" i="10" s="1"/>
  <c r="BS48" i="10"/>
  <c r="BS62" i="10" s="1"/>
  <c r="BK48" i="10"/>
  <c r="BK62" i="10" s="1"/>
  <c r="BC48" i="10"/>
  <c r="BC62" i="10" s="1"/>
  <c r="AU48" i="10"/>
  <c r="AU62" i="10" s="1"/>
  <c r="AM48" i="10"/>
  <c r="AM62" i="10" s="1"/>
  <c r="AE48" i="10"/>
  <c r="AE62" i="10" s="1"/>
  <c r="W48" i="10"/>
  <c r="W62" i="10" s="1"/>
  <c r="O48" i="10"/>
  <c r="O62" i="10" s="1"/>
  <c r="G48" i="10"/>
  <c r="G62" i="10" s="1"/>
  <c r="AZ48" i="10"/>
  <c r="AZ62" i="10" s="1"/>
  <c r="C48" i="10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H48" i="10"/>
  <c r="BH62" i="10" s="1"/>
  <c r="AB48" i="10"/>
  <c r="AB62" i="10" s="1"/>
  <c r="AY48" i="10"/>
  <c r="AY62" i="10" s="1"/>
  <c r="K48" i="10"/>
  <c r="K62" i="10" s="1"/>
  <c r="C427" i="10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E62" i="10" s="1"/>
  <c r="M52" i="10" l="1"/>
  <c r="M67" i="10" s="1"/>
  <c r="J744" i="10" s="1"/>
  <c r="BQ52" i="10"/>
  <c r="BQ67" i="10" s="1"/>
  <c r="J800" i="10" s="1"/>
  <c r="AW52" i="10"/>
  <c r="AW67" i="10" s="1"/>
  <c r="J780" i="10" s="1"/>
  <c r="BX52" i="10"/>
  <c r="BX67" i="10" s="1"/>
  <c r="J807" i="10" s="1"/>
  <c r="E52" i="10"/>
  <c r="E67" i="10" s="1"/>
  <c r="J736" i="10" s="1"/>
  <c r="BV52" i="10"/>
  <c r="BV67" i="10" s="1"/>
  <c r="J805" i="10" s="1"/>
  <c r="CB52" i="10"/>
  <c r="CB67" i="10" s="1"/>
  <c r="J811" i="10" s="1"/>
  <c r="AN52" i="10"/>
  <c r="AN67" i="10" s="1"/>
  <c r="J771" i="10" s="1"/>
  <c r="Z52" i="10"/>
  <c r="Z67" i="10" s="1"/>
  <c r="J757" i="10" s="1"/>
  <c r="AC52" i="10"/>
  <c r="AC67" i="10" s="1"/>
  <c r="J760" i="10" s="1"/>
  <c r="AM52" i="10"/>
  <c r="AM67" i="10" s="1"/>
  <c r="J770" i="10" s="1"/>
  <c r="CC52" i="10"/>
  <c r="CC67" i="10" s="1"/>
  <c r="J812" i="10" s="1"/>
  <c r="O52" i="10"/>
  <c r="O67" i="10" s="1"/>
  <c r="J746" i="10" s="1"/>
  <c r="BH52" i="10"/>
  <c r="BH67" i="10" s="1"/>
  <c r="J791" i="10" s="1"/>
  <c r="AP52" i="10"/>
  <c r="AP67" i="10" s="1"/>
  <c r="J773" i="10" s="1"/>
  <c r="AV52" i="10"/>
  <c r="AV67" i="10" s="1"/>
  <c r="J779" i="10" s="1"/>
  <c r="BB52" i="10"/>
  <c r="BB67" i="10" s="1"/>
  <c r="J785" i="10" s="1"/>
  <c r="H52" i="10"/>
  <c r="H67" i="10" s="1"/>
  <c r="J739" i="10" s="1"/>
  <c r="BC52" i="10"/>
  <c r="BC67" i="10" s="1"/>
  <c r="J786" i="10" s="1"/>
  <c r="X52" i="10"/>
  <c r="X67" i="10" s="1"/>
  <c r="J755" i="10" s="1"/>
  <c r="AJ52" i="10"/>
  <c r="AJ67" i="10" s="1"/>
  <c r="J767" i="10" s="1"/>
  <c r="AA52" i="10"/>
  <c r="AA67" i="10" s="1"/>
  <c r="J758" i="10" s="1"/>
  <c r="F52" i="10"/>
  <c r="F67" i="10" s="1"/>
  <c r="J737" i="10" s="1"/>
  <c r="AU52" i="10"/>
  <c r="AU67" i="10" s="1"/>
  <c r="J778" i="10" s="1"/>
  <c r="BY52" i="10"/>
  <c r="BY67" i="10" s="1"/>
  <c r="J808" i="10" s="1"/>
  <c r="C52" i="10"/>
  <c r="C67" i="10" s="1"/>
  <c r="J734" i="10" s="1"/>
  <c r="BF52" i="10"/>
  <c r="BF67" i="10" s="1"/>
  <c r="J789" i="10" s="1"/>
  <c r="AX52" i="10"/>
  <c r="AX67" i="10" s="1"/>
  <c r="J781" i="10" s="1"/>
  <c r="BD52" i="10"/>
  <c r="BD67" i="10" s="1"/>
  <c r="J787" i="10" s="1"/>
  <c r="G52" i="10"/>
  <c r="G67" i="10" s="1"/>
  <c r="J738" i="10" s="1"/>
  <c r="J52" i="10"/>
  <c r="J67" i="10" s="1"/>
  <c r="J741" i="10" s="1"/>
  <c r="BL52" i="10"/>
  <c r="BL67" i="10" s="1"/>
  <c r="J795" i="10" s="1"/>
  <c r="AG52" i="10"/>
  <c r="AG67" i="10" s="1"/>
  <c r="J764" i="10" s="1"/>
  <c r="BP52" i="10"/>
  <c r="BP67" i="10" s="1"/>
  <c r="J799" i="10" s="1"/>
  <c r="BZ52" i="10"/>
  <c r="BZ67" i="10" s="1"/>
  <c r="J809" i="10" s="1"/>
  <c r="BI52" i="10"/>
  <c r="BI67" i="10" s="1"/>
  <c r="J792" i="10" s="1"/>
  <c r="D52" i="10"/>
  <c r="D67" i="10" s="1"/>
  <c r="J735" i="10" s="1"/>
  <c r="AD52" i="10"/>
  <c r="AD67" i="10" s="1"/>
  <c r="J761" i="10" s="1"/>
  <c r="I52" i="10"/>
  <c r="I67" i="10" s="1"/>
  <c r="J740" i="10" s="1"/>
  <c r="AI52" i="10"/>
  <c r="AI67" i="10" s="1"/>
  <c r="J766" i="10" s="1"/>
  <c r="S52" i="10"/>
  <c r="S67" i="10" s="1"/>
  <c r="J750" i="10" s="1"/>
  <c r="BA52" i="10"/>
  <c r="BA67" i="10" s="1"/>
  <c r="J784" i="10" s="1"/>
  <c r="AT52" i="10"/>
  <c r="AT67" i="10" s="1"/>
  <c r="J777" i="10" s="1"/>
  <c r="BT52" i="10"/>
  <c r="BT67" i="10" s="1"/>
  <c r="J803" i="10" s="1"/>
  <c r="AY52" i="10"/>
  <c r="AY67" i="10" s="1"/>
  <c r="J782" i="10" s="1"/>
  <c r="BW52" i="10"/>
  <c r="BW67" i="10" s="1"/>
  <c r="J806" i="10" s="1"/>
  <c r="AF52" i="10"/>
  <c r="AF67" i="10" s="1"/>
  <c r="J763" i="10" s="1"/>
  <c r="U52" i="10"/>
  <c r="U67" i="10" s="1"/>
  <c r="J752" i="10" s="1"/>
  <c r="BN52" i="10"/>
  <c r="BN67" i="10" s="1"/>
  <c r="J797" i="10" s="1"/>
  <c r="N52" i="10"/>
  <c r="N67" i="10" s="1"/>
  <c r="J745" i="10" s="1"/>
  <c r="BE52" i="10"/>
  <c r="BE67" i="10" s="1"/>
  <c r="J788" i="10" s="1"/>
  <c r="K52" i="10"/>
  <c r="K67" i="10" s="1"/>
  <c r="J742" i="10" s="1"/>
  <c r="AQ52" i="10"/>
  <c r="AQ67" i="10" s="1"/>
  <c r="J774" i="10" s="1"/>
  <c r="AR52" i="10"/>
  <c r="AR67" i="10" s="1"/>
  <c r="J775" i="10" s="1"/>
  <c r="BM52" i="10"/>
  <c r="BM67" i="10" s="1"/>
  <c r="J796" i="10" s="1"/>
  <c r="BU52" i="10"/>
  <c r="BU67" i="10" s="1"/>
  <c r="J804" i="10" s="1"/>
  <c r="AB52" i="10"/>
  <c r="AB67" i="10" s="1"/>
  <c r="J759" i="10" s="1"/>
  <c r="BK52" i="10"/>
  <c r="BK67" i="10" s="1"/>
  <c r="J794" i="10" s="1"/>
  <c r="BJ52" i="10"/>
  <c r="BJ67" i="10" s="1"/>
  <c r="J793" i="10" s="1"/>
  <c r="AH52" i="10"/>
  <c r="AH67" i="10" s="1"/>
  <c r="J765" i="10" s="1"/>
  <c r="P52" i="10"/>
  <c r="P67" i="10" s="1"/>
  <c r="J747" i="10" s="1"/>
  <c r="AO52" i="10"/>
  <c r="AO67" i="10" s="1"/>
  <c r="J772" i="10" s="1"/>
  <c r="AE52" i="10"/>
  <c r="AE67" i="10" s="1"/>
  <c r="J762" i="10" s="1"/>
  <c r="AK52" i="10"/>
  <c r="AK67" i="10" s="1"/>
  <c r="J768" i="10" s="1"/>
  <c r="AL52" i="10"/>
  <c r="AL67" i="10" s="1"/>
  <c r="J769" i="10" s="1"/>
  <c r="Y52" i="10"/>
  <c r="Y67" i="10" s="1"/>
  <c r="J756" i="10" s="1"/>
  <c r="BO52" i="10"/>
  <c r="BO67" i="10" s="1"/>
  <c r="J798" i="10" s="1"/>
  <c r="V52" i="10"/>
  <c r="V67" i="10" s="1"/>
  <c r="J753" i="10" s="1"/>
  <c r="CA52" i="10"/>
  <c r="CA67" i="10" s="1"/>
  <c r="J810" i="10" s="1"/>
  <c r="L52" i="10"/>
  <c r="L67" i="10" s="1"/>
  <c r="J743" i="10" s="1"/>
  <c r="BS52" i="10"/>
  <c r="BS67" i="10" s="1"/>
  <c r="J802" i="10" s="1"/>
  <c r="R52" i="10"/>
  <c r="R67" i="10" s="1"/>
  <c r="J749" i="10" s="1"/>
  <c r="BG52" i="10"/>
  <c r="BG67" i="10" s="1"/>
  <c r="J790" i="10" s="1"/>
  <c r="AS52" i="10"/>
  <c r="AS67" i="10" s="1"/>
  <c r="J776" i="10" s="1"/>
  <c r="W52" i="10"/>
  <c r="W67" i="10" s="1"/>
  <c r="J754" i="10" s="1"/>
  <c r="T52" i="10"/>
  <c r="T67" i="10" s="1"/>
  <c r="J751" i="10" s="1"/>
  <c r="AZ52" i="10"/>
  <c r="AZ67" i="10" s="1"/>
  <c r="J783" i="10" s="1"/>
  <c r="Q52" i="10"/>
  <c r="Q67" i="10" s="1"/>
  <c r="J748" i="10" s="1"/>
  <c r="E792" i="10"/>
  <c r="BI71" i="10"/>
  <c r="E771" i="10"/>
  <c r="E800" i="10"/>
  <c r="E778" i="10"/>
  <c r="E788" i="10"/>
  <c r="E765" i="10"/>
  <c r="E744" i="10"/>
  <c r="E753" i="10"/>
  <c r="CE48" i="10"/>
  <c r="C62" i="10"/>
  <c r="E786" i="10"/>
  <c r="E790" i="10"/>
  <c r="E811" i="10"/>
  <c r="E796" i="10"/>
  <c r="E739" i="10"/>
  <c r="E773" i="10"/>
  <c r="E780" i="10"/>
  <c r="E745" i="10"/>
  <c r="E766" i="10"/>
  <c r="E799" i="10"/>
  <c r="E808" i="10"/>
  <c r="E752" i="10"/>
  <c r="E761" i="10"/>
  <c r="E783" i="10"/>
  <c r="E794" i="10"/>
  <c r="E735" i="10"/>
  <c r="E740" i="10"/>
  <c r="E804" i="10"/>
  <c r="E763" i="10"/>
  <c r="E781" i="10"/>
  <c r="E770" i="10"/>
  <c r="E736" i="10"/>
  <c r="E809" i="10"/>
  <c r="E795" i="10"/>
  <c r="E760" i="10"/>
  <c r="E742" i="10"/>
  <c r="E769" i="10"/>
  <c r="E738" i="10"/>
  <c r="E802" i="10"/>
  <c r="E751" i="10"/>
  <c r="E748" i="10"/>
  <c r="E812" i="10"/>
  <c r="E779" i="10"/>
  <c r="E789" i="10"/>
  <c r="E787" i="10"/>
  <c r="E746" i="10"/>
  <c r="E797" i="10"/>
  <c r="E737" i="10"/>
  <c r="E768" i="10"/>
  <c r="E777" i="10"/>
  <c r="E775" i="10"/>
  <c r="E774" i="10"/>
  <c r="E776" i="10"/>
  <c r="E759" i="10"/>
  <c r="E785" i="10"/>
  <c r="E754" i="10"/>
  <c r="E750" i="10"/>
  <c r="E807" i="10"/>
  <c r="E764" i="10"/>
  <c r="E806" i="10"/>
  <c r="E741" i="10"/>
  <c r="E805" i="10"/>
  <c r="E782" i="10"/>
  <c r="E810" i="10"/>
  <c r="E756" i="10"/>
  <c r="E803" i="10"/>
  <c r="E784" i="10"/>
  <c r="E791" i="10"/>
  <c r="E793" i="10"/>
  <c r="E762" i="10"/>
  <c r="E747" i="10"/>
  <c r="E755" i="10"/>
  <c r="E772" i="10"/>
  <c r="E743" i="10"/>
  <c r="E749" i="10"/>
  <c r="E758" i="10"/>
  <c r="E801" i="10"/>
  <c r="BR71" i="10"/>
  <c r="E767" i="10"/>
  <c r="E757" i="10"/>
  <c r="E798" i="10"/>
  <c r="Z71" i="10" l="1"/>
  <c r="C519" i="10" s="1"/>
  <c r="AW71" i="10"/>
  <c r="C631" i="10" s="1"/>
  <c r="O71" i="10"/>
  <c r="C680" i="10" s="1"/>
  <c r="AM71" i="10"/>
  <c r="C704" i="10" s="1"/>
  <c r="BY71" i="10"/>
  <c r="C645" i="10" s="1"/>
  <c r="AS71" i="10"/>
  <c r="C710" i="10" s="1"/>
  <c r="BB71" i="10"/>
  <c r="C632" i="10" s="1"/>
  <c r="BJ71" i="10"/>
  <c r="C617" i="10" s="1"/>
  <c r="F71" i="10"/>
  <c r="C499" i="10" s="1"/>
  <c r="AP71" i="10"/>
  <c r="C707" i="10" s="1"/>
  <c r="CB71" i="10"/>
  <c r="C622" i="10" s="1"/>
  <c r="P71" i="10"/>
  <c r="C681" i="10" s="1"/>
  <c r="D71" i="10"/>
  <c r="C669" i="10" s="1"/>
  <c r="M71" i="10"/>
  <c r="C678" i="10" s="1"/>
  <c r="AY71" i="10"/>
  <c r="C625" i="10" s="1"/>
  <c r="BX71" i="10"/>
  <c r="C644" i="10" s="1"/>
  <c r="AV71" i="10"/>
  <c r="C713" i="10" s="1"/>
  <c r="X71" i="10"/>
  <c r="C689" i="10" s="1"/>
  <c r="BT71" i="10"/>
  <c r="C565" i="10" s="1"/>
  <c r="CC71" i="10"/>
  <c r="C620" i="10" s="1"/>
  <c r="AE71" i="10"/>
  <c r="C696" i="10" s="1"/>
  <c r="BO71" i="10"/>
  <c r="C627" i="10" s="1"/>
  <c r="J71" i="10"/>
  <c r="C675" i="10" s="1"/>
  <c r="BF71" i="10"/>
  <c r="C629" i="10" s="1"/>
  <c r="BC71" i="10"/>
  <c r="C633" i="10" s="1"/>
  <c r="BZ71" i="10"/>
  <c r="C571" i="10" s="1"/>
  <c r="I71" i="10"/>
  <c r="C674" i="10" s="1"/>
  <c r="AT71" i="10"/>
  <c r="C539" i="10" s="1"/>
  <c r="G539" i="10" s="1"/>
  <c r="BV71" i="10"/>
  <c r="C567" i="10" s="1"/>
  <c r="BW71" i="10"/>
  <c r="C568" i="10" s="1"/>
  <c r="AA71" i="10"/>
  <c r="C692" i="10" s="1"/>
  <c r="AR71" i="10"/>
  <c r="C709" i="10" s="1"/>
  <c r="AO71" i="10"/>
  <c r="C534" i="10" s="1"/>
  <c r="G534" i="10" s="1"/>
  <c r="Y71" i="10"/>
  <c r="C690" i="10" s="1"/>
  <c r="AG71" i="10"/>
  <c r="C698" i="10" s="1"/>
  <c r="S71" i="10"/>
  <c r="C512" i="10" s="1"/>
  <c r="AQ71" i="10"/>
  <c r="C536" i="10" s="1"/>
  <c r="G536" i="10" s="1"/>
  <c r="BD71" i="10"/>
  <c r="C624" i="10" s="1"/>
  <c r="Q71" i="10"/>
  <c r="C510" i="10" s="1"/>
  <c r="G71" i="10"/>
  <c r="C672" i="10" s="1"/>
  <c r="AC71" i="10"/>
  <c r="C694" i="10" s="1"/>
  <c r="BK71" i="10"/>
  <c r="C556" i="10" s="1"/>
  <c r="BP71" i="10"/>
  <c r="C621" i="10" s="1"/>
  <c r="BA71" i="10"/>
  <c r="C546" i="10" s="1"/>
  <c r="AD71" i="10"/>
  <c r="C523" i="10" s="1"/>
  <c r="G523" i="10" s="1"/>
  <c r="N71" i="10"/>
  <c r="C679" i="10" s="1"/>
  <c r="AJ71" i="10"/>
  <c r="C529" i="10" s="1"/>
  <c r="L71" i="10"/>
  <c r="C677" i="10" s="1"/>
  <c r="BH71" i="10"/>
  <c r="C636" i="10" s="1"/>
  <c r="CA71" i="10"/>
  <c r="C647" i="10" s="1"/>
  <c r="CE52" i="10"/>
  <c r="E71" i="10"/>
  <c r="C670" i="10" s="1"/>
  <c r="H71" i="10"/>
  <c r="C673" i="10" s="1"/>
  <c r="BQ71" i="10"/>
  <c r="C623" i="10" s="1"/>
  <c r="BU71" i="10"/>
  <c r="C641" i="10" s="1"/>
  <c r="CE67" i="10"/>
  <c r="J816" i="10" s="1"/>
  <c r="R71" i="10"/>
  <c r="C683" i="10" s="1"/>
  <c r="K71" i="10"/>
  <c r="C504" i="10" s="1"/>
  <c r="G504" i="10" s="1"/>
  <c r="BL71" i="10"/>
  <c r="C557" i="10" s="1"/>
  <c r="AX71" i="10"/>
  <c r="C616" i="10" s="1"/>
  <c r="AN71" i="10"/>
  <c r="C705" i="10" s="1"/>
  <c r="AI71" i="10"/>
  <c r="C528" i="10" s="1"/>
  <c r="G528" i="10" s="1"/>
  <c r="AK71" i="10"/>
  <c r="C530" i="10" s="1"/>
  <c r="AU71" i="10"/>
  <c r="C712" i="10" s="1"/>
  <c r="T71" i="10"/>
  <c r="C685" i="10" s="1"/>
  <c r="U71" i="10"/>
  <c r="C686" i="10" s="1"/>
  <c r="V71" i="10"/>
  <c r="C515" i="10" s="1"/>
  <c r="AH71" i="10"/>
  <c r="C699" i="10" s="1"/>
  <c r="J815" i="10"/>
  <c r="BN71" i="10"/>
  <c r="C619" i="10" s="1"/>
  <c r="BS71" i="10"/>
  <c r="C564" i="10" s="1"/>
  <c r="AL71" i="10"/>
  <c r="C531" i="10" s="1"/>
  <c r="AF71" i="10"/>
  <c r="C525" i="10" s="1"/>
  <c r="G525" i="10" s="1"/>
  <c r="W71" i="10"/>
  <c r="C688" i="10" s="1"/>
  <c r="AB71" i="10"/>
  <c r="C521" i="10" s="1"/>
  <c r="AZ71" i="10"/>
  <c r="C545" i="10" s="1"/>
  <c r="BM71" i="10"/>
  <c r="C558" i="10" s="1"/>
  <c r="BG71" i="10"/>
  <c r="C552" i="10" s="1"/>
  <c r="BE71" i="10"/>
  <c r="C550" i="10" s="1"/>
  <c r="C684" i="10"/>
  <c r="C691" i="10"/>
  <c r="C626" i="10"/>
  <c r="C563" i="10"/>
  <c r="E734" i="10"/>
  <c r="E815" i="10" s="1"/>
  <c r="CE62" i="10"/>
  <c r="C71" i="10"/>
  <c r="C554" i="10"/>
  <c r="C634" i="10"/>
  <c r="C541" i="10" l="1"/>
  <c r="C509" i="10"/>
  <c r="G509" i="10" s="1"/>
  <c r="H509" i="10" s="1"/>
  <c r="C570" i="10"/>
  <c r="C524" i="10"/>
  <c r="G524" i="10" s="1"/>
  <c r="H524" i="10" s="1"/>
  <c r="C706" i="10"/>
  <c r="C695" i="10"/>
  <c r="C711" i="10"/>
  <c r="C433" i="10"/>
  <c r="C532" i="10"/>
  <c r="G532" i="10" s="1"/>
  <c r="C508" i="10"/>
  <c r="G508" i="10" s="1"/>
  <c r="C518" i="10"/>
  <c r="G518" i="10" s="1"/>
  <c r="H518" i="10" s="1"/>
  <c r="C501" i="10"/>
  <c r="G501" i="10" s="1"/>
  <c r="H501" i="10" s="1"/>
  <c r="C671" i="10"/>
  <c r="C497" i="10"/>
  <c r="G497" i="10" s="1"/>
  <c r="H497" i="10" s="1"/>
  <c r="C548" i="10"/>
  <c r="C628" i="10"/>
  <c r="C574" i="10"/>
  <c r="C555" i="10"/>
  <c r="C551" i="10"/>
  <c r="C569" i="10"/>
  <c r="C537" i="10"/>
  <c r="G537" i="10" s="1"/>
  <c r="C505" i="10"/>
  <c r="G505" i="10" s="1"/>
  <c r="C630" i="10"/>
  <c r="C547" i="10"/>
  <c r="C700" i="10"/>
  <c r="C562" i="10"/>
  <c r="C535" i="10"/>
  <c r="G535" i="10" s="1"/>
  <c r="C542" i="10"/>
  <c r="C646" i="10"/>
  <c r="C507" i="10"/>
  <c r="G507" i="10" s="1"/>
  <c r="C500" i="10"/>
  <c r="G500" i="10" s="1"/>
  <c r="C540" i="10"/>
  <c r="G540" i="10" s="1"/>
  <c r="C543" i="10"/>
  <c r="C527" i="10"/>
  <c r="G527" i="10" s="1"/>
  <c r="C498" i="10"/>
  <c r="G498" i="10" s="1"/>
  <c r="H498" i="10" s="1"/>
  <c r="C573" i="10"/>
  <c r="C514" i="10"/>
  <c r="G514" i="10" s="1"/>
  <c r="H514" i="10" s="1"/>
  <c r="C559" i="10"/>
  <c r="C506" i="10"/>
  <c r="G506" i="10" s="1"/>
  <c r="C676" i="10"/>
  <c r="C643" i="10"/>
  <c r="C538" i="10"/>
  <c r="G538" i="10" s="1"/>
  <c r="C517" i="10"/>
  <c r="G517" i="10" s="1"/>
  <c r="H517" i="10" s="1"/>
  <c r="C560" i="10"/>
  <c r="C635" i="10"/>
  <c r="C638" i="10"/>
  <c r="C642" i="10"/>
  <c r="C533" i="10"/>
  <c r="G533" i="10" s="1"/>
  <c r="C522" i="10"/>
  <c r="G522" i="10" s="1"/>
  <c r="H522" i="10" s="1"/>
  <c r="C511" i="10"/>
  <c r="G511" i="10" s="1"/>
  <c r="H511" i="10" s="1"/>
  <c r="C708" i="10"/>
  <c r="C553" i="10"/>
  <c r="C544" i="10"/>
  <c r="G544" i="10" s="1"/>
  <c r="H544" i="10" s="1"/>
  <c r="C640" i="10"/>
  <c r="C572" i="10"/>
  <c r="C516" i="10"/>
  <c r="G516" i="10" s="1"/>
  <c r="H516" i="10" s="1"/>
  <c r="C618" i="10"/>
  <c r="C549" i="10"/>
  <c r="C561" i="10"/>
  <c r="C639" i="10"/>
  <c r="C566" i="10"/>
  <c r="C502" i="10"/>
  <c r="G502" i="10" s="1"/>
  <c r="C503" i="10"/>
  <c r="G503" i="10" s="1"/>
  <c r="C520" i="10"/>
  <c r="G520" i="10" s="1"/>
  <c r="H520" i="10" s="1"/>
  <c r="C637" i="10"/>
  <c r="C526" i="10"/>
  <c r="G526" i="10" s="1"/>
  <c r="H526" i="10" s="1"/>
  <c r="C687" i="10"/>
  <c r="C614" i="10"/>
  <c r="D615" i="10" s="1"/>
  <c r="C693" i="10"/>
  <c r="C701" i="10"/>
  <c r="C702" i="10"/>
  <c r="C682" i="10"/>
  <c r="C703" i="10"/>
  <c r="C513" i="10"/>
  <c r="G513" i="10" s="1"/>
  <c r="C697" i="10"/>
  <c r="G531" i="10"/>
  <c r="H531" i="10" s="1"/>
  <c r="G519" i="10"/>
  <c r="H519" i="10"/>
  <c r="G550" i="10"/>
  <c r="H550" i="10" s="1"/>
  <c r="G530" i="10"/>
  <c r="H530" i="10" s="1"/>
  <c r="G521" i="10"/>
  <c r="H521" i="10"/>
  <c r="G529" i="10"/>
  <c r="H529" i="10" s="1"/>
  <c r="G515" i="10"/>
  <c r="H515" i="10" s="1"/>
  <c r="G512" i="10"/>
  <c r="H512" i="10"/>
  <c r="C496" i="10"/>
  <c r="C668" i="10"/>
  <c r="G545" i="10"/>
  <c r="H545" i="10" s="1"/>
  <c r="G499" i="10"/>
  <c r="H499" i="10" s="1"/>
  <c r="E816" i="10"/>
  <c r="C428" i="10"/>
  <c r="CE71" i="10"/>
  <c r="C716" i="10" s="1"/>
  <c r="G510" i="10"/>
  <c r="H510" i="10" s="1"/>
  <c r="G546" i="10"/>
  <c r="H546" i="10"/>
  <c r="C441" i="10" l="1"/>
  <c r="C648" i="10"/>
  <c r="M716" i="10" s="1"/>
  <c r="Y816" i="10" s="1"/>
  <c r="C715" i="10"/>
  <c r="H513" i="10"/>
  <c r="D712" i="10"/>
  <c r="D704" i="10"/>
  <c r="D696" i="10"/>
  <c r="D688" i="10"/>
  <c r="D709" i="10"/>
  <c r="D706" i="10"/>
  <c r="D698" i="10"/>
  <c r="D690" i="10"/>
  <c r="D711" i="10"/>
  <c r="D703" i="10"/>
  <c r="D695" i="10"/>
  <c r="D687" i="10"/>
  <c r="D716" i="10"/>
  <c r="D707" i="10"/>
  <c r="D699" i="10"/>
  <c r="D691" i="10"/>
  <c r="D702" i="10"/>
  <c r="D686" i="10"/>
  <c r="D684" i="10"/>
  <c r="D676" i="10"/>
  <c r="D668" i="10"/>
  <c r="D628" i="10"/>
  <c r="D622" i="10"/>
  <c r="D618" i="10"/>
  <c r="D700" i="10"/>
  <c r="D678" i="10"/>
  <c r="D670" i="10"/>
  <c r="D647" i="10"/>
  <c r="D646" i="10"/>
  <c r="D645" i="10"/>
  <c r="D629" i="10"/>
  <c r="D626" i="10"/>
  <c r="D621" i="10"/>
  <c r="D617" i="10"/>
  <c r="D705" i="10"/>
  <c r="D701" i="10"/>
  <c r="D697" i="10"/>
  <c r="D644" i="10"/>
  <c r="D640" i="10"/>
  <c r="D636" i="10"/>
  <c r="D632" i="10"/>
  <c r="D689" i="10"/>
  <c r="D685" i="10"/>
  <c r="D683" i="10"/>
  <c r="D641" i="10"/>
  <c r="D637" i="10"/>
  <c r="D633" i="10"/>
  <c r="D627" i="10"/>
  <c r="D625" i="10"/>
  <c r="D713" i="10"/>
  <c r="D708" i="10"/>
  <c r="D682" i="10"/>
  <c r="D681" i="10"/>
  <c r="D680" i="10"/>
  <c r="D620" i="10"/>
  <c r="D679" i="10"/>
  <c r="D677" i="10"/>
  <c r="D675" i="10"/>
  <c r="D642" i="10"/>
  <c r="D638" i="10"/>
  <c r="D634" i="10"/>
  <c r="D630" i="10"/>
  <c r="D624" i="10"/>
  <c r="D671" i="10"/>
  <c r="D669" i="10"/>
  <c r="D643" i="10"/>
  <c r="D639" i="10"/>
  <c r="D635" i="10"/>
  <c r="D631" i="10"/>
  <c r="D672" i="10"/>
  <c r="D623" i="10"/>
  <c r="D710" i="10"/>
  <c r="D694" i="10"/>
  <c r="D674" i="10"/>
  <c r="D619" i="10"/>
  <c r="D692" i="10"/>
  <c r="D673" i="10"/>
  <c r="D616" i="10"/>
  <c r="D693" i="10"/>
  <c r="G496" i="10"/>
  <c r="H496" i="10" s="1"/>
  <c r="E612" i="10" l="1"/>
  <c r="D715" i="10"/>
  <c r="E623" i="10"/>
  <c r="E709" i="10" l="1"/>
  <c r="E701" i="10"/>
  <c r="E693" i="10"/>
  <c r="E685" i="10"/>
  <c r="E711" i="10"/>
  <c r="E703" i="10"/>
  <c r="E695" i="10"/>
  <c r="E687" i="10"/>
  <c r="E708" i="10"/>
  <c r="E700" i="10"/>
  <c r="E692" i="10"/>
  <c r="E712" i="10"/>
  <c r="E704" i="10"/>
  <c r="E696" i="10"/>
  <c r="E688" i="10"/>
  <c r="E713" i="10"/>
  <c r="E699" i="10"/>
  <c r="E681" i="10"/>
  <c r="E673" i="10"/>
  <c r="E697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684" i="10"/>
  <c r="E682" i="10"/>
  <c r="E680" i="10"/>
  <c r="E706" i="10"/>
  <c r="E679" i="10"/>
  <c r="E678" i="10"/>
  <c r="E677" i="10"/>
  <c r="E646" i="10"/>
  <c r="E710" i="10"/>
  <c r="E702" i="10"/>
  <c r="E698" i="10"/>
  <c r="E694" i="10"/>
  <c r="E676" i="10"/>
  <c r="E674" i="10"/>
  <c r="E672" i="10"/>
  <c r="E686" i="10"/>
  <c r="E668" i="10"/>
  <c r="E628" i="10"/>
  <c r="E707" i="10"/>
  <c r="E670" i="10"/>
  <c r="E625" i="10"/>
  <c r="E691" i="10"/>
  <c r="E647" i="10"/>
  <c r="E690" i="10"/>
  <c r="E629" i="10"/>
  <c r="E705" i="10"/>
  <c r="E669" i="10"/>
  <c r="E689" i="10"/>
  <c r="E671" i="10"/>
  <c r="E627" i="10"/>
  <c r="E626" i="10"/>
  <c r="E645" i="10"/>
  <c r="E716" i="10"/>
  <c r="E715" i="10" l="1"/>
  <c r="F624" i="10"/>
  <c r="F706" i="10" l="1"/>
  <c r="F698" i="10"/>
  <c r="F690" i="10"/>
  <c r="F711" i="10"/>
  <c r="F708" i="10"/>
  <c r="F700" i="10"/>
  <c r="F692" i="10"/>
  <c r="F713" i="10"/>
  <c r="F705" i="10"/>
  <c r="F697" i="10"/>
  <c r="F689" i="10"/>
  <c r="F709" i="10"/>
  <c r="F701" i="10"/>
  <c r="F693" i="10"/>
  <c r="F685" i="10"/>
  <c r="F716" i="10"/>
  <c r="F696" i="10"/>
  <c r="F678" i="10"/>
  <c r="F670" i="10"/>
  <c r="F647" i="10"/>
  <c r="F646" i="10"/>
  <c r="F645" i="10"/>
  <c r="F629" i="10"/>
  <c r="F626" i="10"/>
  <c r="F694" i="10"/>
  <c r="F680" i="10"/>
  <c r="F672" i="10"/>
  <c r="F699" i="10"/>
  <c r="F695" i="10"/>
  <c r="F691" i="10"/>
  <c r="F627" i="10"/>
  <c r="F625" i="10"/>
  <c r="F681" i="10"/>
  <c r="F679" i="10"/>
  <c r="F677" i="10"/>
  <c r="F710" i="10"/>
  <c r="F704" i="10"/>
  <c r="F702" i="10"/>
  <c r="F676" i="10"/>
  <c r="F675" i="10"/>
  <c r="F674" i="10"/>
  <c r="F642" i="10"/>
  <c r="F638" i="10"/>
  <c r="F634" i="10"/>
  <c r="F630" i="10"/>
  <c r="F673" i="10"/>
  <c r="F671" i="10"/>
  <c r="F669" i="10"/>
  <c r="F712" i="10"/>
  <c r="F707" i="10"/>
  <c r="F686" i="10"/>
  <c r="F683" i="10"/>
  <c r="F644" i="10"/>
  <c r="F637" i="10"/>
  <c r="F640" i="10"/>
  <c r="F633" i="10"/>
  <c r="F643" i="10"/>
  <c r="F636" i="10"/>
  <c r="F682" i="10"/>
  <c r="F639" i="10"/>
  <c r="F632" i="10"/>
  <c r="F628" i="10"/>
  <c r="F635" i="10"/>
  <c r="F688" i="10"/>
  <c r="F684" i="10"/>
  <c r="F631" i="10"/>
  <c r="F687" i="10"/>
  <c r="F641" i="10"/>
  <c r="F703" i="10"/>
  <c r="F668" i="10"/>
  <c r="F715" i="10" l="1"/>
  <c r="G625" i="10"/>
  <c r="G711" i="10" l="1"/>
  <c r="G703" i="10"/>
  <c r="G695" i="10"/>
  <c r="G687" i="10"/>
  <c r="G713" i="10"/>
  <c r="G705" i="10"/>
  <c r="G697" i="10"/>
  <c r="G689" i="10"/>
  <c r="G710" i="10"/>
  <c r="G702" i="10"/>
  <c r="G694" i="10"/>
  <c r="G686" i="10"/>
  <c r="G706" i="10"/>
  <c r="G698" i="10"/>
  <c r="G690" i="10"/>
  <c r="G693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07" i="10"/>
  <c r="G691" i="10"/>
  <c r="G677" i="10"/>
  <c r="G669" i="10"/>
  <c r="G627" i="10"/>
  <c r="G684" i="10"/>
  <c r="G682" i="10"/>
  <c r="G645" i="10"/>
  <c r="G629" i="10"/>
  <c r="G708" i="10"/>
  <c r="G704" i="10"/>
  <c r="G678" i="10"/>
  <c r="G676" i="10"/>
  <c r="G674" i="10"/>
  <c r="G646" i="10"/>
  <c r="G700" i="10"/>
  <c r="G673" i="10"/>
  <c r="G672" i="10"/>
  <c r="G671" i="10"/>
  <c r="G716" i="10"/>
  <c r="G696" i="10"/>
  <c r="G692" i="10"/>
  <c r="G688" i="10"/>
  <c r="G670" i="10"/>
  <c r="G668" i="10"/>
  <c r="G647" i="10"/>
  <c r="G628" i="10"/>
  <c r="G626" i="10"/>
  <c r="G712" i="10"/>
  <c r="G701" i="10"/>
  <c r="G680" i="10"/>
  <c r="G685" i="10"/>
  <c r="G699" i="10"/>
  <c r="G679" i="10"/>
  <c r="G709" i="10"/>
  <c r="G681" i="10"/>
  <c r="G715" i="10" l="1"/>
  <c r="H628" i="10"/>
  <c r="H708" i="10" l="1"/>
  <c r="H700" i="10"/>
  <c r="H692" i="10"/>
  <c r="H713" i="10"/>
  <c r="H710" i="10"/>
  <c r="H702" i="10"/>
  <c r="H694" i="10"/>
  <c r="H686" i="10"/>
  <c r="H716" i="10"/>
  <c r="H707" i="10"/>
  <c r="H699" i="10"/>
  <c r="H691" i="10"/>
  <c r="H711" i="10"/>
  <c r="H703" i="10"/>
  <c r="H695" i="10"/>
  <c r="H687" i="10"/>
  <c r="H709" i="10"/>
  <c r="H706" i="10"/>
  <c r="H690" i="10"/>
  <c r="H680" i="10"/>
  <c r="H672" i="10"/>
  <c r="H704" i="10"/>
  <c r="H688" i="10"/>
  <c r="H682" i="10"/>
  <c r="H674" i="10"/>
  <c r="H693" i="10"/>
  <c r="H689" i="10"/>
  <c r="H685" i="10"/>
  <c r="H683" i="10"/>
  <c r="H681" i="10"/>
  <c r="H679" i="10"/>
  <c r="H641" i="10"/>
  <c r="H637" i="10"/>
  <c r="H633" i="10"/>
  <c r="H675" i="10"/>
  <c r="H673" i="10"/>
  <c r="H671" i="10"/>
  <c r="H642" i="10"/>
  <c r="H638" i="10"/>
  <c r="H634" i="10"/>
  <c r="H630" i="10"/>
  <c r="H698" i="10"/>
  <c r="H696" i="10"/>
  <c r="H670" i="10"/>
  <c r="H669" i="10"/>
  <c r="H668" i="10"/>
  <c r="H647" i="10"/>
  <c r="H712" i="10"/>
  <c r="H643" i="10"/>
  <c r="H639" i="10"/>
  <c r="H635" i="10"/>
  <c r="H631" i="10"/>
  <c r="H705" i="10"/>
  <c r="H701" i="10"/>
  <c r="H644" i="10"/>
  <c r="H640" i="10"/>
  <c r="H636" i="10"/>
  <c r="H632" i="10"/>
  <c r="H629" i="10"/>
  <c r="H677" i="10"/>
  <c r="H646" i="10"/>
  <c r="H684" i="10"/>
  <c r="H676" i="10"/>
  <c r="H645" i="10"/>
  <c r="H697" i="10"/>
  <c r="H678" i="10"/>
  <c r="H715" i="10" l="1"/>
  <c r="I629" i="10"/>
  <c r="I713" i="10" l="1"/>
  <c r="I705" i="10"/>
  <c r="I697" i="10"/>
  <c r="I689" i="10"/>
  <c r="I710" i="10"/>
  <c r="I716" i="10"/>
  <c r="I707" i="10"/>
  <c r="I699" i="10"/>
  <c r="I691" i="10"/>
  <c r="I712" i="10"/>
  <c r="I704" i="10"/>
  <c r="I696" i="10"/>
  <c r="I688" i="10"/>
  <c r="I708" i="10"/>
  <c r="I700" i="10"/>
  <c r="I692" i="10"/>
  <c r="I711" i="10"/>
  <c r="I703" i="10"/>
  <c r="I687" i="10"/>
  <c r="I677" i="10"/>
  <c r="I669" i="10"/>
  <c r="I701" i="10"/>
  <c r="I685" i="10"/>
  <c r="I679" i="10"/>
  <c r="I671" i="10"/>
  <c r="I680" i="10"/>
  <c r="I678" i="10"/>
  <c r="I676" i="10"/>
  <c r="I646" i="10"/>
  <c r="I706" i="10"/>
  <c r="I702" i="10"/>
  <c r="I698" i="10"/>
  <c r="I672" i="10"/>
  <c r="I670" i="10"/>
  <c r="I668" i="10"/>
  <c r="I647" i="10"/>
  <c r="I694" i="10"/>
  <c r="I643" i="10"/>
  <c r="I639" i="10"/>
  <c r="I635" i="10"/>
  <c r="I631" i="10"/>
  <c r="I690" i="10"/>
  <c r="I686" i="10"/>
  <c r="I709" i="10"/>
  <c r="I684" i="10"/>
  <c r="I645" i="10"/>
  <c r="I675" i="10"/>
  <c r="I640" i="10"/>
  <c r="I633" i="10"/>
  <c r="I636" i="10"/>
  <c r="I695" i="10"/>
  <c r="I682" i="10"/>
  <c r="I632" i="10"/>
  <c r="I674" i="10"/>
  <c r="I642" i="10"/>
  <c r="I693" i="10"/>
  <c r="I681" i="10"/>
  <c r="I638" i="10"/>
  <c r="I683" i="10"/>
  <c r="I644" i="10"/>
  <c r="I637" i="10"/>
  <c r="I630" i="10"/>
  <c r="I673" i="10"/>
  <c r="I641" i="10"/>
  <c r="I634" i="10"/>
  <c r="I715" i="10" l="1"/>
  <c r="J630" i="10"/>
  <c r="J710" i="10" l="1"/>
  <c r="J702" i="10"/>
  <c r="J694" i="10"/>
  <c r="J686" i="10"/>
  <c r="J716" i="10"/>
  <c r="J712" i="10"/>
  <c r="J704" i="10"/>
  <c r="J696" i="10"/>
  <c r="J688" i="10"/>
  <c r="J709" i="10"/>
  <c r="J701" i="10"/>
  <c r="J693" i="10"/>
  <c r="J685" i="10"/>
  <c r="J713" i="10"/>
  <c r="J705" i="10"/>
  <c r="J697" i="10"/>
  <c r="J689" i="10"/>
  <c r="J700" i="10"/>
  <c r="J682" i="10"/>
  <c r="J674" i="10"/>
  <c r="J698" i="10"/>
  <c r="J684" i="10"/>
  <c r="J676" i="10"/>
  <c r="J668" i="10"/>
  <c r="J711" i="10"/>
  <c r="J687" i="10"/>
  <c r="J677" i="10"/>
  <c r="J675" i="10"/>
  <c r="J673" i="10"/>
  <c r="J642" i="10"/>
  <c r="J638" i="10"/>
  <c r="J634" i="10"/>
  <c r="J669" i="10"/>
  <c r="J643" i="10"/>
  <c r="J639" i="10"/>
  <c r="J635" i="10"/>
  <c r="J631" i="10"/>
  <c r="J692" i="10"/>
  <c r="J690" i="10"/>
  <c r="J644" i="10"/>
  <c r="J640" i="10"/>
  <c r="J636" i="10"/>
  <c r="J632" i="10"/>
  <c r="J703" i="10"/>
  <c r="J699" i="10"/>
  <c r="J695" i="10"/>
  <c r="J683" i="10"/>
  <c r="J681" i="10"/>
  <c r="J641" i="10"/>
  <c r="J637" i="10"/>
  <c r="J633" i="10"/>
  <c r="J691" i="10"/>
  <c r="J680" i="10"/>
  <c r="J647" i="10"/>
  <c r="J706" i="10"/>
  <c r="J672" i="10"/>
  <c r="J646" i="10"/>
  <c r="J679" i="10"/>
  <c r="J671" i="10"/>
  <c r="J645" i="10"/>
  <c r="J707" i="10"/>
  <c r="J670" i="10"/>
  <c r="J678" i="10"/>
  <c r="J708" i="10"/>
  <c r="K644" i="10" l="1"/>
  <c r="K691" i="10" s="1"/>
  <c r="L647" i="10"/>
  <c r="L696" i="10" s="1"/>
  <c r="J715" i="10"/>
  <c r="L681" i="10" l="1"/>
  <c r="L685" i="10"/>
  <c r="L670" i="10"/>
  <c r="L690" i="10"/>
  <c r="L675" i="10"/>
  <c r="L668" i="10"/>
  <c r="L688" i="10"/>
  <c r="L693" i="10"/>
  <c r="L691" i="10"/>
  <c r="M691" i="10" s="1"/>
  <c r="Y757" i="10" s="1"/>
  <c r="L686" i="10"/>
  <c r="L687" i="10"/>
  <c r="L680" i="10"/>
  <c r="L674" i="10"/>
  <c r="L672" i="10"/>
  <c r="L677" i="10"/>
  <c r="L697" i="10"/>
  <c r="L678" i="10"/>
  <c r="L676" i="10"/>
  <c r="L699" i="10"/>
  <c r="L698" i="10"/>
  <c r="L702" i="10"/>
  <c r="L700" i="10"/>
  <c r="L701" i="10"/>
  <c r="L679" i="10"/>
  <c r="L683" i="10"/>
  <c r="L669" i="10"/>
  <c r="L692" i="10"/>
  <c r="L684" i="10"/>
  <c r="L707" i="10"/>
  <c r="L703" i="10"/>
  <c r="L706" i="10"/>
  <c r="L704" i="10"/>
  <c r="L673" i="10"/>
  <c r="L682" i="10"/>
  <c r="L713" i="10"/>
  <c r="L689" i="10"/>
  <c r="L705" i="10"/>
  <c r="L671" i="10"/>
  <c r="L708" i="10"/>
  <c r="L694" i="10"/>
  <c r="L716" i="10"/>
  <c r="L711" i="10"/>
  <c r="L709" i="10"/>
  <c r="L712" i="10"/>
  <c r="L710" i="10"/>
  <c r="L695" i="10"/>
  <c r="K683" i="10"/>
  <c r="K689" i="10"/>
  <c r="K688" i="10"/>
  <c r="K713" i="10"/>
  <c r="K671" i="10"/>
  <c r="K698" i="10"/>
  <c r="M698" i="10" s="1"/>
  <c r="Y764" i="10" s="1"/>
  <c r="K701" i="10"/>
  <c r="K687" i="10"/>
  <c r="K676" i="10"/>
  <c r="K669" i="10"/>
  <c r="K678" i="10"/>
  <c r="K692" i="10"/>
  <c r="K670" i="10"/>
  <c r="M670" i="10" s="1"/>
  <c r="Y736" i="10" s="1"/>
  <c r="K673" i="10"/>
  <c r="K679" i="10"/>
  <c r="K702" i="10"/>
  <c r="K706" i="10"/>
  <c r="M706" i="10" s="1"/>
  <c r="Y772" i="10" s="1"/>
  <c r="K709" i="10"/>
  <c r="K707" i="10"/>
  <c r="K703" i="10"/>
  <c r="M703" i="10" s="1"/>
  <c r="Y769" i="10" s="1"/>
  <c r="K677" i="10"/>
  <c r="M677" i="10" s="1"/>
  <c r="Y743" i="10" s="1"/>
  <c r="K708" i="10"/>
  <c r="K694" i="10"/>
  <c r="K699" i="10"/>
  <c r="K675" i="10"/>
  <c r="K704" i="10"/>
  <c r="K705" i="10"/>
  <c r="K680" i="10"/>
  <c r="K696" i="10"/>
  <c r="M696" i="10" s="1"/>
  <c r="Y762" i="10" s="1"/>
  <c r="K672" i="10"/>
  <c r="K681" i="10"/>
  <c r="K697" i="10"/>
  <c r="K710" i="10"/>
  <c r="K685" i="10"/>
  <c r="K712" i="10"/>
  <c r="K716" i="10"/>
  <c r="K668" i="10"/>
  <c r="K684" i="10"/>
  <c r="K711" i="10"/>
  <c r="K682" i="10"/>
  <c r="K700" i="10"/>
  <c r="K674" i="10"/>
  <c r="K695" i="10"/>
  <c r="K686" i="10"/>
  <c r="K690" i="10"/>
  <c r="K693" i="10"/>
  <c r="M674" i="10" l="1"/>
  <c r="Y740" i="10" s="1"/>
  <c r="M690" i="10"/>
  <c r="Y756" i="10" s="1"/>
  <c r="M695" i="10"/>
  <c r="Y761" i="10" s="1"/>
  <c r="M711" i="10"/>
  <c r="Y777" i="10" s="1"/>
  <c r="M705" i="10"/>
  <c r="Y771" i="10" s="1"/>
  <c r="M681" i="10"/>
  <c r="Y747" i="10" s="1"/>
  <c r="M702" i="10"/>
  <c r="Y768" i="10" s="1"/>
  <c r="M679" i="10"/>
  <c r="Y745" i="10" s="1"/>
  <c r="M697" i="10"/>
  <c r="Y763" i="10" s="1"/>
  <c r="M683" i="10"/>
  <c r="Y749" i="10" s="1"/>
  <c r="M693" i="10"/>
  <c r="Y759" i="10" s="1"/>
  <c r="M710" i="10"/>
  <c r="Y776" i="10" s="1"/>
  <c r="M675" i="10"/>
  <c r="Y741" i="10" s="1"/>
  <c r="M673" i="10"/>
  <c r="Y739" i="10" s="1"/>
  <c r="M700" i="10"/>
  <c r="Y766" i="10" s="1"/>
  <c r="M685" i="10"/>
  <c r="Y751" i="10" s="1"/>
  <c r="M713" i="10"/>
  <c r="Y779" i="10" s="1"/>
  <c r="M709" i="10"/>
  <c r="Y775" i="10" s="1"/>
  <c r="M669" i="10"/>
  <c r="Y735" i="10" s="1"/>
  <c r="M687" i="10"/>
  <c r="Y753" i="10" s="1"/>
  <c r="M672" i="10"/>
  <c r="Y738" i="10" s="1"/>
  <c r="M688" i="10"/>
  <c r="Y754" i="10" s="1"/>
  <c r="M712" i="10"/>
  <c r="Y778" i="10" s="1"/>
  <c r="M689" i="10"/>
  <c r="Y755" i="10" s="1"/>
  <c r="M671" i="10"/>
  <c r="Y737" i="10" s="1"/>
  <c r="L715" i="10"/>
  <c r="M686" i="10"/>
  <c r="Y752" i="10" s="1"/>
  <c r="M682" i="10"/>
  <c r="Y748" i="10" s="1"/>
  <c r="M694" i="10"/>
  <c r="Y760" i="10" s="1"/>
  <c r="M707" i="10"/>
  <c r="Y773" i="10" s="1"/>
  <c r="M678" i="10"/>
  <c r="Y744" i="10" s="1"/>
  <c r="M692" i="10"/>
  <c r="Y758" i="10" s="1"/>
  <c r="M676" i="10"/>
  <c r="Y742" i="10" s="1"/>
  <c r="M680" i="10"/>
  <c r="Y746" i="10" s="1"/>
  <c r="M708" i="10"/>
  <c r="Y774" i="10" s="1"/>
  <c r="M684" i="10"/>
  <c r="Y750" i="10" s="1"/>
  <c r="M704" i="10"/>
  <c r="Y770" i="10" s="1"/>
  <c r="M699" i="10"/>
  <c r="Y765" i="10" s="1"/>
  <c r="M701" i="10"/>
  <c r="Y767" i="10" s="1"/>
  <c r="K715" i="10"/>
  <c r="M668" i="10"/>
  <c r="M715" i="10" l="1"/>
  <c r="Y734" i="10"/>
  <c r="Y815" i="10" s="1"/>
  <c r="F493" i="1"/>
  <c r="E493" i="1"/>
  <c r="D493" i="1"/>
  <c r="B493" i="1"/>
  <c r="B575" i="1"/>
  <c r="A493" i="1" l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C470" i="1" s="1"/>
  <c r="E198" i="1"/>
  <c r="E199" i="1"/>
  <c r="C472" i="1" s="1"/>
  <c r="E200" i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F28" i="4" s="1"/>
  <c r="E153" i="1"/>
  <c r="E28" i="4" s="1"/>
  <c r="E152" i="1"/>
  <c r="D28" i="4" s="1"/>
  <c r="E151" i="1"/>
  <c r="C28" i="4" s="1"/>
  <c r="E150" i="1"/>
  <c r="E148" i="1"/>
  <c r="F19" i="4" s="1"/>
  <c r="E147" i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CE64" i="1"/>
  <c r="F612" i="1" s="1"/>
  <c r="D368" i="9"/>
  <c r="C276" i="9"/>
  <c r="CE70" i="1"/>
  <c r="C458" i="1" s="1"/>
  <c r="CE76" i="1"/>
  <c r="CE77" i="1"/>
  <c r="G612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CD71" i="1"/>
  <c r="E373" i="9" s="1"/>
  <c r="C615" i="1"/>
  <c r="E372" i="9"/>
  <c r="C427" i="1" l="1"/>
  <c r="AP48" i="1"/>
  <c r="AP62" i="1" s="1"/>
  <c r="G172" i="9" s="1"/>
  <c r="AA48" i="1"/>
  <c r="AA62" i="1" s="1"/>
  <c r="F108" i="9" s="1"/>
  <c r="T48" i="1"/>
  <c r="T62" i="1" s="1"/>
  <c r="BV48" i="1"/>
  <c r="BV62" i="1" s="1"/>
  <c r="BU48" i="1"/>
  <c r="BU62" i="1" s="1"/>
  <c r="C332" i="9" s="1"/>
  <c r="F48" i="1"/>
  <c r="F62" i="1" s="1"/>
  <c r="F12" i="9" s="1"/>
  <c r="AX48" i="1"/>
  <c r="AX62" i="1" s="1"/>
  <c r="H204" i="9" s="1"/>
  <c r="BG48" i="1"/>
  <c r="BG62" i="1" s="1"/>
  <c r="C268" i="9" s="1"/>
  <c r="BA48" i="1"/>
  <c r="BA62" i="1" s="1"/>
  <c r="D236" i="9" s="1"/>
  <c r="BC48" i="1"/>
  <c r="BC62" i="1" s="1"/>
  <c r="F236" i="9" s="1"/>
  <c r="V48" i="1"/>
  <c r="V62" i="1" s="1"/>
  <c r="BF48" i="1"/>
  <c r="BF62" i="1" s="1"/>
  <c r="I48" i="1"/>
  <c r="I62" i="1" s="1"/>
  <c r="I12" i="9" s="1"/>
  <c r="AU48" i="1"/>
  <c r="AU62" i="1" s="1"/>
  <c r="AH48" i="1"/>
  <c r="AH62" i="1" s="1"/>
  <c r="BN48" i="1"/>
  <c r="BN62" i="1" s="1"/>
  <c r="AO48" i="1"/>
  <c r="AO62" i="1" s="1"/>
  <c r="D48" i="1"/>
  <c r="D62" i="1" s="1"/>
  <c r="D12" i="9" s="1"/>
  <c r="J48" i="1"/>
  <c r="J62" i="1" s="1"/>
  <c r="C44" i="9" s="1"/>
  <c r="Z48" i="1"/>
  <c r="Z62" i="1" s="1"/>
  <c r="AJ48" i="1"/>
  <c r="AJ62" i="1" s="1"/>
  <c r="AR48" i="1"/>
  <c r="AR62" i="1" s="1"/>
  <c r="AZ48" i="1"/>
  <c r="AZ62" i="1" s="1"/>
  <c r="C236" i="9" s="1"/>
  <c r="BH48" i="1"/>
  <c r="BH62" i="1" s="1"/>
  <c r="D268" i="9" s="1"/>
  <c r="BP48" i="1"/>
  <c r="BP62" i="1" s="1"/>
  <c r="BX48" i="1"/>
  <c r="BX62" i="1" s="1"/>
  <c r="CB48" i="1"/>
  <c r="CB62" i="1" s="1"/>
  <c r="C364" i="9" s="1"/>
  <c r="AI48" i="1"/>
  <c r="AI62" i="1" s="1"/>
  <c r="BO48" i="1"/>
  <c r="BO62" i="1" s="1"/>
  <c r="D300" i="9" s="1"/>
  <c r="Q48" i="1"/>
  <c r="Q62" i="1" s="1"/>
  <c r="C76" i="9" s="1"/>
  <c r="AW48" i="1"/>
  <c r="AW62" i="1" s="1"/>
  <c r="E48" i="1"/>
  <c r="E62" i="1" s="1"/>
  <c r="BQ48" i="1"/>
  <c r="BQ62" i="1" s="1"/>
  <c r="F300" i="9" s="1"/>
  <c r="BI48" i="1"/>
  <c r="BI62" i="1" s="1"/>
  <c r="AE48" i="1"/>
  <c r="AE62" i="1" s="1"/>
  <c r="C140" i="9" s="1"/>
  <c r="AC48" i="1"/>
  <c r="AC62" i="1" s="1"/>
  <c r="H108" i="9" s="1"/>
  <c r="H48" i="1"/>
  <c r="H62" i="1" s="1"/>
  <c r="X48" i="1"/>
  <c r="X62" i="1" s="1"/>
  <c r="C112" i="8"/>
  <c r="B476" i="1"/>
  <c r="N48" i="1"/>
  <c r="N62" i="1" s="1"/>
  <c r="G44" i="9" s="1"/>
  <c r="AL48" i="1"/>
  <c r="AL62" i="1" s="1"/>
  <c r="C172" i="9" s="1"/>
  <c r="BR48" i="1"/>
  <c r="BR62" i="1" s="1"/>
  <c r="K48" i="1"/>
  <c r="K62" i="1" s="1"/>
  <c r="D44" i="9" s="1"/>
  <c r="BW48" i="1"/>
  <c r="BW62" i="1" s="1"/>
  <c r="E332" i="9" s="1"/>
  <c r="Y48" i="1"/>
  <c r="Y62" i="1" s="1"/>
  <c r="D108" i="9" s="1"/>
  <c r="U48" i="1"/>
  <c r="U62" i="1" s="1"/>
  <c r="AM48" i="1"/>
  <c r="AM62" i="1" s="1"/>
  <c r="D172" i="9" s="1"/>
  <c r="G48" i="1"/>
  <c r="G62" i="1" s="1"/>
  <c r="G12" i="9" s="1"/>
  <c r="AB48" i="1"/>
  <c r="AB62" i="1" s="1"/>
  <c r="F9" i="6"/>
  <c r="C434" i="1"/>
  <c r="AD48" i="1"/>
  <c r="AD62" i="1" s="1"/>
  <c r="I108" i="9" s="1"/>
  <c r="AT48" i="1"/>
  <c r="AT62" i="1" s="1"/>
  <c r="BB48" i="1"/>
  <c r="BB62" i="1" s="1"/>
  <c r="BJ48" i="1"/>
  <c r="BJ62" i="1" s="1"/>
  <c r="F268" i="9" s="1"/>
  <c r="BY48" i="1"/>
  <c r="BY62" i="1" s="1"/>
  <c r="G332" i="9" s="1"/>
  <c r="C48" i="1"/>
  <c r="C62" i="1" s="1"/>
  <c r="AQ48" i="1"/>
  <c r="AQ62" i="1" s="1"/>
  <c r="BE48" i="1"/>
  <c r="BE62" i="1" s="1"/>
  <c r="M48" i="1"/>
  <c r="M62" i="1" s="1"/>
  <c r="F44" i="9" s="1"/>
  <c r="L48" i="1"/>
  <c r="L62" i="1" s="1"/>
  <c r="E44" i="9" s="1"/>
  <c r="R48" i="1"/>
  <c r="R62" i="1" s="1"/>
  <c r="AF48" i="1"/>
  <c r="AF62" i="1" s="1"/>
  <c r="AN48" i="1"/>
  <c r="AN62" i="1" s="1"/>
  <c r="E172" i="9" s="1"/>
  <c r="AV48" i="1"/>
  <c r="AV62" i="1" s="1"/>
  <c r="F204" i="9" s="1"/>
  <c r="BD48" i="1"/>
  <c r="BD62" i="1" s="1"/>
  <c r="BL48" i="1"/>
  <c r="BL62" i="1" s="1"/>
  <c r="H268" i="9" s="1"/>
  <c r="BT48" i="1"/>
  <c r="BT62" i="1" s="1"/>
  <c r="CA48" i="1"/>
  <c r="CA62" i="1" s="1"/>
  <c r="S48" i="1"/>
  <c r="S62" i="1" s="1"/>
  <c r="AY48" i="1"/>
  <c r="AY62" i="1" s="1"/>
  <c r="CC48" i="1"/>
  <c r="CC62" i="1" s="1"/>
  <c r="AG48" i="1"/>
  <c r="AG62" i="1" s="1"/>
  <c r="BM48" i="1"/>
  <c r="BM62" i="1" s="1"/>
  <c r="AK48" i="1"/>
  <c r="AK62" i="1" s="1"/>
  <c r="O48" i="1"/>
  <c r="O62" i="1" s="1"/>
  <c r="BS48" i="1"/>
  <c r="BS62" i="1" s="1"/>
  <c r="BZ48" i="1"/>
  <c r="BZ62" i="1" s="1"/>
  <c r="H332" i="9" s="1"/>
  <c r="P48" i="1"/>
  <c r="P62" i="1" s="1"/>
  <c r="I363" i="9"/>
  <c r="B465" i="1"/>
  <c r="D330" i="1"/>
  <c r="C86" i="8" s="1"/>
  <c r="C33" i="8"/>
  <c r="C421" i="1"/>
  <c r="AS48" i="1"/>
  <c r="AS62" i="1" s="1"/>
  <c r="W48" i="1"/>
  <c r="W62" i="1" s="1"/>
  <c r="F90" i="9"/>
  <c r="I381" i="9"/>
  <c r="I26" i="9"/>
  <c r="F8" i="6"/>
  <c r="D32" i="6"/>
  <c r="G19" i="4"/>
  <c r="C473" i="1"/>
  <c r="E19" i="4"/>
  <c r="G122" i="9"/>
  <c r="C218" i="9"/>
  <c r="C464" i="1"/>
  <c r="F12" i="6"/>
  <c r="C141" i="8"/>
  <c r="CF77" i="1"/>
  <c r="C27" i="5"/>
  <c r="C440" i="1"/>
  <c r="C10" i="4"/>
  <c r="CF76" i="1"/>
  <c r="BS52" i="1" s="1"/>
  <c r="BS67" i="1" s="1"/>
  <c r="H305" i="9" s="1"/>
  <c r="I380" i="9"/>
  <c r="D436" i="1"/>
  <c r="F11" i="6"/>
  <c r="B19" i="4"/>
  <c r="D463" i="1"/>
  <c r="F15" i="6"/>
  <c r="C429" i="1"/>
  <c r="C14" i="5"/>
  <c r="C575" i="1"/>
  <c r="D13" i="7"/>
  <c r="I612" i="1"/>
  <c r="D368" i="1"/>
  <c r="C120" i="8" s="1"/>
  <c r="C119" i="8"/>
  <c r="C432" i="1"/>
  <c r="D612" i="1"/>
  <c r="B440" i="1"/>
  <c r="I372" i="9"/>
  <c r="G10" i="4"/>
  <c r="I366" i="9"/>
  <c r="D186" i="9"/>
  <c r="C430" i="1"/>
  <c r="B10" i="4"/>
  <c r="I90" i="9"/>
  <c r="G28" i="4"/>
  <c r="I362" i="9"/>
  <c r="D5" i="7"/>
  <c r="B568" i="1"/>
  <c r="D332" i="9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D292" i="1"/>
  <c r="C58" i="9"/>
  <c r="F140" i="9" l="1"/>
  <c r="F76" i="9"/>
  <c r="F172" i="9"/>
  <c r="E204" i="9"/>
  <c r="H76" i="9"/>
  <c r="E268" i="9"/>
  <c r="C300" i="9"/>
  <c r="I236" i="9"/>
  <c r="D204" i="9"/>
  <c r="G108" i="9"/>
  <c r="E76" i="9"/>
  <c r="G236" i="9"/>
  <c r="D76" i="9"/>
  <c r="G204" i="9"/>
  <c r="E108" i="9"/>
  <c r="E236" i="9"/>
  <c r="I268" i="9"/>
  <c r="H172" i="9"/>
  <c r="H44" i="9"/>
  <c r="F332" i="9"/>
  <c r="G300" i="9"/>
  <c r="E12" i="9"/>
  <c r="H236" i="9"/>
  <c r="E300" i="9"/>
  <c r="C108" i="9"/>
  <c r="C12" i="9"/>
  <c r="I332" i="9"/>
  <c r="E140" i="9"/>
  <c r="D339" i="1"/>
  <c r="C102" i="8" s="1"/>
  <c r="H300" i="9"/>
  <c r="G76" i="9"/>
  <c r="D364" i="9"/>
  <c r="I204" i="9"/>
  <c r="I172" i="9"/>
  <c r="G140" i="9"/>
  <c r="H140" i="9"/>
  <c r="H12" i="9"/>
  <c r="I140" i="9"/>
  <c r="I300" i="9"/>
  <c r="D140" i="9"/>
  <c r="CE62" i="1"/>
  <c r="I364" i="9" s="1"/>
  <c r="I44" i="9"/>
  <c r="C204" i="9"/>
  <c r="BS71" i="1"/>
  <c r="C639" i="1" s="1"/>
  <c r="I76" i="9"/>
  <c r="CE48" i="1"/>
  <c r="D373" i="1"/>
  <c r="C126" i="8" s="1"/>
  <c r="AK52" i="1"/>
  <c r="AK67" i="1" s="1"/>
  <c r="Y52" i="1"/>
  <c r="Y67" i="1" s="1"/>
  <c r="AX52" i="1"/>
  <c r="AX67" i="1" s="1"/>
  <c r="BF52" i="1"/>
  <c r="BF67" i="1" s="1"/>
  <c r="T52" i="1"/>
  <c r="T67" i="1" s="1"/>
  <c r="D465" i="1"/>
  <c r="BY52" i="1"/>
  <c r="BY67" i="1" s="1"/>
  <c r="BY71" i="1" s="1"/>
  <c r="C570" i="1" s="1"/>
  <c r="BJ52" i="1"/>
  <c r="BJ67" i="1" s="1"/>
  <c r="BE52" i="1"/>
  <c r="BE67" i="1" s="1"/>
  <c r="AW52" i="1"/>
  <c r="AW67" i="1" s="1"/>
  <c r="AM52" i="1"/>
  <c r="AM67" i="1" s="1"/>
  <c r="S52" i="1"/>
  <c r="S67" i="1" s="1"/>
  <c r="P52" i="1"/>
  <c r="P67" i="1" s="1"/>
  <c r="BV52" i="1"/>
  <c r="BV67" i="1" s="1"/>
  <c r="AY52" i="1"/>
  <c r="AY67" i="1" s="1"/>
  <c r="U52" i="1"/>
  <c r="U67" i="1" s="1"/>
  <c r="BB52" i="1"/>
  <c r="BB67" i="1" s="1"/>
  <c r="BK52" i="1"/>
  <c r="BK67" i="1" s="1"/>
  <c r="AH52" i="1"/>
  <c r="AH67" i="1" s="1"/>
  <c r="J52" i="1"/>
  <c r="J67" i="1" s="1"/>
  <c r="J71" i="1" s="1"/>
  <c r="C503" i="1" s="1"/>
  <c r="G503" i="1" s="1"/>
  <c r="N52" i="1"/>
  <c r="N67" i="1" s="1"/>
  <c r="BC52" i="1"/>
  <c r="BC67" i="1" s="1"/>
  <c r="AE52" i="1"/>
  <c r="AE67" i="1" s="1"/>
  <c r="BR52" i="1"/>
  <c r="BR67" i="1" s="1"/>
  <c r="AA52" i="1"/>
  <c r="AA67" i="1" s="1"/>
  <c r="M52" i="1"/>
  <c r="M67" i="1" s="1"/>
  <c r="CB52" i="1"/>
  <c r="CB67" i="1" s="1"/>
  <c r="F52" i="1"/>
  <c r="F67" i="1" s="1"/>
  <c r="BD52" i="1"/>
  <c r="BD67" i="1" s="1"/>
  <c r="G241" i="9" s="1"/>
  <c r="CA52" i="1"/>
  <c r="CA67" i="1" s="1"/>
  <c r="AG52" i="1"/>
  <c r="AG67" i="1" s="1"/>
  <c r="BA52" i="1"/>
  <c r="BA67" i="1" s="1"/>
  <c r="BA71" i="1" s="1"/>
  <c r="C630" i="1" s="1"/>
  <c r="Q52" i="1"/>
  <c r="Q67" i="1" s="1"/>
  <c r="AO52" i="1"/>
  <c r="AO67" i="1" s="1"/>
  <c r="BO52" i="1"/>
  <c r="BO67" i="1" s="1"/>
  <c r="BL52" i="1"/>
  <c r="BL67" i="1" s="1"/>
  <c r="AS52" i="1"/>
  <c r="AS67" i="1" s="1"/>
  <c r="CC52" i="1"/>
  <c r="CC67" i="1" s="1"/>
  <c r="AU52" i="1"/>
  <c r="AU67" i="1" s="1"/>
  <c r="AU71" i="1" s="1"/>
  <c r="G52" i="1"/>
  <c r="G67" i="1" s="1"/>
  <c r="D52" i="1"/>
  <c r="D67" i="1" s="1"/>
  <c r="BN52" i="1"/>
  <c r="BN67" i="1" s="1"/>
  <c r="BM52" i="1"/>
  <c r="BM67" i="1" s="1"/>
  <c r="BQ52" i="1"/>
  <c r="BQ67" i="1" s="1"/>
  <c r="AI52" i="1"/>
  <c r="AI67" i="1" s="1"/>
  <c r="I52" i="1"/>
  <c r="I67" i="1" s="1"/>
  <c r="I71" i="1" s="1"/>
  <c r="AF52" i="1"/>
  <c r="AF67" i="1" s="1"/>
  <c r="O52" i="1"/>
  <c r="O67" i="1" s="1"/>
  <c r="BH52" i="1"/>
  <c r="BH67" i="1" s="1"/>
  <c r="AT52" i="1"/>
  <c r="AT67" i="1" s="1"/>
  <c r="BW52" i="1"/>
  <c r="BW67" i="1" s="1"/>
  <c r="L52" i="1"/>
  <c r="L67" i="1" s="1"/>
  <c r="L71" i="1" s="1"/>
  <c r="C677" i="1" s="1"/>
  <c r="K52" i="1"/>
  <c r="K67" i="1" s="1"/>
  <c r="AR52" i="1"/>
  <c r="AR67" i="1" s="1"/>
  <c r="AR71" i="1" s="1"/>
  <c r="R52" i="1"/>
  <c r="R67" i="1" s="1"/>
  <c r="R71" i="1" s="1"/>
  <c r="BP52" i="1"/>
  <c r="BP67" i="1" s="1"/>
  <c r="BP71" i="1" s="1"/>
  <c r="C621" i="1" s="1"/>
  <c r="BG52" i="1"/>
  <c r="BG67" i="1" s="1"/>
  <c r="AV52" i="1"/>
  <c r="AV67" i="1" s="1"/>
  <c r="AV71" i="1" s="1"/>
  <c r="BT52" i="1"/>
  <c r="BT67" i="1" s="1"/>
  <c r="BT71" i="1" s="1"/>
  <c r="AZ52" i="1"/>
  <c r="AZ67" i="1" s="1"/>
  <c r="AZ71" i="1" s="1"/>
  <c r="C628" i="1" s="1"/>
  <c r="BZ52" i="1"/>
  <c r="BZ67" i="1" s="1"/>
  <c r="C52" i="1"/>
  <c r="AL52" i="1"/>
  <c r="AL67" i="1" s="1"/>
  <c r="AL71" i="1" s="1"/>
  <c r="C181" i="9" s="1"/>
  <c r="BX52" i="1"/>
  <c r="BX67" i="1" s="1"/>
  <c r="V52" i="1"/>
  <c r="V67" i="1" s="1"/>
  <c r="BI52" i="1"/>
  <c r="BI67" i="1" s="1"/>
  <c r="BI71" i="1" s="1"/>
  <c r="X52" i="1"/>
  <c r="X67" i="1" s="1"/>
  <c r="X71" i="1" s="1"/>
  <c r="AQ52" i="1"/>
  <c r="AQ67" i="1" s="1"/>
  <c r="AP52" i="1"/>
  <c r="AP67" i="1" s="1"/>
  <c r="Z52" i="1"/>
  <c r="Z67" i="1" s="1"/>
  <c r="Z71" i="1" s="1"/>
  <c r="C519" i="1" s="1"/>
  <c r="G519" i="1" s="1"/>
  <c r="AD52" i="1"/>
  <c r="AD67" i="1" s="1"/>
  <c r="BU52" i="1"/>
  <c r="BU67" i="1" s="1"/>
  <c r="AB52" i="1"/>
  <c r="AB67" i="1" s="1"/>
  <c r="AB71" i="1" s="1"/>
  <c r="C521" i="1" s="1"/>
  <c r="G521" i="1" s="1"/>
  <c r="W52" i="1"/>
  <c r="W67" i="1" s="1"/>
  <c r="W71" i="1" s="1"/>
  <c r="C516" i="1" s="1"/>
  <c r="G516" i="1" s="1"/>
  <c r="E52" i="1"/>
  <c r="E67" i="1" s="1"/>
  <c r="E71" i="1" s="1"/>
  <c r="E21" i="9" s="1"/>
  <c r="H52" i="1"/>
  <c r="H67" i="1" s="1"/>
  <c r="AN52" i="1"/>
  <c r="AN67" i="1" s="1"/>
  <c r="AN71" i="1" s="1"/>
  <c r="E181" i="9" s="1"/>
  <c r="AJ52" i="1"/>
  <c r="AJ67" i="1" s="1"/>
  <c r="AC52" i="1"/>
  <c r="AC67" i="1" s="1"/>
  <c r="B569" i="1"/>
  <c r="B519" i="1"/>
  <c r="B531" i="1"/>
  <c r="B552" i="1"/>
  <c r="B507" i="1"/>
  <c r="B503" i="1"/>
  <c r="B543" i="1"/>
  <c r="B509" i="1"/>
  <c r="B571" i="1"/>
  <c r="B499" i="1"/>
  <c r="B522" i="1"/>
  <c r="B562" i="1"/>
  <c r="B564" i="1"/>
  <c r="B539" i="1"/>
  <c r="B512" i="1"/>
  <c r="B566" i="1"/>
  <c r="B506" i="1"/>
  <c r="B550" i="1"/>
  <c r="B567" i="1"/>
  <c r="B517" i="1"/>
  <c r="B541" i="1"/>
  <c r="B523" i="1"/>
  <c r="B530" i="1"/>
  <c r="B500" i="1"/>
  <c r="B518" i="1"/>
  <c r="B537" i="1"/>
  <c r="B513" i="1"/>
  <c r="B574" i="1"/>
  <c r="B514" i="1"/>
  <c r="B547" i="1"/>
  <c r="B502" i="1"/>
  <c r="B521" i="1"/>
  <c r="B525" i="1"/>
  <c r="B546" i="1"/>
  <c r="B505" i="1"/>
  <c r="B555" i="1"/>
  <c r="B497" i="1"/>
  <c r="B498" i="1"/>
  <c r="F498" i="1" s="1"/>
  <c r="B558" i="1"/>
  <c r="B516" i="1"/>
  <c r="F516" i="1" s="1"/>
  <c r="B538" i="1"/>
  <c r="B532" i="1"/>
  <c r="H532" i="1" s="1"/>
  <c r="B526" i="1"/>
  <c r="B545" i="1"/>
  <c r="B536" i="1"/>
  <c r="F536" i="1" s="1"/>
  <c r="B565" i="1"/>
  <c r="B548" i="1"/>
  <c r="B563" i="1"/>
  <c r="B510" i="1"/>
  <c r="B529" i="1"/>
  <c r="B520" i="1"/>
  <c r="F520" i="1" s="1"/>
  <c r="B549" i="1"/>
  <c r="B524" i="1"/>
  <c r="B511" i="1"/>
  <c r="B542" i="1"/>
  <c r="B561" i="1"/>
  <c r="B504" i="1"/>
  <c r="B533" i="1"/>
  <c r="B560" i="1"/>
  <c r="B556" i="1"/>
  <c r="B534" i="1"/>
  <c r="B553" i="1"/>
  <c r="B544" i="1"/>
  <c r="F544" i="1" s="1"/>
  <c r="B573" i="1"/>
  <c r="B572" i="1"/>
  <c r="B527" i="1"/>
  <c r="B501" i="1"/>
  <c r="B515" i="1"/>
  <c r="B528" i="1"/>
  <c r="H528" i="1" s="1"/>
  <c r="B557" i="1"/>
  <c r="B540" i="1"/>
  <c r="F540" i="1" s="1"/>
  <c r="B508" i="1"/>
  <c r="B570" i="1"/>
  <c r="B551" i="1"/>
  <c r="B559" i="1"/>
  <c r="B535" i="1"/>
  <c r="B554" i="1"/>
  <c r="D27" i="7"/>
  <c r="B448" i="1"/>
  <c r="D341" i="1"/>
  <c r="C481" i="1" s="1"/>
  <c r="C50" i="8"/>
  <c r="I378" i="9"/>
  <c r="K612" i="1"/>
  <c r="C465" i="1"/>
  <c r="F32" i="6"/>
  <c r="C478" i="1"/>
  <c r="C476" i="1"/>
  <c r="F16" i="6"/>
  <c r="C482" i="1" l="1"/>
  <c r="C564" i="1"/>
  <c r="H309" i="9"/>
  <c r="C428" i="1"/>
  <c r="G341" i="9"/>
  <c r="C53" i="9"/>
  <c r="G337" i="9"/>
  <c r="D391" i="1"/>
  <c r="C142" i="8" s="1"/>
  <c r="C498" i="1"/>
  <c r="G498" i="1" s="1"/>
  <c r="C531" i="1"/>
  <c r="G531" i="1" s="1"/>
  <c r="C688" i="1"/>
  <c r="C645" i="1"/>
  <c r="C670" i="1"/>
  <c r="C245" i="9"/>
  <c r="C675" i="1"/>
  <c r="C703" i="1"/>
  <c r="I85" i="9"/>
  <c r="C545" i="1"/>
  <c r="G545" i="1" s="1"/>
  <c r="E53" i="9"/>
  <c r="G117" i="9"/>
  <c r="C505" i="1"/>
  <c r="G505" i="1" s="1"/>
  <c r="AC71" i="1"/>
  <c r="AD71" i="1"/>
  <c r="C117" i="9"/>
  <c r="C517" i="1"/>
  <c r="G517" i="1" s="1"/>
  <c r="C689" i="1"/>
  <c r="E277" i="9"/>
  <c r="C554" i="1"/>
  <c r="C634" i="1"/>
  <c r="I309" i="9"/>
  <c r="C640" i="1"/>
  <c r="C565" i="1"/>
  <c r="C511" i="1"/>
  <c r="G511" i="1" s="1"/>
  <c r="C683" i="1"/>
  <c r="D85" i="9"/>
  <c r="D209" i="9"/>
  <c r="AT71" i="1"/>
  <c r="D245" i="9"/>
  <c r="D145" i="9"/>
  <c r="AF71" i="1"/>
  <c r="F305" i="9"/>
  <c r="BQ71" i="1"/>
  <c r="G17" i="9"/>
  <c r="G71" i="1"/>
  <c r="BL71" i="1"/>
  <c r="F49" i="9"/>
  <c r="M71" i="1"/>
  <c r="BC71" i="1"/>
  <c r="D337" i="9"/>
  <c r="BV71" i="1"/>
  <c r="E309" i="9"/>
  <c r="BJ71" i="1"/>
  <c r="Y71" i="1"/>
  <c r="H145" i="9"/>
  <c r="AJ71" i="1"/>
  <c r="V71" i="1"/>
  <c r="H337" i="9"/>
  <c r="BZ71" i="1"/>
  <c r="C713" i="1"/>
  <c r="F213" i="9"/>
  <c r="C541" i="1"/>
  <c r="I181" i="9"/>
  <c r="C537" i="1"/>
  <c r="G537" i="1" s="1"/>
  <c r="C709" i="1"/>
  <c r="E117" i="9"/>
  <c r="BH71" i="1"/>
  <c r="C693" i="1"/>
  <c r="C674" i="1"/>
  <c r="C502" i="1"/>
  <c r="G502" i="1" s="1"/>
  <c r="I21" i="9"/>
  <c r="I273" i="9"/>
  <c r="BM71" i="1"/>
  <c r="E213" i="9"/>
  <c r="C540" i="1"/>
  <c r="G540" i="1" s="1"/>
  <c r="C712" i="1"/>
  <c r="D305" i="9"/>
  <c r="BO71" i="1"/>
  <c r="BD71" i="1"/>
  <c r="F113" i="9"/>
  <c r="AA71" i="1"/>
  <c r="N71" i="1"/>
  <c r="F145" i="9"/>
  <c r="AH71" i="1"/>
  <c r="U71" i="1"/>
  <c r="AM71" i="1"/>
  <c r="T71" i="1"/>
  <c r="I145" i="9"/>
  <c r="AK71" i="1"/>
  <c r="AP71" i="1"/>
  <c r="F337" i="9"/>
  <c r="BX71" i="1"/>
  <c r="BG71" i="1"/>
  <c r="D49" i="9"/>
  <c r="K71" i="1"/>
  <c r="O71" i="1"/>
  <c r="AI71" i="1"/>
  <c r="C305" i="9"/>
  <c r="BN71" i="1"/>
  <c r="D369" i="9"/>
  <c r="CC71" i="1"/>
  <c r="F177" i="9"/>
  <c r="AO71" i="1"/>
  <c r="E145" i="9"/>
  <c r="AG71" i="1"/>
  <c r="F71" i="1"/>
  <c r="BR71" i="1"/>
  <c r="C546" i="1"/>
  <c r="G546" i="1" s="1"/>
  <c r="BK71" i="1"/>
  <c r="I49" i="9"/>
  <c r="P71" i="1"/>
  <c r="AW71" i="1"/>
  <c r="BF71" i="1"/>
  <c r="C705" i="1"/>
  <c r="H17" i="9"/>
  <c r="H71" i="1"/>
  <c r="C337" i="9"/>
  <c r="BU71" i="1"/>
  <c r="H177" i="9"/>
  <c r="AQ71" i="1"/>
  <c r="C533" i="1"/>
  <c r="G533" i="1" s="1"/>
  <c r="C691" i="1"/>
  <c r="BW71" i="1"/>
  <c r="C561" i="1"/>
  <c r="D71" i="1"/>
  <c r="AS71" i="1"/>
  <c r="C81" i="9"/>
  <c r="Q71" i="1"/>
  <c r="I337" i="9"/>
  <c r="CA71" i="1"/>
  <c r="CB71" i="1"/>
  <c r="C145" i="9"/>
  <c r="AE71" i="1"/>
  <c r="E241" i="9"/>
  <c r="BB71" i="1"/>
  <c r="I209" i="9"/>
  <c r="AY71" i="1"/>
  <c r="E81" i="9"/>
  <c r="S71" i="1"/>
  <c r="BE71" i="1"/>
  <c r="AX71" i="1"/>
  <c r="D113" i="9"/>
  <c r="F273" i="9"/>
  <c r="G81" i="9"/>
  <c r="C273" i="9"/>
  <c r="G145" i="9"/>
  <c r="H241" i="9"/>
  <c r="H209" i="9"/>
  <c r="H49" i="9"/>
  <c r="F17" i="9"/>
  <c r="G305" i="9"/>
  <c r="D177" i="9"/>
  <c r="G209" i="9"/>
  <c r="I241" i="9"/>
  <c r="G273" i="9"/>
  <c r="G49" i="9"/>
  <c r="F81" i="9"/>
  <c r="D17" i="9"/>
  <c r="C369" i="9"/>
  <c r="C209" i="9"/>
  <c r="E337" i="9"/>
  <c r="F241" i="9"/>
  <c r="D273" i="9"/>
  <c r="I17" i="9"/>
  <c r="E209" i="9"/>
  <c r="D241" i="9"/>
  <c r="C49" i="9"/>
  <c r="H273" i="9"/>
  <c r="E49" i="9"/>
  <c r="G177" i="9"/>
  <c r="I113" i="9"/>
  <c r="E177" i="9"/>
  <c r="G113" i="9"/>
  <c r="E273" i="9"/>
  <c r="C67" i="1"/>
  <c r="C71" i="1" s="1"/>
  <c r="CE52" i="1"/>
  <c r="I305" i="9"/>
  <c r="D81" i="9"/>
  <c r="F209" i="9"/>
  <c r="I177" i="9"/>
  <c r="E17" i="9"/>
  <c r="C113" i="9"/>
  <c r="H113" i="9"/>
  <c r="H81" i="9"/>
  <c r="I81" i="9"/>
  <c r="E113" i="9"/>
  <c r="C177" i="9"/>
  <c r="C241" i="9"/>
  <c r="E305" i="9"/>
  <c r="F532" i="1"/>
  <c r="F550" i="1"/>
  <c r="F528" i="1"/>
  <c r="H516" i="1"/>
  <c r="H536" i="1"/>
  <c r="F524" i="1"/>
  <c r="F515" i="1"/>
  <c r="F497" i="1"/>
  <c r="F511" i="1"/>
  <c r="F499" i="1"/>
  <c r="F501" i="1"/>
  <c r="F517" i="1"/>
  <c r="H540" i="1"/>
  <c r="B496" i="1"/>
  <c r="H505" i="1"/>
  <c r="F505" i="1"/>
  <c r="F522" i="1"/>
  <c r="F510" i="1"/>
  <c r="F513" i="1"/>
  <c r="F538" i="1"/>
  <c r="H538" i="1"/>
  <c r="F534" i="1"/>
  <c r="H534" i="1"/>
  <c r="H502" i="1"/>
  <c r="F502" i="1"/>
  <c r="H504" i="1"/>
  <c r="F504" i="1"/>
  <c r="F530" i="1"/>
  <c r="F512" i="1"/>
  <c r="F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D393" i="1" l="1"/>
  <c r="C146" i="8" s="1"/>
  <c r="H517" i="1"/>
  <c r="H498" i="1"/>
  <c r="H511" i="1"/>
  <c r="H546" i="1"/>
  <c r="C616" i="1"/>
  <c r="C543" i="1"/>
  <c r="H213" i="9"/>
  <c r="C682" i="1"/>
  <c r="C85" i="9"/>
  <c r="C510" i="1"/>
  <c r="E85" i="9"/>
  <c r="C684" i="1"/>
  <c r="C512" i="1"/>
  <c r="C622" i="1"/>
  <c r="C373" i="9"/>
  <c r="C573" i="1"/>
  <c r="C497" i="1"/>
  <c r="C669" i="1"/>
  <c r="D21" i="9"/>
  <c r="E245" i="9"/>
  <c r="C632" i="1"/>
  <c r="C547" i="1"/>
  <c r="C629" i="1"/>
  <c r="C551" i="1"/>
  <c r="I245" i="9"/>
  <c r="I53" i="9"/>
  <c r="C509" i="1"/>
  <c r="C681" i="1"/>
  <c r="C568" i="1"/>
  <c r="C643" i="1"/>
  <c r="E341" i="9"/>
  <c r="H181" i="9"/>
  <c r="C708" i="1"/>
  <c r="C536" i="1"/>
  <c r="G536" i="1" s="1"/>
  <c r="C673" i="1"/>
  <c r="C501" i="1"/>
  <c r="H21" i="9"/>
  <c r="F21" i="9"/>
  <c r="C671" i="1"/>
  <c r="C499" i="1"/>
  <c r="F181" i="9"/>
  <c r="C534" i="1"/>
  <c r="G534" i="1" s="1"/>
  <c r="C706" i="1"/>
  <c r="C619" i="1"/>
  <c r="C559" i="1"/>
  <c r="C309" i="9"/>
  <c r="C680" i="1"/>
  <c r="C508" i="1"/>
  <c r="G508" i="1" s="1"/>
  <c r="H53" i="9"/>
  <c r="C552" i="1"/>
  <c r="C618" i="1"/>
  <c r="C277" i="9"/>
  <c r="G181" i="9"/>
  <c r="C535" i="1"/>
  <c r="G535" i="1" s="1"/>
  <c r="C707" i="1"/>
  <c r="C685" i="1"/>
  <c r="C513" i="1"/>
  <c r="F85" i="9"/>
  <c r="G85" i="9"/>
  <c r="C514" i="1"/>
  <c r="C686" i="1"/>
  <c r="C507" i="1"/>
  <c r="G507" i="1" s="1"/>
  <c r="G53" i="9"/>
  <c r="C679" i="1"/>
  <c r="G245" i="9"/>
  <c r="C624" i="1"/>
  <c r="C549" i="1"/>
  <c r="C638" i="1"/>
  <c r="C558" i="1"/>
  <c r="I277" i="9"/>
  <c r="F245" i="9"/>
  <c r="C548" i="1"/>
  <c r="C633" i="1"/>
  <c r="H277" i="9"/>
  <c r="C637" i="1"/>
  <c r="C557" i="1"/>
  <c r="C562" i="1"/>
  <c r="C623" i="1"/>
  <c r="F309" i="9"/>
  <c r="I117" i="9"/>
  <c r="C523" i="1"/>
  <c r="G523" i="1" s="1"/>
  <c r="C695" i="1"/>
  <c r="C515" i="1"/>
  <c r="H85" i="9"/>
  <c r="C687" i="1"/>
  <c r="C518" i="1"/>
  <c r="C690" i="1"/>
  <c r="D117" i="9"/>
  <c r="C711" i="1"/>
  <c r="C539" i="1"/>
  <c r="G539" i="1" s="1"/>
  <c r="D213" i="9"/>
  <c r="C496" i="1"/>
  <c r="G496" i="1" s="1"/>
  <c r="C668" i="1"/>
  <c r="C21" i="9"/>
  <c r="C341" i="9"/>
  <c r="C641" i="1"/>
  <c r="C566" i="1"/>
  <c r="C626" i="1"/>
  <c r="C563" i="1"/>
  <c r="G309" i="9"/>
  <c r="C698" i="1"/>
  <c r="C526" i="1"/>
  <c r="E149" i="9"/>
  <c r="C620" i="1"/>
  <c r="C574" i="1"/>
  <c r="D373" i="9"/>
  <c r="C528" i="1"/>
  <c r="G528" i="1" s="1"/>
  <c r="C700" i="1"/>
  <c r="G149" i="9"/>
  <c r="D53" i="9"/>
  <c r="C676" i="1"/>
  <c r="C504" i="1"/>
  <c r="G504" i="1" s="1"/>
  <c r="F341" i="9"/>
  <c r="C569" i="1"/>
  <c r="C644" i="1"/>
  <c r="C530" i="1"/>
  <c r="I149" i="9"/>
  <c r="C702" i="1"/>
  <c r="C704" i="1"/>
  <c r="D181" i="9"/>
  <c r="C532" i="1"/>
  <c r="G532" i="1" s="1"/>
  <c r="C699" i="1"/>
  <c r="C527" i="1"/>
  <c r="G527" i="1" s="1"/>
  <c r="F149" i="9"/>
  <c r="F117" i="9"/>
  <c r="C520" i="1"/>
  <c r="C692" i="1"/>
  <c r="C636" i="1"/>
  <c r="C553" i="1"/>
  <c r="D277" i="9"/>
  <c r="C642" i="1"/>
  <c r="D341" i="9"/>
  <c r="C567" i="1"/>
  <c r="C506" i="1"/>
  <c r="G506" i="1" s="1"/>
  <c r="F53" i="9"/>
  <c r="C678" i="1"/>
  <c r="C672" i="1"/>
  <c r="C500" i="1"/>
  <c r="G500" i="1" s="1"/>
  <c r="G21" i="9"/>
  <c r="C697" i="1"/>
  <c r="C525" i="1"/>
  <c r="G525" i="1" s="1"/>
  <c r="D149" i="9"/>
  <c r="C522" i="1"/>
  <c r="C694" i="1"/>
  <c r="H117" i="9"/>
  <c r="H245" i="9"/>
  <c r="C550" i="1"/>
  <c r="C614" i="1"/>
  <c r="C544" i="1"/>
  <c r="C625" i="1"/>
  <c r="I213" i="9"/>
  <c r="C524" i="1"/>
  <c r="C149" i="9"/>
  <c r="C696" i="1"/>
  <c r="C647" i="1"/>
  <c r="C572" i="1"/>
  <c r="I341" i="9"/>
  <c r="C710" i="1"/>
  <c r="C213" i="9"/>
  <c r="C538" i="1"/>
  <c r="G538" i="1" s="1"/>
  <c r="C542" i="1"/>
  <c r="G213" i="9"/>
  <c r="C631" i="1"/>
  <c r="G277" i="9"/>
  <c r="C635" i="1"/>
  <c r="C556" i="1"/>
  <c r="D309" i="9"/>
  <c r="C627" i="1"/>
  <c r="C560" i="1"/>
  <c r="C646" i="1"/>
  <c r="C571" i="1"/>
  <c r="H341" i="9"/>
  <c r="C529" i="1"/>
  <c r="G529" i="1" s="1"/>
  <c r="H149" i="9"/>
  <c r="C701" i="1"/>
  <c r="C555" i="1"/>
  <c r="C617" i="1"/>
  <c r="F277" i="9"/>
  <c r="CE67" i="1"/>
  <c r="CE71" i="1" s="1"/>
  <c r="C17" i="9"/>
  <c r="F496" i="1"/>
  <c r="F545" i="1"/>
  <c r="H545" i="1" s="1"/>
  <c r="H525" i="1"/>
  <c r="F525" i="1"/>
  <c r="F529" i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 s="1"/>
  <c r="D396" i="1" l="1"/>
  <c r="C151" i="8" s="1"/>
  <c r="H529" i="1"/>
  <c r="C716" i="1"/>
  <c r="I373" i="9"/>
  <c r="G550" i="1"/>
  <c r="H550" i="1" s="1"/>
  <c r="G522" i="1"/>
  <c r="H522" i="1" s="1"/>
  <c r="G515" i="1"/>
  <c r="H515" i="1" s="1"/>
  <c r="G509" i="1"/>
  <c r="H509" i="1" s="1"/>
  <c r="G520" i="1"/>
  <c r="H520" i="1" s="1"/>
  <c r="G526" i="1"/>
  <c r="H526" i="1" s="1"/>
  <c r="G518" i="1"/>
  <c r="H518" i="1" s="1"/>
  <c r="H496" i="1"/>
  <c r="G544" i="1"/>
  <c r="H544" i="1" s="1"/>
  <c r="G513" i="1"/>
  <c r="H513" i="1"/>
  <c r="G510" i="1"/>
  <c r="H510" i="1" s="1"/>
  <c r="G524" i="1"/>
  <c r="H524" i="1" s="1"/>
  <c r="C715" i="1"/>
  <c r="C648" i="1"/>
  <c r="M716" i="1" s="1"/>
  <c r="D615" i="1"/>
  <c r="G530" i="1"/>
  <c r="H530" i="1" s="1"/>
  <c r="G514" i="1"/>
  <c r="H514" i="1" s="1"/>
  <c r="G499" i="1"/>
  <c r="H499" i="1" s="1"/>
  <c r="G501" i="1"/>
  <c r="H501" i="1" s="1"/>
  <c r="G497" i="1"/>
  <c r="H497" i="1" s="1"/>
  <c r="G512" i="1"/>
  <c r="H512" i="1"/>
  <c r="I369" i="9"/>
  <c r="C433" i="1"/>
  <c r="C441" i="1" s="1"/>
  <c r="D620" i="1" l="1"/>
  <c r="D691" i="1"/>
  <c r="D677" i="1"/>
  <c r="D689" i="1"/>
  <c r="D696" i="1"/>
  <c r="D668" i="1"/>
  <c r="D708" i="1"/>
  <c r="D681" i="1"/>
  <c r="D645" i="1"/>
  <c r="D623" i="1"/>
  <c r="D711" i="1"/>
  <c r="D682" i="1"/>
  <c r="D642" i="1"/>
  <c r="D716" i="1"/>
  <c r="D636" i="1"/>
  <c r="D713" i="1"/>
  <c r="D616" i="1"/>
  <c r="D619" i="1"/>
  <c r="D625" i="1"/>
  <c r="D630" i="1"/>
  <c r="D634" i="1"/>
  <c r="D703" i="1"/>
  <c r="D627" i="1"/>
  <c r="D712" i="1"/>
  <c r="D672" i="1"/>
  <c r="D680" i="1"/>
  <c r="D688" i="1"/>
  <c r="D687" i="1"/>
  <c r="D622" i="1"/>
  <c r="D628" i="1"/>
  <c r="D675" i="1"/>
  <c r="D676" i="1"/>
  <c r="D617" i="1"/>
  <c r="D685" i="1"/>
  <c r="D707" i="1"/>
  <c r="D694" i="1"/>
  <c r="D635" i="1"/>
  <c r="D695" i="1"/>
  <c r="D618" i="1"/>
  <c r="D629" i="1"/>
  <c r="D669" i="1"/>
  <c r="D673" i="1"/>
  <c r="D640" i="1"/>
  <c r="D701" i="1"/>
  <c r="D710" i="1"/>
  <c r="D633" i="1"/>
  <c r="D679" i="1"/>
  <c r="D644" i="1"/>
  <c r="D704" i="1"/>
  <c r="D686" i="1"/>
  <c r="D631" i="1"/>
  <c r="D684" i="1"/>
  <c r="D674" i="1"/>
  <c r="D709" i="1"/>
  <c r="D702" i="1"/>
  <c r="D698" i="1"/>
  <c r="D641" i="1"/>
  <c r="D683" i="1"/>
  <c r="D700" i="1"/>
  <c r="D671" i="1"/>
  <c r="D638" i="1"/>
  <c r="D670" i="1"/>
  <c r="D621" i="1"/>
  <c r="D678" i="1"/>
  <c r="D626" i="1"/>
  <c r="D646" i="1"/>
  <c r="D693" i="1"/>
  <c r="D692" i="1"/>
  <c r="D639" i="1"/>
  <c r="D705" i="1"/>
  <c r="D706" i="1"/>
  <c r="D632" i="1"/>
  <c r="D697" i="1"/>
  <c r="D690" i="1"/>
  <c r="D637" i="1"/>
  <c r="D647" i="1"/>
  <c r="D643" i="1"/>
  <c r="D624" i="1"/>
  <c r="D699" i="1"/>
  <c r="E612" i="1" l="1"/>
  <c r="D715" i="1"/>
  <c r="E623" i="1"/>
  <c r="E716" i="1" l="1"/>
  <c r="E704" i="1"/>
  <c r="E703" i="1"/>
  <c r="E640" i="1"/>
  <c r="E712" i="1"/>
  <c r="E695" i="1"/>
  <c r="E687" i="1"/>
  <c r="E688" i="1"/>
  <c r="E629" i="1"/>
  <c r="E641" i="1"/>
  <c r="E642" i="1"/>
  <c r="E700" i="1"/>
  <c r="E676" i="1"/>
  <c r="E689" i="1"/>
  <c r="E626" i="1"/>
  <c r="E693" i="1"/>
  <c r="E631" i="1"/>
  <c r="E625" i="1"/>
  <c r="E646" i="1"/>
  <c r="E671" i="1"/>
  <c r="E684" i="1"/>
  <c r="E683" i="1"/>
  <c r="E686" i="1"/>
  <c r="E635" i="1"/>
  <c r="E701" i="1"/>
  <c r="E633" i="1"/>
  <c r="E627" i="1"/>
  <c r="E711" i="1"/>
  <c r="E706" i="1"/>
  <c r="E674" i="1"/>
  <c r="E634" i="1"/>
  <c r="E632" i="1"/>
  <c r="E630" i="1"/>
  <c r="E697" i="1"/>
  <c r="E690" i="1"/>
  <c r="E710" i="1"/>
  <c r="E702" i="1"/>
  <c r="E691" i="1"/>
  <c r="E713" i="1"/>
  <c r="E681" i="1"/>
  <c r="E636" i="1"/>
  <c r="E694" i="1"/>
  <c r="E705" i="1"/>
  <c r="E624" i="1"/>
  <c r="F624" i="1" s="1"/>
  <c r="F628" i="1" s="1"/>
  <c r="E677" i="1"/>
  <c r="E637" i="1"/>
  <c r="E699" i="1"/>
  <c r="E628" i="1"/>
  <c r="E673" i="1"/>
  <c r="E678" i="1"/>
  <c r="E672" i="1"/>
  <c r="E644" i="1"/>
  <c r="E698" i="1"/>
  <c r="E692" i="1"/>
  <c r="E668" i="1"/>
  <c r="E669" i="1"/>
  <c r="E707" i="1"/>
  <c r="E670" i="1"/>
  <c r="E675" i="1"/>
  <c r="E709" i="1"/>
  <c r="E679" i="1"/>
  <c r="E643" i="1"/>
  <c r="E696" i="1"/>
  <c r="E638" i="1"/>
  <c r="E685" i="1"/>
  <c r="E647" i="1"/>
  <c r="E680" i="1"/>
  <c r="E645" i="1"/>
  <c r="E682" i="1"/>
  <c r="E708" i="1"/>
  <c r="E639" i="1"/>
  <c r="F689" i="1" l="1"/>
  <c r="F644" i="1"/>
  <c r="F688" i="1"/>
  <c r="F701" i="1"/>
  <c r="F633" i="1"/>
  <c r="F679" i="1"/>
  <c r="F642" i="1"/>
  <c r="F636" i="1"/>
  <c r="F668" i="1"/>
  <c r="F702" i="1"/>
  <c r="F635" i="1"/>
  <c r="F637" i="1"/>
  <c r="F678" i="1"/>
  <c r="F695" i="1"/>
  <c r="F646" i="1"/>
  <c r="F627" i="1"/>
  <c r="F711" i="1"/>
  <c r="F709" i="1"/>
  <c r="F705" i="1"/>
  <c r="F699" i="1"/>
  <c r="F677" i="1"/>
  <c r="F691" i="1"/>
  <c r="F694" i="1"/>
  <c r="F675" i="1"/>
  <c r="F631" i="1"/>
  <c r="F634" i="1"/>
  <c r="F696" i="1"/>
  <c r="F638" i="1"/>
  <c r="F630" i="1"/>
  <c r="F673" i="1"/>
  <c r="F703" i="1"/>
  <c r="F704" i="1"/>
  <c r="F647" i="1"/>
  <c r="F690" i="1"/>
  <c r="F683" i="1"/>
  <c r="F632" i="1"/>
  <c r="F672" i="1"/>
  <c r="F676" i="1"/>
  <c r="F669" i="1"/>
  <c r="F685" i="1"/>
  <c r="F680" i="1"/>
  <c r="F684" i="1"/>
  <c r="F625" i="1"/>
  <c r="G625" i="1" s="1"/>
  <c r="F693" i="1"/>
  <c r="F687" i="1"/>
  <c r="F641" i="1"/>
  <c r="F707" i="1"/>
  <c r="F686" i="1"/>
  <c r="F712" i="1"/>
  <c r="F697" i="1"/>
  <c r="F698" i="1"/>
  <c r="F716" i="1"/>
  <c r="F626" i="1"/>
  <c r="F674" i="1"/>
  <c r="F639" i="1"/>
  <c r="F682" i="1"/>
  <c r="F643" i="1"/>
  <c r="F645" i="1"/>
  <c r="F713" i="1"/>
  <c r="F706" i="1"/>
  <c r="F681" i="1"/>
  <c r="F700" i="1"/>
  <c r="F692" i="1"/>
  <c r="F710" i="1"/>
  <c r="F670" i="1"/>
  <c r="F671" i="1"/>
  <c r="F640" i="1"/>
  <c r="F708" i="1"/>
  <c r="F629" i="1"/>
  <c r="E715" i="1"/>
  <c r="F715" i="1" l="1"/>
  <c r="G628" i="1"/>
  <c r="G696" i="1"/>
  <c r="G705" i="1"/>
  <c r="G671" i="1"/>
  <c r="G681" i="1"/>
  <c r="G642" i="1"/>
  <c r="G630" i="1"/>
  <c r="G673" i="1"/>
  <c r="G677" i="1"/>
  <c r="G644" i="1"/>
  <c r="G702" i="1"/>
  <c r="G645" i="1"/>
  <c r="G626" i="1"/>
  <c r="G675" i="1"/>
  <c r="G668" i="1"/>
  <c r="G684" i="1"/>
  <c r="G647" i="1"/>
  <c r="G707" i="1"/>
  <c r="G709" i="1"/>
  <c r="G687" i="1"/>
  <c r="G682" i="1"/>
  <c r="G672" i="1"/>
  <c r="G680" i="1"/>
  <c r="G698" i="1"/>
  <c r="G703" i="1"/>
  <c r="G627" i="1"/>
  <c r="G711" i="1"/>
  <c r="G695" i="1"/>
  <c r="G646" i="1"/>
  <c r="G634" i="1"/>
  <c r="G635" i="1"/>
  <c r="G704" i="1"/>
  <c r="G676" i="1"/>
  <c r="G639" i="1"/>
  <c r="G700" i="1"/>
  <c r="G694" i="1"/>
  <c r="G679" i="1"/>
  <c r="G670" i="1"/>
  <c r="G674" i="1"/>
  <c r="G712" i="1"/>
  <c r="G692" i="1"/>
  <c r="G638" i="1"/>
  <c r="G640" i="1"/>
  <c r="G643" i="1"/>
  <c r="G678" i="1"/>
  <c r="G637" i="1"/>
  <c r="G632" i="1"/>
  <c r="G693" i="1"/>
  <c r="G701" i="1"/>
  <c r="G690" i="1"/>
  <c r="G636" i="1"/>
  <c r="G708" i="1"/>
  <c r="G716" i="1"/>
  <c r="G633" i="1"/>
  <c r="G686" i="1"/>
  <c r="G691" i="1"/>
  <c r="G683" i="1"/>
  <c r="G669" i="1"/>
  <c r="G689" i="1"/>
  <c r="G713" i="1"/>
  <c r="G697" i="1"/>
  <c r="G685" i="1"/>
  <c r="G629" i="1"/>
  <c r="G631" i="1"/>
  <c r="G688" i="1"/>
  <c r="G710" i="1"/>
  <c r="G706" i="1"/>
  <c r="G641" i="1"/>
  <c r="G699" i="1"/>
  <c r="H628" i="1" l="1"/>
  <c r="H682" i="1" s="1"/>
  <c r="G715" i="1"/>
  <c r="H707" i="1" l="1"/>
  <c r="H702" i="1"/>
  <c r="H680" i="1"/>
  <c r="H672" i="1"/>
  <c r="H711" i="1"/>
  <c r="H709" i="1"/>
  <c r="H673" i="1"/>
  <c r="H699" i="1"/>
  <c r="H637" i="1"/>
  <c r="H647" i="1"/>
  <c r="H638" i="1"/>
  <c r="H693" i="1"/>
  <c r="H696" i="1"/>
  <c r="H692" i="1"/>
  <c r="H632" i="1"/>
  <c r="H683" i="1"/>
  <c r="H639" i="1"/>
  <c r="H669" i="1"/>
  <c r="H636" i="1"/>
  <c r="H690" i="1"/>
  <c r="H708" i="1"/>
  <c r="H688" i="1"/>
  <c r="H678" i="1"/>
  <c r="H642" i="1"/>
  <c r="H670" i="1"/>
  <c r="H701" i="1"/>
  <c r="H700" i="1"/>
  <c r="H641" i="1"/>
  <c r="H698" i="1"/>
  <c r="H643" i="1"/>
  <c r="H676" i="1"/>
  <c r="H674" i="1"/>
  <c r="H630" i="1"/>
  <c r="H635" i="1"/>
  <c r="H677" i="1"/>
  <c r="H671" i="1"/>
  <c r="H689" i="1"/>
  <c r="H684" i="1"/>
  <c r="H646" i="1"/>
  <c r="H710" i="1"/>
  <c r="H704" i="1"/>
  <c r="H681" i="1"/>
  <c r="H695" i="1"/>
  <c r="H691" i="1"/>
  <c r="H633" i="1"/>
  <c r="H675" i="1"/>
  <c r="H705" i="1"/>
  <c r="H634" i="1"/>
  <c r="H716" i="1"/>
  <c r="H631" i="1"/>
  <c r="H645" i="1"/>
  <c r="H706" i="1"/>
  <c r="H686" i="1"/>
  <c r="H694" i="1"/>
  <c r="H644" i="1"/>
  <c r="H703" i="1"/>
  <c r="H640" i="1"/>
  <c r="H713" i="1"/>
  <c r="H685" i="1"/>
  <c r="H629" i="1"/>
  <c r="I629" i="1" s="1"/>
  <c r="I636" i="1" s="1"/>
  <c r="H668" i="1"/>
  <c r="H687" i="1"/>
  <c r="H712" i="1"/>
  <c r="H679" i="1"/>
  <c r="H697" i="1"/>
  <c r="I647" i="1" l="1"/>
  <c r="I642" i="1"/>
  <c r="I713" i="1"/>
  <c r="I630" i="1"/>
  <c r="J630" i="1" s="1"/>
  <c r="I644" i="1"/>
  <c r="I678" i="1"/>
  <c r="I696" i="1"/>
  <c r="I640" i="1"/>
  <c r="I670" i="1"/>
  <c r="I693" i="1"/>
  <c r="I680" i="1"/>
  <c r="I631" i="1"/>
  <c r="I692" i="1"/>
  <c r="I635" i="1"/>
  <c r="I676" i="1"/>
  <c r="I699" i="1"/>
  <c r="I690" i="1"/>
  <c r="I703" i="1"/>
  <c r="I643" i="1"/>
  <c r="I695" i="1"/>
  <c r="I639" i="1"/>
  <c r="I700" i="1"/>
  <c r="I709" i="1"/>
  <c r="I638" i="1"/>
  <c r="I632" i="1"/>
  <c r="H715" i="1"/>
  <c r="I688" i="1"/>
  <c r="I685" i="1"/>
  <c r="I710" i="1"/>
  <c r="I634" i="1"/>
  <c r="I707" i="1"/>
  <c r="I698" i="1"/>
  <c r="I671" i="1"/>
  <c r="I679" i="1"/>
  <c r="I673" i="1"/>
  <c r="I633" i="1"/>
  <c r="I675" i="1"/>
  <c r="I711" i="1"/>
  <c r="I646" i="1"/>
  <c r="I706" i="1"/>
  <c r="I681" i="1"/>
  <c r="I701" i="1"/>
  <c r="I686" i="1"/>
  <c r="I684" i="1"/>
  <c r="I691" i="1"/>
  <c r="I687" i="1"/>
  <c r="I668" i="1"/>
  <c r="I682" i="1"/>
  <c r="I672" i="1"/>
  <c r="I637" i="1"/>
  <c r="I702" i="1"/>
  <c r="I708" i="1"/>
  <c r="I645" i="1"/>
  <c r="I677" i="1"/>
  <c r="I669" i="1"/>
  <c r="I716" i="1"/>
  <c r="I705" i="1"/>
  <c r="I697" i="1"/>
  <c r="I674" i="1"/>
  <c r="I683" i="1"/>
  <c r="I689" i="1"/>
  <c r="I712" i="1"/>
  <c r="I641" i="1"/>
  <c r="I704" i="1"/>
  <c r="I694" i="1"/>
  <c r="J637" i="1" l="1"/>
  <c r="J704" i="1"/>
  <c r="J716" i="1"/>
  <c r="J638" i="1"/>
  <c r="J635" i="1"/>
  <c r="J633" i="1"/>
  <c r="J686" i="1"/>
  <c r="J701" i="1"/>
  <c r="J634" i="1"/>
  <c r="J703" i="1"/>
  <c r="J668" i="1"/>
  <c r="J685" i="1"/>
  <c r="J707" i="1"/>
  <c r="J688" i="1"/>
  <c r="J677" i="1"/>
  <c r="J705" i="1"/>
  <c r="J693" i="1"/>
  <c r="J632" i="1"/>
  <c r="J689" i="1"/>
  <c r="J690" i="1"/>
  <c r="J642" i="1"/>
  <c r="J674" i="1"/>
  <c r="J672" i="1"/>
  <c r="J640" i="1"/>
  <c r="J643" i="1"/>
  <c r="J644" i="1"/>
  <c r="J713" i="1"/>
  <c r="J679" i="1"/>
  <c r="J669" i="1"/>
  <c r="J684" i="1"/>
  <c r="J673" i="1"/>
  <c r="J698" i="1"/>
  <c r="J680" i="1"/>
  <c r="I715" i="1"/>
  <c r="J671" i="1"/>
  <c r="J709" i="1"/>
  <c r="J645" i="1"/>
  <c r="J681" i="1"/>
  <c r="J639" i="1"/>
  <c r="J694" i="1"/>
  <c r="J691" i="1"/>
  <c r="J641" i="1"/>
  <c r="J702" i="1"/>
  <c r="J711" i="1"/>
  <c r="J636" i="1"/>
  <c r="J687" i="1"/>
  <c r="J631" i="1"/>
  <c r="J675" i="1"/>
  <c r="J699" i="1"/>
  <c r="J697" i="1"/>
  <c r="J676" i="1"/>
  <c r="J712" i="1"/>
  <c r="J692" i="1"/>
  <c r="J695" i="1"/>
  <c r="J683" i="1"/>
  <c r="J710" i="1"/>
  <c r="J696" i="1"/>
  <c r="J700" i="1"/>
  <c r="J708" i="1"/>
  <c r="J682" i="1"/>
  <c r="J706" i="1"/>
  <c r="J646" i="1"/>
  <c r="J647" i="1"/>
  <c r="J670" i="1"/>
  <c r="J678" i="1"/>
  <c r="J715" i="1" l="1"/>
  <c r="K644" i="1"/>
  <c r="K684" i="1" s="1"/>
  <c r="L647" i="1"/>
  <c r="L690" i="1" s="1"/>
  <c r="K696" i="1" l="1"/>
  <c r="K698" i="1"/>
  <c r="K693" i="1"/>
  <c r="K697" i="1"/>
  <c r="K710" i="1"/>
  <c r="K716" i="1"/>
  <c r="K689" i="1"/>
  <c r="K677" i="1"/>
  <c r="K679" i="1"/>
  <c r="K712" i="1"/>
  <c r="K701" i="1"/>
  <c r="K713" i="1"/>
  <c r="K706" i="1"/>
  <c r="K695" i="1"/>
  <c r="K691" i="1"/>
  <c r="K670" i="1"/>
  <c r="K700" i="1"/>
  <c r="K686" i="1"/>
  <c r="K687" i="1"/>
  <c r="K705" i="1"/>
  <c r="K692" i="1"/>
  <c r="K668" i="1"/>
  <c r="K669" i="1"/>
  <c r="K685" i="1"/>
  <c r="K681" i="1"/>
  <c r="K694" i="1"/>
  <c r="K682" i="1"/>
  <c r="K690" i="1"/>
  <c r="K671" i="1"/>
  <c r="K704" i="1"/>
  <c r="K708" i="1"/>
  <c r="K703" i="1"/>
  <c r="K674" i="1"/>
  <c r="K680" i="1"/>
  <c r="K702" i="1"/>
  <c r="K709" i="1"/>
  <c r="K672" i="1"/>
  <c r="K678" i="1"/>
  <c r="K675" i="1"/>
  <c r="K699" i="1"/>
  <c r="K683" i="1"/>
  <c r="K707" i="1"/>
  <c r="K673" i="1"/>
  <c r="M690" i="1"/>
  <c r="D119" i="9" s="1"/>
  <c r="L680" i="1"/>
  <c r="L706" i="1"/>
  <c r="L677" i="1"/>
  <c r="L682" i="1"/>
  <c r="L704" i="1"/>
  <c r="L676" i="1"/>
  <c r="L685" i="1"/>
  <c r="L679" i="1"/>
  <c r="L709" i="1"/>
  <c r="L672" i="1"/>
  <c r="L686" i="1"/>
  <c r="K711" i="1"/>
  <c r="K688" i="1"/>
  <c r="K676" i="1"/>
  <c r="L692" i="1"/>
  <c r="L710" i="1"/>
  <c r="L696" i="1"/>
  <c r="M696" i="1" s="1"/>
  <c r="L697" i="1"/>
  <c r="L698" i="1"/>
  <c r="L671" i="1"/>
  <c r="L695" i="1"/>
  <c r="L689" i="1"/>
  <c r="L673" i="1"/>
  <c r="M673" i="1" s="1"/>
  <c r="H23" i="9" s="1"/>
  <c r="L693" i="1"/>
  <c r="L675" i="1"/>
  <c r="L683" i="1"/>
  <c r="L674" i="1"/>
  <c r="L712" i="1"/>
  <c r="L700" i="1"/>
  <c r="L702" i="1"/>
  <c r="L668" i="1"/>
  <c r="L687" i="1"/>
  <c r="L708" i="1"/>
  <c r="L669" i="1"/>
  <c r="L684" i="1"/>
  <c r="M684" i="1" s="1"/>
  <c r="L678" i="1"/>
  <c r="L681" i="1"/>
  <c r="L707" i="1"/>
  <c r="M707" i="1" s="1"/>
  <c r="L701" i="1"/>
  <c r="L705" i="1"/>
  <c r="L713" i="1"/>
  <c r="L703" i="1"/>
  <c r="L670" i="1"/>
  <c r="L699" i="1"/>
  <c r="L711" i="1"/>
  <c r="L694" i="1"/>
  <c r="M694" i="1" s="1"/>
  <c r="L716" i="1"/>
  <c r="L691" i="1"/>
  <c r="L688" i="1"/>
  <c r="L715" i="1" l="1"/>
  <c r="M674" i="1"/>
  <c r="M692" i="1"/>
  <c r="F119" i="9" s="1"/>
  <c r="M683" i="1"/>
  <c r="D87" i="9" s="1"/>
  <c r="M678" i="1"/>
  <c r="F55" i="9" s="1"/>
  <c r="M671" i="1"/>
  <c r="M710" i="1"/>
  <c r="C215" i="9" s="1"/>
  <c r="M679" i="1"/>
  <c r="M702" i="1"/>
  <c r="M706" i="1"/>
  <c r="M681" i="1"/>
  <c r="M700" i="1"/>
  <c r="G151" i="9" s="1"/>
  <c r="M712" i="1"/>
  <c r="M698" i="1"/>
  <c r="M686" i="1"/>
  <c r="M695" i="1"/>
  <c r="M697" i="1"/>
  <c r="D151" i="9" s="1"/>
  <c r="M691" i="1"/>
  <c r="E119" i="9" s="1"/>
  <c r="M687" i="1"/>
  <c r="M689" i="1"/>
  <c r="C119" i="9" s="1"/>
  <c r="M701" i="1"/>
  <c r="M677" i="1"/>
  <c r="M699" i="1"/>
  <c r="M705" i="1"/>
  <c r="M670" i="1"/>
  <c r="E23" i="9" s="1"/>
  <c r="M672" i="1"/>
  <c r="M675" i="1"/>
  <c r="M703" i="1"/>
  <c r="M669" i="1"/>
  <c r="D23" i="9" s="1"/>
  <c r="M708" i="1"/>
  <c r="H183" i="9" s="1"/>
  <c r="M693" i="1"/>
  <c r="M682" i="1"/>
  <c r="C87" i="9" s="1"/>
  <c r="M704" i="1"/>
  <c r="M680" i="1"/>
  <c r="H55" i="9" s="1"/>
  <c r="M709" i="1"/>
  <c r="I183" i="9" s="1"/>
  <c r="M685" i="1"/>
  <c r="M688" i="1"/>
  <c r="I87" i="9" s="1"/>
  <c r="M713" i="1"/>
  <c r="F215" i="9" s="1"/>
  <c r="M676" i="1"/>
  <c r="E87" i="9"/>
  <c r="K715" i="1"/>
  <c r="M711" i="1"/>
  <c r="D215" i="9" s="1"/>
  <c r="C151" i="9"/>
  <c r="M668" i="1"/>
  <c r="H119" i="9"/>
  <c r="G183" i="9"/>
  <c r="I23" i="9" l="1"/>
  <c r="F23" i="9"/>
  <c r="I151" i="9"/>
  <c r="G87" i="9"/>
  <c r="I55" i="9"/>
  <c r="E151" i="9"/>
  <c r="G23" i="9"/>
  <c r="G55" i="9"/>
  <c r="E55" i="9"/>
  <c r="F183" i="9"/>
  <c r="I119" i="9"/>
  <c r="E215" i="9"/>
  <c r="H151" i="9"/>
  <c r="C183" i="9"/>
  <c r="F151" i="9"/>
  <c r="C55" i="9"/>
  <c r="H87" i="9"/>
  <c r="G119" i="9"/>
  <c r="E183" i="9"/>
  <c r="D55" i="9"/>
  <c r="F87" i="9"/>
  <c r="D183" i="9"/>
  <c r="M715" i="1"/>
  <c r="C23" i="9"/>
</calcChain>
</file>

<file path=xl/sharedStrings.xml><?xml version="1.0" encoding="utf-8"?>
<sst xmlns="http://schemas.openxmlformats.org/spreadsheetml/2006/main" count="4676" uniqueCount="1285">
  <si>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</si>
  <si>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</si>
  <si>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</si>
  <si>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</si>
  <si>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</si>
  <si>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</si>
  <si>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</si>
  <si>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</si>
  <si>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</si>
  <si>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</si>
  <si>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</si>
  <si>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</si>
  <si>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</si>
  <si>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</si>
  <si>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</si>
  <si>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</si>
  <si>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</si>
  <si>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</si>
  <si>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</si>
  <si>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</si>
  <si>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</si>
  <si>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</si>
  <si>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</si>
  <si>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</si>
  <si>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</si>
  <si>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</si>
  <si>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</si>
  <si>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</si>
  <si>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</si>
  <si>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</si>
  <si>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</si>
  <si>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</si>
  <si>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</si>
  <si>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</si>
  <si>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</si>
  <si>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</si>
  <si>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</si>
  <si>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</si>
  <si>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</si>
  <si>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</si>
  <si>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</si>
  <si>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</si>
  <si>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</si>
  <si>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</si>
  <si>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</si>
  <si>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</si>
  <si>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</si>
  <si>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</si>
  <si>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</si>
  <si>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</si>
  <si>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</si>
  <si>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</si>
  <si>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</si>
  <si>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</si>
  <si>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</si>
  <si>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</si>
  <si>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</si>
  <si>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</si>
  <si>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</si>
  <si>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</si>
  <si>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</si>
  <si>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</si>
  <si>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</si>
  <si>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</si>
  <si>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</si>
  <si>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</si>
  <si>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</si>
  <si>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</si>
  <si>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</si>
  <si>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</si>
  <si>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</si>
  <si>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</si>
  <si>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</si>
  <si>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</si>
  <si>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</si>
  <si>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</si>
  <si>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</si>
  <si>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</si>
  <si>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</si>
  <si>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</si>
  <si>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</si>
  <si>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</si>
  <si>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</si>
  <si>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</si>
  <si>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</si>
  <si>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</si>
  <si>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</si>
  <si>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</si>
  <si>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</si>
  <si>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</si>
  <si>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</si>
  <si>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</si>
  <si>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</si>
  <si>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</si>
  <si>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</si>
  <si>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</si>
  <si>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</si>
  <si>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</si>
  <si>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</si>
  <si>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</si>
  <si>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</si>
  <si>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</si>
  <si>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</si>
  <si>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</si>
  <si>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</si>
  <si>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</si>
  <si>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</si>
  <si>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</si>
  <si>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</si>
  <si>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</si>
  <si>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</si>
  <si>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</si>
  <si>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</si>
  <si>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</si>
  <si>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</si>
  <si>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</si>
  <si>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</si>
  <si>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</si>
  <si>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</si>
  <si>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</si>
  <si>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</si>
  <si>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</si>
  <si>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</si>
  <si>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</si>
  <si>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</si>
  <si>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</si>
  <si>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</si>
  <si>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</si>
  <si>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</si>
  <si>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</si>
  <si>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</si>
  <si>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</si>
  <si>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</si>
  <si>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</si>
  <si>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</si>
  <si>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</si>
  <si>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</si>
  <si>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</si>
  <si>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</si>
  <si>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</si>
  <si>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</si>
  <si>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</si>
  <si>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</si>
  <si>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</si>
  <si>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</si>
  <si>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</si>
  <si>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</si>
  <si>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</si>
  <si>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</si>
  <si>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</si>
  <si>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</si>
  <si>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</si>
  <si>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</si>
  <si>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</si>
  <si>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</si>
  <si>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</si>
  <si>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</si>
  <si>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</si>
  <si>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</si>
  <si>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</si>
  <si>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</si>
  <si>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</si>
  <si>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</si>
  <si>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</si>
  <si>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</si>
  <si>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</si>
  <si>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</si>
  <si>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</si>
  <si>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</si>
  <si>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</si>
  <si>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</si>
  <si>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</si>
  <si>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</si>
  <si>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</si>
  <si>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</si>
  <si>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</si>
  <si>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</si>
  <si>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</si>
  <si>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</si>
  <si>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</si>
  <si>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</si>
  <si>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</si>
  <si>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</si>
  <si>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</si>
  <si>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</si>
  <si>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</si>
  <si>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</si>
  <si>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</si>
  <si>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</si>
  <si>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</si>
  <si>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</si>
  <si>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</si>
  <si>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</si>
  <si>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</si>
  <si>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</si>
  <si>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</si>
  <si>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</si>
  <si>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</si>
  <si>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</si>
  <si>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</si>
  <si>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</si>
  <si>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</si>
  <si>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</si>
  <si>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</si>
  <si>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</si>
  <si>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</si>
  <si>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</si>
  <si>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</si>
  <si>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</si>
  <si>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</si>
  <si>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</si>
  <si>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</si>
  <si>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</si>
  <si>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</si>
  <si>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</si>
  <si>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</si>
  <si>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</si>
  <si>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</si>
  <si>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</si>
  <si>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</si>
  <si>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</si>
  <si>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</si>
  <si>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</si>
  <si>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</si>
  <si>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</si>
  <si>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</si>
  <si>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</si>
  <si>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</si>
  <si>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</si>
  <si>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</si>
  <si>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</si>
  <si>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</si>
  <si>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</si>
  <si>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</si>
  <si>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</si>
  <si>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</si>
  <si>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</si>
  <si>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</si>
  <si>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</si>
  <si>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</si>
  <si>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</si>
  <si>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</si>
  <si>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</si>
  <si>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</si>
  <si>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</si>
  <si>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</si>
  <si>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</si>
  <si>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</si>
  <si>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</si>
  <si>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</si>
  <si>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</si>
  <si>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</si>
  <si>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</si>
  <si>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</si>
  <si>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</si>
  <si>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</si>
  <si>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</si>
  <si>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</si>
  <si>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</si>
  <si>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</si>
  <si>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</si>
  <si>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</si>
  <si>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</si>
  <si>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</si>
  <si>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</si>
  <si>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</si>
  <si>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</si>
  <si>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</si>
  <si>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</si>
  <si>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</si>
  <si>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</si>
  <si>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</si>
  <si>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</si>
  <si>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</si>
  <si>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</si>
  <si>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</si>
  <si>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</si>
  <si>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</si>
  <si>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</si>
  <si>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</si>
  <si>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</si>
  <si>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</si>
  <si>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</si>
  <si>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</si>
  <si>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</si>
  <si>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</si>
  <si>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</si>
  <si>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</si>
  <si>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</si>
  <si>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</si>
  <si>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</si>
  <si>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</si>
  <si>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</si>
  <si>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</si>
  <si>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</si>
  <si>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</si>
  <si>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</si>
  <si>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</si>
  <si>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</si>
  <si>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</si>
  <si>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</si>
  <si>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</si>
  <si>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</si>
  <si>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</si>
  <si>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</si>
  <si>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</si>
  <si>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</si>
  <si>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</si>
  <si>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</si>
  <si>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</si>
  <si>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</si>
  <si>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</si>
  <si>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</si>
  <si>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</si>
  <si>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</si>
  <si>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</si>
  <si>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</si>
  <si>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</si>
  <si>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</si>
  <si>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</si>
  <si>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</si>
  <si>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</si>
  <si>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</si>
  <si>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</si>
  <si>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</si>
  <si>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</si>
  <si>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</si>
  <si>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</si>
  <si>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</si>
  <si>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</si>
  <si>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</si>
  <si>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</si>
  <si>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</si>
  <si>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</si>
  <si>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</si>
  <si>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</si>
  <si>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</si>
  <si>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</si>
  <si>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</si>
  <si>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</si>
  <si>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</si>
  <si>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</si>
  <si>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</si>
  <si>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</si>
  <si>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</si>
  <si>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</si>
  <si>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</si>
  <si>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</si>
  <si>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</si>
  <si>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</si>
  <si>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</si>
  <si>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</si>
  <si>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</si>
  <si>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</si>
  <si>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</si>
  <si>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</si>
  <si>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</si>
  <si>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</si>
  <si>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</si>
  <si>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</si>
  <si>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</si>
  <si>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</si>
  <si>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</si>
  <si>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</si>
  <si>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</si>
  <si>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</si>
  <si>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</si>
  <si>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</si>
  <si>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</si>
  <si>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</si>
  <si>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</si>
  <si>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</si>
  <si>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</si>
  <si>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</si>
  <si>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</si>
  <si>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</si>
  <si>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</si>
  <si>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</si>
  <si>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</si>
  <si>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</si>
  <si>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</si>
  <si>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</si>
  <si>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</si>
  <si>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</si>
  <si>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</si>
  <si>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</si>
  <si>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</si>
  <si>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</si>
  <si>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</si>
  <si>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</si>
  <si>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</si>
  <si>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</si>
  <si>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</si>
  <si>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</si>
  <si>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</si>
  <si>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</si>
  <si>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</si>
  <si>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</si>
  <si>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</si>
  <si>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</si>
  <si>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</si>
  <si>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</si>
  <si>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</si>
  <si>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</si>
  <si>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</si>
  <si>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</si>
  <si>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</si>
  <si>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</si>
  <si>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</si>
  <si>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</si>
  <si>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</si>
  <si>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</si>
  <si>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</si>
  <si>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</si>
  <si>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</si>
  <si>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</si>
  <si>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</si>
  <si>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</si>
  <si>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</si>
  <si>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</si>
  <si>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</si>
  <si>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</si>
  <si>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</si>
  <si>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</si>
  <si>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</si>
  <si>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</si>
  <si>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</si>
  <si>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</si>
  <si>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</si>
  <si>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</si>
  <si>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</si>
  <si>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</si>
  <si>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</si>
  <si>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</si>
  <si>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</si>
  <si>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</si>
  <si>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</si>
  <si>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</si>
  <si>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</si>
  <si>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</si>
  <si>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</si>
  <si>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</si>
  <si>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</si>
  <si>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</si>
  <si>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</si>
  <si>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</si>
  <si>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</si>
  <si>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</si>
  <si>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</si>
  <si>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</si>
  <si>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</si>
  <si>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</si>
  <si>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</si>
  <si>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</si>
  <si>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</si>
  <si>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</si>
  <si>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</si>
  <si>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</si>
  <si>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</si>
  <si>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</si>
  <si>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</si>
  <si>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</si>
  <si>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</si>
  <si>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</si>
  <si>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</si>
  <si>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</si>
  <si>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</si>
  <si>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</si>
  <si>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</si>
  <si>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</si>
  <si>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</si>
  <si>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</si>
  <si>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</si>
  <si>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</si>
  <si>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</si>
  <si>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</si>
  <si>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</si>
  <si>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</si>
  <si>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</si>
  <si>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</si>
  <si>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</si>
  <si>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</si>
  <si>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</si>
  <si>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</si>
  <si>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</si>
  <si>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</si>
  <si>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</si>
  <si>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</si>
  <si>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</si>
  <si>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</si>
  <si>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</si>
  <si>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</si>
  <si>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</si>
  <si>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</si>
  <si>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</si>
  <si>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</si>
  <si>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</si>
  <si>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</si>
  <si>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</si>
  <si>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</si>
  <si>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</si>
  <si>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</si>
  <si>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</si>
  <si>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</si>
  <si>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</si>
  <si>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</si>
  <si>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</si>
  <si>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</si>
  <si>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</si>
  <si>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</si>
  <si>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</si>
  <si>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</si>
  <si>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</si>
  <si>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</si>
  <si>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</si>
  <si>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</si>
  <si>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</si>
  <si>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</si>
  <si>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</si>
  <si>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</si>
  <si>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</si>
  <si>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</si>
  <si>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</si>
  <si>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</si>
  <si>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</si>
  <si>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</si>
  <si>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</si>
  <si>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</si>
  <si>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</si>
  <si>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</si>
  <si>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</si>
  <si>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</si>
  <si>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</si>
  <si>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</si>
  <si>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</si>
  <si>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</si>
  <si>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</si>
  <si>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</si>
  <si>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</si>
  <si>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</si>
  <si>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</si>
  <si>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</si>
  <si>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</si>
  <si>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</si>
  <si>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</si>
  <si>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</si>
  <si>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</si>
  <si>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</si>
  <si>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</si>
  <si>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</si>
  <si>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</si>
  <si>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</si>
  <si>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</si>
  <si>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</si>
  <si>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</si>
  <si>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</si>
  <si>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</si>
  <si>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</si>
  <si>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</si>
  <si>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</si>
  <si>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</si>
  <si>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</si>
  <si>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</si>
  <si>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</si>
  <si>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</si>
  <si>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</si>
  <si>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</si>
  <si>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</si>
  <si>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</si>
  <si>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</si>
  <si>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</si>
  <si>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</si>
  <si>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</si>
  <si>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</si>
  <si>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</si>
  <si>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</si>
  <si>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</si>
  <si>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</si>
  <si>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</si>
  <si>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</si>
  <si>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</si>
  <si>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</si>
  <si>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</si>
  <si>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</si>
  <si>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</si>
  <si>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</si>
  <si>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</si>
  <si>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</si>
  <si>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</si>
  <si>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</si>
  <si>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</si>
  <si>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</si>
  <si>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</si>
  <si>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</si>
  <si>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</si>
  <si>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</si>
  <si>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</si>
  <si>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</si>
  <si>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</si>
  <si>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</si>
  <si>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</si>
  <si>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</si>
  <si>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</si>
  <si>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</si>
  <si>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</si>
  <si>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</si>
  <si>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</si>
  <si>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</si>
  <si>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</si>
  <si>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</si>
  <si>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</si>
  <si>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</si>
  <si>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</si>
  <si>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</si>
  <si>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</si>
  <si>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</si>
  <si>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</si>
  <si>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</si>
  <si>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</si>
  <si>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</si>
  <si>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</si>
  <si>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</si>
  <si>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</si>
  <si>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</si>
  <si>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</si>
  <si>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</si>
  <si>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</si>
  <si>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</si>
  <si>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</si>
  <si>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</si>
  <si>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</si>
  <si>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</si>
  <si>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</si>
  <si>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</si>
  <si>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</si>
  <si>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</si>
  <si>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</si>
  <si>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</si>
  <si>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</si>
  <si>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</si>
  <si>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</si>
  <si>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</si>
  <si>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</si>
  <si>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</si>
  <si>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</si>
  <si>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</si>
  <si>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</si>
  <si>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</si>
  <si>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</si>
  <si>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</si>
  <si>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</si>
  <si>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</si>
  <si>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</si>
  <si>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</si>
  <si>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</si>
  <si>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</si>
  <si>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</si>
  <si>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</si>
  <si>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</si>
  <si>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</si>
  <si>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</si>
  <si>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</si>
  <si>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</si>
  <si>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</si>
  <si>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</si>
  <si>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</si>
  <si>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</si>
  <si>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</si>
  <si>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</si>
  <si>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</si>
  <si>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</si>
  <si>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</si>
  <si>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</si>
  <si>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</si>
  <si>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</si>
  <si>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</si>
  <si>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</si>
  <si>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</si>
  <si>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</si>
  <si>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</si>
  <si>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</si>
  <si>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</si>
  <si>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</si>
  <si>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</si>
  <si>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</si>
  <si>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</si>
  <si>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</si>
  <si>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</si>
  <si>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</si>
  <si>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</si>
  <si>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</si>
  <si>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</si>
  <si>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</si>
  <si>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</si>
  <si>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</si>
  <si>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</si>
  <si>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</si>
  <si>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</si>
  <si>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</si>
  <si>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</si>
  <si>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</si>
  <si>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</si>
  <si>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</si>
  <si>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</si>
  <si>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</si>
  <si>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</si>
  <si>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</si>
  <si>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</si>
  <si>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</si>
  <si>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</si>
  <si>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</si>
  <si>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</si>
  <si>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</si>
  <si>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</si>
  <si>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</si>
  <si>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</si>
  <si>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</si>
  <si>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</si>
  <si>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</si>
  <si>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</si>
  <si>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</si>
  <si>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</si>
  <si>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</si>
  <si>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</si>
  <si>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</si>
  <si>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</si>
  <si>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</si>
  <si>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</si>
  <si>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</si>
  <si>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</si>
  <si>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</si>
  <si>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</si>
  <si>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</si>
  <si>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</si>
  <si>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</si>
  <si>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</si>
  <si>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</si>
  <si>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</si>
  <si>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</si>
  <si>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</si>
  <si>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</si>
  <si>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</si>
  <si>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</si>
  <si>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</si>
  <si>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</si>
  <si>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</si>
  <si>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</si>
  <si>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</si>
  <si>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</si>
  <si>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</si>
  <si>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</si>
  <si>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</si>
  <si>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</si>
  <si>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</si>
  <si>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</si>
  <si>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</si>
  <si>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</si>
  <si>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</si>
  <si>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</si>
  <si>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</si>
  <si>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</si>
  <si>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</si>
  <si>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</si>
  <si>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</si>
  <si>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</si>
  <si>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</si>
  <si>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</si>
  <si>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</si>
  <si>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</si>
  <si>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</si>
  <si>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</si>
  <si>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</si>
  <si>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</si>
  <si>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</si>
  <si>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</si>
  <si>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</si>
  <si>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</si>
  <si>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</si>
  <si>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</si>
  <si>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</si>
  <si>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</si>
  <si>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</si>
  <si>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</si>
  <si>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</si>
  <si>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</si>
  <si>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</si>
  <si>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</si>
  <si>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</si>
  <si>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</si>
  <si>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</si>
  <si>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</si>
  <si>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</si>
  <si>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</si>
  <si>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</si>
  <si>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</si>
  <si>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</si>
  <si>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</si>
  <si>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</si>
  <si>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</si>
  <si>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</si>
  <si>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</si>
  <si>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</si>
  <si>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</si>
  <si>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</si>
  <si>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</si>
  <si>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</si>
  <si>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</si>
  <si>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</si>
  <si>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</si>
  <si>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</si>
  <si>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</si>
  <si>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</si>
  <si>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</si>
  <si>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</si>
  <si>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</si>
  <si>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</si>
  <si>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</si>
  <si>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</si>
  <si>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</si>
  <si>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</si>
  <si>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</si>
  <si>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</si>
  <si>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</si>
  <si>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</si>
  <si>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</si>
  <si>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</si>
  <si>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</si>
  <si>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</si>
  <si>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</si>
  <si>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</si>
  <si>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</si>
  <si>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</si>
  <si>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</si>
  <si>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</si>
  <si>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</si>
  <si>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</si>
  <si>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</si>
  <si>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</si>
  <si>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</si>
  <si>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</si>
  <si>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</si>
  <si>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</si>
  <si>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</si>
  <si>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</si>
  <si>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</si>
  <si>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</si>
  <si>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</si>
  <si>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</si>
  <si>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</si>
  <si>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</si>
  <si>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</si>
  <si>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</si>
  <si>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</si>
  <si>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</si>
  <si>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</si>
  <si>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</si>
  <si>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</si>
  <si>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</si>
  <si>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</si>
  <si>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</si>
  <si>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</si>
  <si>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</si>
  <si>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</si>
  <si>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</si>
  <si>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</si>
  <si>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</si>
  <si>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</si>
  <si>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</si>
  <si>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</si>
  <si>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</si>
  <si>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</si>
  <si>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</si>
  <si>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</si>
  <si>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</si>
  <si>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</si>
  <si>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</si>
  <si>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</si>
  <si>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</si>
  <si>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</si>
  <si>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</si>
  <si>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</si>
  <si>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</si>
  <si>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</si>
  <si>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</si>
  <si>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</si>
  <si>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</si>
  <si>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</si>
  <si>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</si>
  <si>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</si>
  <si>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</si>
  <si>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</si>
  <si>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</si>
  <si>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</si>
  <si>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</si>
  <si>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</si>
  <si>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</si>
  <si>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</si>
  <si>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</si>
  <si>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</si>
  <si>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</si>
  <si>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</si>
  <si>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</si>
  <si>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</si>
  <si>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</si>
  <si>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</si>
  <si>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</si>
  <si>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</si>
  <si>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</si>
  <si>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</si>
  <si>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</si>
  <si>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</si>
  <si>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</si>
  <si>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</si>
  <si>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</si>
  <si>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</si>
  <si>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</si>
  <si>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</si>
  <si>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</si>
  <si>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</si>
  <si>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</si>
  <si>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</si>
  <si>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</si>
  <si>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</si>
  <si>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</si>
  <si>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</si>
  <si>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</si>
  <si>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</si>
  <si>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</si>
  <si>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</si>
  <si>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</si>
  <si>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</si>
  <si>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</si>
  <si>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</si>
  <si>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</si>
  <si>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</si>
  <si>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</si>
  <si>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</si>
  <si>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</si>
  <si>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</si>
  <si>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</si>
  <si>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</si>
  <si>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</si>
  <si>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</si>
  <si>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</si>
  <si>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</si>
  <si>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</si>
  <si>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</si>
  <si>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</si>
  <si>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</si>
  <si>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</si>
  <si>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</si>
  <si>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</si>
  <si>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</si>
  <si>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</si>
  <si>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</si>
  <si>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</si>
  <si>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</si>
  <si>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</si>
  <si>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</si>
  <si>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</si>
  <si>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</si>
  <si>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</si>
  <si>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</si>
  <si>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</si>
  <si>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</si>
  <si>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</si>
  <si>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</si>
  <si>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</si>
  <si>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</si>
  <si>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</si>
  <si>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</si>
  <si>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</si>
  <si>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</si>
  <si>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</si>
  <si>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</si>
  <si>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</si>
  <si>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</si>
  <si>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</si>
  <si>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</si>
  <si>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</si>
  <si>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</si>
  <si>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</si>
  <si>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</si>
  <si>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</si>
  <si>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</si>
  <si>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</si>
  <si>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</si>
  <si>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</si>
  <si>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</si>
  <si>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</si>
  <si>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</si>
  <si>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</si>
  <si>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</si>
  <si>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</si>
  <si>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</si>
  <si>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</si>
  <si>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</si>
  <si>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</si>
  <si>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</si>
  <si>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</si>
  <si>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</si>
  <si>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</si>
  <si>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</si>
  <si>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</si>
  <si>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</si>
  <si>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</si>
  <si>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</si>
  <si>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</si>
  <si>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</si>
  <si>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</si>
  <si>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</si>
  <si>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</si>
  <si>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</si>
  <si>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</si>
  <si>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</si>
  <si>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</si>
  <si>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</si>
  <si>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</si>
  <si>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</si>
  <si>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</si>
  <si>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</si>
  <si>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</si>
  <si>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</si>
  <si>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</si>
  <si>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</si>
  <si>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</si>
  <si>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</si>
  <si>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</si>
  <si>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</si>
  <si>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</si>
  <si>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</si>
  <si>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</si>
  <si>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</si>
  <si>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</si>
  <si>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</si>
  <si>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</si>
  <si>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</si>
  <si>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</si>
  <si>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</si>
  <si>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</si>
  <si>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</si>
  <si>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</si>
  <si>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</si>
  <si>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</si>
  <si>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</si>
  <si>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</si>
  <si>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</si>
  <si>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</si>
  <si>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</si>
  <si>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</si>
  <si>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</si>
  <si>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</si>
  <si>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</si>
  <si>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</si>
  <si>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</si>
  <si>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</si>
  <si>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</si>
  <si>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</si>
  <si>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</si>
  <si>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</si>
  <si>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</si>
  <si>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</si>
  <si>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</si>
  <si>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</si>
  <si>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</si>
  <si>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</si>
  <si>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</si>
  <si>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</si>
  <si>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</si>
  <si>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</si>
  <si>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</si>
  <si>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</si>
  <si>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</si>
  <si>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</si>
  <si>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</si>
  <si>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</si>
  <si>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</si>
  <si>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</si>
  <si>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</si>
  <si>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</si>
  <si>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</si>
  <si>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</si>
  <si>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</si>
  <si>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</si>
  <si>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</si>
  <si>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</si>
  <si>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</si>
  <si>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</si>
  <si>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</si>
  <si>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</si>
  <si>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</si>
  <si>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</si>
  <si>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</si>
  <si>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</si>
  <si>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</si>
  <si>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</si>
  <si>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</si>
  <si>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</si>
  <si>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</si>
  <si>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</si>
  <si>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</si>
  <si>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</si>
  <si>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</si>
  <si>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</si>
  <si>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</si>
  <si>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</si>
  <si>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</si>
  <si>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</si>
  <si>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</si>
  <si>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</si>
  <si>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</si>
  <si>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</si>
  <si>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</si>
  <si>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</si>
  <si>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</si>
  <si>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</si>
  <si>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</si>
  <si>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</si>
  <si>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</si>
  <si>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</si>
  <si>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</si>
  <si>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</si>
  <si>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</si>
  <si>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</si>
  <si>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</si>
  <si>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</si>
  <si>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</si>
  <si>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</si>
  <si>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</si>
  <si>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</si>
  <si>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</si>
  <si>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</si>
  <si>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</si>
  <si>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</si>
  <si>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</si>
  <si>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</si>
  <si>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</si>
  <si>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</si>
  <si>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</si>
  <si>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</si>
  <si>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</si>
  <si>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</si>
  <si>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</si>
  <si>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</si>
  <si>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</si>
  <si>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</si>
  <si>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</si>
  <si>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</si>
  <si>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</si>
  <si>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</si>
  <si>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</si>
  <si>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</si>
  <si>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</si>
  <si>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</si>
  <si>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</si>
  <si>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</si>
  <si>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</si>
  <si>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</si>
  <si>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</si>
  <si>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</si>
  <si>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</si>
  <si>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</si>
  <si>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</si>
  <si>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</si>
  <si>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</si>
  <si>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</si>
  <si>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</si>
  <si>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</si>
  <si>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</si>
  <si>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</si>
  <si>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</si>
  <si>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</si>
  <si>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</si>
  <si>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</si>
  <si>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</si>
  <si>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</si>
  <si>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</si>
  <si>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</si>
  <si>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</si>
  <si>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</si>
  <si>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</si>
  <si>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</si>
  <si>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</si>
  <si>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</si>
  <si>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</si>
  <si>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</si>
  <si>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</si>
  <si>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</si>
  <si>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</si>
  <si>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</si>
  <si>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</si>
  <si>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</si>
  <si>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</si>
  <si>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</si>
  <si>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</si>
  <si>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</si>
  <si>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</si>
  <si>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</si>
  <si>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</si>
  <si>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</si>
  <si>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</si>
  <si>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</si>
  <si>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</si>
  <si>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</si>
  <si>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</si>
  <si>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</si>
  <si>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</si>
  <si>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</si>
  <si>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</si>
  <si>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</si>
  <si>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</si>
  <si>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</si>
  <si>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</si>
  <si>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</si>
  <si>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</si>
  <si>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</si>
  <si>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</si>
  <si>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</si>
  <si>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</si>
  <si>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</si>
  <si>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</si>
  <si>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</si>
  <si>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</si>
  <si>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</si>
  <si>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</si>
  <si>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</si>
  <si>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</si>
  <si>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</si>
  <si>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</si>
  <si>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</si>
  <si>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</si>
  <si>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</si>
  <si>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</si>
  <si>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</si>
  <si>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</si>
  <si>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</si>
  <si>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</si>
  <si>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</si>
  <si>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</si>
  <si>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</si>
  <si>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</si>
  <si>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</si>
  <si>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</si>
  <si>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</si>
  <si>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</si>
  <si>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</si>
  <si>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</si>
  <si>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</si>
  <si>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</si>
  <si>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</si>
  <si>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</si>
  <si>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</si>
  <si>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</si>
  <si>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</si>
  <si>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</si>
  <si>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</si>
  <si>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</si>
  <si>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</si>
  <si>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</si>
  <si>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</si>
  <si>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</si>
  <si>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</si>
  <si>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</si>
  <si>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</si>
  <si>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</si>
  <si>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06/30/2018</t>
  </si>
  <si>
    <t>06/30/2017</t>
  </si>
  <si>
    <t>2016</t>
  </si>
  <si>
    <t>King</t>
  </si>
  <si>
    <t>130</t>
  </si>
  <si>
    <t>UW Medicine/Northwest Hospital</t>
  </si>
  <si>
    <t>1550 North 115th Street</t>
  </si>
  <si>
    <t>1550 North 115th Street, Mailstop: UWT-359415</t>
  </si>
  <si>
    <t>Seattle, WA 98133</t>
  </si>
  <si>
    <t>Cindy Hecker</t>
  </si>
  <si>
    <t>Kimberly Dansie</t>
  </si>
  <si>
    <t>Scott Hardman</t>
  </si>
  <si>
    <t>(206) 598-5575</t>
  </si>
  <si>
    <t>(206) 598-7832</t>
  </si>
  <si>
    <t>New allocation methodology was implemented to distribute expense to servicing departments;</t>
  </si>
  <si>
    <t>UW Medicine/Northwest Hospital &amp; Medical Center</t>
  </si>
  <si>
    <t>Maureen A. Broom</t>
  </si>
  <si>
    <t>Slight increase in operating expense due to the establishment of new ambulatory clinics in FY18; Decrese in volume due to closure/integration of some ambulatory clinics;</t>
  </si>
  <si>
    <t>FY18 volume for Speech Therapy is down, which explains the decrease in operating expenses;</t>
  </si>
  <si>
    <t>Jim Snyder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</si>
</sst>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6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1" t="s">
        <v>1259</v>
      </c>
    </row>
    <row r="17" spans="1:6" ht="12.75" customHeight="1" x14ac:dyDescent="0.25">
      <c r="A17" s="180" t="s">
        <v>1230</v>
      </c>
      <c r="C17" s="281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1124537</v>
      </c>
      <c r="D47" s="184">
        <v>866098</v>
      </c>
      <c r="E47" s="184">
        <v>4084172</v>
      </c>
      <c r="F47" s="184">
        <v>1308288</v>
      </c>
      <c r="G47" s="184"/>
      <c r="H47" s="184">
        <v>1104832</v>
      </c>
      <c r="I47" s="184"/>
      <c r="J47" s="184"/>
      <c r="K47" s="184"/>
      <c r="L47" s="184"/>
      <c r="M47" s="184"/>
      <c r="N47" s="184"/>
      <c r="O47" s="184"/>
      <c r="P47" s="184">
        <v>2494599</v>
      </c>
      <c r="Q47" s="184">
        <v>478757</v>
      </c>
      <c r="R47" s="184">
        <v>124657</v>
      </c>
      <c r="S47" s="184">
        <v>196384</v>
      </c>
      <c r="T47" s="184">
        <v>62416</v>
      </c>
      <c r="U47" s="184">
        <v>1243905</v>
      </c>
      <c r="V47" s="184">
        <v>92187</v>
      </c>
      <c r="W47" s="184">
        <v>235247</v>
      </c>
      <c r="X47" s="184">
        <v>222148</v>
      </c>
      <c r="Y47" s="184">
        <v>1317334</v>
      </c>
      <c r="Z47" s="184"/>
      <c r="AA47" s="184">
        <v>50408</v>
      </c>
      <c r="AB47" s="184">
        <v>799795</v>
      </c>
      <c r="AC47" s="184">
        <f>322603+15275</f>
        <v>337878</v>
      </c>
      <c r="AD47" s="184"/>
      <c r="AE47" s="184">
        <v>642432</v>
      </c>
      <c r="AF47" s="184"/>
      <c r="AG47" s="184">
        <v>1254314</v>
      </c>
      <c r="AH47" s="184"/>
      <c r="AI47" s="184"/>
      <c r="AJ47" s="184">
        <v>7816778</v>
      </c>
      <c r="AK47" s="184">
        <v>323616</v>
      </c>
      <c r="AL47" s="184">
        <v>97073</v>
      </c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v>757606</v>
      </c>
      <c r="AW47" s="184"/>
      <c r="AX47" s="184"/>
      <c r="AY47" s="184">
        <f>781454*(AY59/(AY59+AZ59))</f>
        <v>235020.7055696827</v>
      </c>
      <c r="AZ47" s="184">
        <f>781454-AY47</f>
        <v>546433.29443031736</v>
      </c>
      <c r="BA47" s="184">
        <v>12308</v>
      </c>
      <c r="BB47" s="184"/>
      <c r="BC47" s="184"/>
      <c r="BD47" s="184">
        <v>300774</v>
      </c>
      <c r="BE47" s="184">
        <v>707514</v>
      </c>
      <c r="BF47" s="184">
        <v>596520</v>
      </c>
      <c r="BG47" s="184"/>
      <c r="BH47" s="184">
        <v>224538</v>
      </c>
      <c r="BI47" s="184"/>
      <c r="BJ47" s="184">
        <v>212853</v>
      </c>
      <c r="BK47" s="184">
        <v>358778</v>
      </c>
      <c r="BL47" s="184">
        <v>888754</v>
      </c>
      <c r="BM47" s="184"/>
      <c r="BN47" s="184">
        <v>442145</v>
      </c>
      <c r="BO47" s="184">
        <v>64344</v>
      </c>
      <c r="BP47" s="184">
        <v>309299</v>
      </c>
      <c r="BQ47" s="184"/>
      <c r="BR47" s="184">
        <v>1174301</v>
      </c>
      <c r="BS47" s="184">
        <v>16000</v>
      </c>
      <c r="BT47" s="184"/>
      <c r="BU47" s="184"/>
      <c r="BV47" s="184">
        <v>494069</v>
      </c>
      <c r="BW47" s="184">
        <v>142202</v>
      </c>
      <c r="BX47" s="184">
        <v>1013728</v>
      </c>
      <c r="BY47" s="184">
        <v>245911</v>
      </c>
      <c r="BZ47" s="184"/>
      <c r="CA47" s="184">
        <v>313381</v>
      </c>
      <c r="CB47" s="184"/>
      <c r="CC47" s="184">
        <f>153477-1</f>
        <v>153476</v>
      </c>
      <c r="CD47" s="195"/>
      <c r="CE47" s="195">
        <f>SUM(C47:CC47)</f>
        <v>35487810</v>
      </c>
    </row>
    <row r="48" spans="1:83" ht="12.6" customHeight="1" x14ac:dyDescent="0.25">
      <c r="A48" s="175" t="s">
        <v>205</v>
      </c>
      <c r="B48" s="183"/>
      <c r="C48" s="244">
        <f>ROUND(((B48/CE61)*C61),0)</f>
        <v>0</v>
      </c>
      <c r="D48" s="244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62008</v>
      </c>
      <c r="D51" s="184">
        <v>3583</v>
      </c>
      <c r="E51" s="184">
        <v>213066</v>
      </c>
      <c r="F51" s="184">
        <v>192662</v>
      </c>
      <c r="G51" s="184"/>
      <c r="H51" s="184">
        <v>29694</v>
      </c>
      <c r="I51" s="184"/>
      <c r="J51" s="184"/>
      <c r="K51" s="184"/>
      <c r="L51" s="184"/>
      <c r="M51" s="184"/>
      <c r="N51" s="184"/>
      <c r="O51" s="184"/>
      <c r="P51" s="184">
        <v>2685706</v>
      </c>
      <c r="Q51" s="184">
        <v>25273</v>
      </c>
      <c r="R51" s="184">
        <v>50364</v>
      </c>
      <c r="S51" s="184">
        <v>77605</v>
      </c>
      <c r="T51" s="184">
        <v>72541</v>
      </c>
      <c r="U51" s="184">
        <v>139202</v>
      </c>
      <c r="V51" s="184">
        <v>63076</v>
      </c>
      <c r="W51" s="184">
        <v>5737</v>
      </c>
      <c r="X51" s="184">
        <v>150548</v>
      </c>
      <c r="Y51" s="184">
        <v>1388027</v>
      </c>
      <c r="Z51" s="184">
        <v>291669</v>
      </c>
      <c r="AA51" s="184"/>
      <c r="AB51" s="184">
        <v>118607</v>
      </c>
      <c r="AC51" s="184">
        <v>51464</v>
      </c>
      <c r="AD51" s="184"/>
      <c r="AE51" s="184">
        <v>21950</v>
      </c>
      <c r="AF51" s="184"/>
      <c r="AG51" s="184">
        <v>140094</v>
      </c>
      <c r="AH51" s="184"/>
      <c r="AI51" s="184"/>
      <c r="AJ51" s="184">
        <v>1192419</v>
      </c>
      <c r="AK51" s="184">
        <v>444</v>
      </c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>
        <v>818586</v>
      </c>
      <c r="AW51" s="184"/>
      <c r="AX51" s="184"/>
      <c r="AY51" s="184">
        <f>107944*(AY59/(AY59+AZ59))</f>
        <v>32463.939070007742</v>
      </c>
      <c r="AZ51" s="184">
        <f>107944-AY51</f>
        <v>75480.060929992265</v>
      </c>
      <c r="BA51" s="184"/>
      <c r="BB51" s="184"/>
      <c r="BC51" s="184"/>
      <c r="BD51" s="184">
        <v>12544</v>
      </c>
      <c r="BE51" s="184">
        <v>2263189</v>
      </c>
      <c r="BF51" s="184">
        <v>1023</v>
      </c>
      <c r="BG51" s="184"/>
      <c r="BH51" s="184">
        <v>2886367</v>
      </c>
      <c r="BI51" s="184"/>
      <c r="BJ51" s="184">
        <v>4062</v>
      </c>
      <c r="BK51" s="184">
        <v>1775</v>
      </c>
      <c r="BL51" s="184">
        <v>1510</v>
      </c>
      <c r="BM51" s="184"/>
      <c r="BN51" s="184">
        <v>23409</v>
      </c>
      <c r="BO51" s="184"/>
      <c r="BP51" s="184">
        <v>115515</v>
      </c>
      <c r="BQ51" s="184"/>
      <c r="BR51" s="184"/>
      <c r="BS51" s="184">
        <v>225</v>
      </c>
      <c r="BT51" s="184"/>
      <c r="BU51" s="184"/>
      <c r="BV51" s="184">
        <v>8954</v>
      </c>
      <c r="BW51" s="184"/>
      <c r="BX51" s="184"/>
      <c r="BY51" s="184">
        <v>248170</v>
      </c>
      <c r="BZ51" s="184"/>
      <c r="CA51" s="184"/>
      <c r="CB51" s="184"/>
      <c r="CC51" s="184">
        <v>2728576</v>
      </c>
      <c r="CD51" s="195"/>
      <c r="CE51" s="195">
        <f>SUM(C51:CD51)</f>
        <v>16197588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>
        <v>3701</v>
      </c>
      <c r="D59" s="184">
        <v>4673</v>
      </c>
      <c r="E59" s="184">
        <v>24237</v>
      </c>
      <c r="F59" s="184">
        <v>4370</v>
      </c>
      <c r="G59" s="184"/>
      <c r="H59" s="184">
        <v>9649</v>
      </c>
      <c r="I59" s="184"/>
      <c r="J59" s="184"/>
      <c r="K59" s="184"/>
      <c r="L59" s="184"/>
      <c r="M59" s="184"/>
      <c r="N59" s="184"/>
      <c r="O59" s="184"/>
      <c r="P59" s="185">
        <v>2345649</v>
      </c>
      <c r="Q59" s="185">
        <v>888255</v>
      </c>
      <c r="R59" s="185">
        <v>1275752</v>
      </c>
      <c r="S59" s="247"/>
      <c r="T59" s="247"/>
      <c r="U59" s="224">
        <v>851993</v>
      </c>
      <c r="V59" s="185">
        <v>22658</v>
      </c>
      <c r="W59" s="185">
        <v>7718</v>
      </c>
      <c r="X59" s="185">
        <v>20016</v>
      </c>
      <c r="Y59" s="185">
        <v>78281</v>
      </c>
      <c r="Z59" s="185"/>
      <c r="AA59" s="185">
        <v>824</v>
      </c>
      <c r="AB59" s="247"/>
      <c r="AC59" s="185">
        <v>30302</v>
      </c>
      <c r="AD59" s="185"/>
      <c r="AE59" s="185">
        <v>72926</v>
      </c>
      <c r="AF59" s="185"/>
      <c r="AG59" s="185">
        <v>33651</v>
      </c>
      <c r="AH59" s="185"/>
      <c r="AI59" s="185"/>
      <c r="AJ59" s="185">
        <v>149544</v>
      </c>
      <c r="AK59" s="185">
        <v>42405</v>
      </c>
      <c r="AL59" s="185">
        <v>7269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193845</v>
      </c>
      <c r="AZ59" s="185">
        <v>450698</v>
      </c>
      <c r="BA59" s="247"/>
      <c r="BB59" s="247"/>
      <c r="BC59" s="247"/>
      <c r="BD59" s="247"/>
      <c r="BE59" s="185">
        <v>433631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>
        <v>52.08</v>
      </c>
      <c r="D60" s="187">
        <v>45.32</v>
      </c>
      <c r="E60" s="187">
        <v>219.01</v>
      </c>
      <c r="F60" s="223">
        <v>55.58</v>
      </c>
      <c r="G60" s="187"/>
      <c r="H60" s="187">
        <v>61.15</v>
      </c>
      <c r="I60" s="187"/>
      <c r="J60" s="223"/>
      <c r="K60" s="187"/>
      <c r="L60" s="187"/>
      <c r="M60" s="187"/>
      <c r="N60" s="187"/>
      <c r="O60" s="187"/>
      <c r="P60" s="221">
        <v>121.03</v>
      </c>
      <c r="Q60" s="221">
        <v>19.329999999999998</v>
      </c>
      <c r="R60" s="221">
        <v>8.85</v>
      </c>
      <c r="S60" s="221">
        <v>15.81</v>
      </c>
      <c r="T60" s="221">
        <v>2.0499999999999998</v>
      </c>
      <c r="U60" s="221">
        <v>88.3</v>
      </c>
      <c r="V60" s="221">
        <v>7.09</v>
      </c>
      <c r="W60" s="221">
        <v>10.08</v>
      </c>
      <c r="X60" s="221">
        <v>10.130000000000001</v>
      </c>
      <c r="Y60" s="221">
        <v>71.22</v>
      </c>
      <c r="Z60" s="221"/>
      <c r="AA60" s="221">
        <v>2.23</v>
      </c>
      <c r="AB60" s="221">
        <v>34.29</v>
      </c>
      <c r="AC60" s="221">
        <v>17.46</v>
      </c>
      <c r="AD60" s="221"/>
      <c r="AE60" s="221">
        <v>32.08</v>
      </c>
      <c r="AF60" s="221"/>
      <c r="AG60" s="221">
        <v>67.78</v>
      </c>
      <c r="AH60" s="221"/>
      <c r="AI60" s="221"/>
      <c r="AJ60" s="221">
        <v>405.43</v>
      </c>
      <c r="AK60" s="221">
        <v>14.34</v>
      </c>
      <c r="AL60" s="221">
        <v>4.51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33.340000000000003</v>
      </c>
      <c r="AW60" s="221"/>
      <c r="AX60" s="221"/>
      <c r="AY60" s="221">
        <f>71.72*(AY59/(AY59+AZ59))</f>
        <v>21.5696445388438</v>
      </c>
      <c r="AZ60" s="221">
        <f>71.72-AY60</f>
        <v>50.150355461156195</v>
      </c>
      <c r="BA60" s="221">
        <v>1.3</v>
      </c>
      <c r="BB60" s="221"/>
      <c r="BC60" s="221"/>
      <c r="BD60" s="221">
        <v>23.63</v>
      </c>
      <c r="BE60" s="221">
        <v>47.68</v>
      </c>
      <c r="BF60" s="221">
        <v>59.93</v>
      </c>
      <c r="BG60" s="221"/>
      <c r="BH60" s="221">
        <v>8.32</v>
      </c>
      <c r="BI60" s="221"/>
      <c r="BJ60" s="221">
        <v>12.99</v>
      </c>
      <c r="BK60" s="221">
        <v>29.92</v>
      </c>
      <c r="BL60" s="221">
        <v>77.03</v>
      </c>
      <c r="BM60" s="221"/>
      <c r="BN60" s="221">
        <v>12.11</v>
      </c>
      <c r="BO60" s="221">
        <v>2.11</v>
      </c>
      <c r="BP60" s="221">
        <v>0.04</v>
      </c>
      <c r="BQ60" s="221"/>
      <c r="BR60" s="221">
        <v>17.78</v>
      </c>
      <c r="BS60" s="221">
        <v>1</v>
      </c>
      <c r="BT60" s="221"/>
      <c r="BU60" s="221"/>
      <c r="BV60" s="221">
        <v>36.130000000000003</v>
      </c>
      <c r="BW60" s="221">
        <v>5.67</v>
      </c>
      <c r="BX60" s="221">
        <v>46.26</v>
      </c>
      <c r="BY60" s="221">
        <v>11.67</v>
      </c>
      <c r="BZ60" s="221"/>
      <c r="CA60" s="221">
        <v>25.93</v>
      </c>
      <c r="CB60" s="221"/>
      <c r="CC60" s="221">
        <f>26.47</f>
        <v>26.47</v>
      </c>
      <c r="CD60" s="248" t="s">
        <v>221</v>
      </c>
      <c r="CE60" s="250">
        <f t="shared" ref="CE60:CE70" si="0">SUM(C60:CD60)</f>
        <v>1916.1799999999998</v>
      </c>
    </row>
    <row r="61" spans="1:84" ht="12.6" customHeight="1" x14ac:dyDescent="0.25">
      <c r="A61" s="171" t="s">
        <v>235</v>
      </c>
      <c r="B61" s="175"/>
      <c r="C61" s="184">
        <v>4728246</v>
      </c>
      <c r="D61" s="184">
        <v>3600143</v>
      </c>
      <c r="E61" s="184">
        <v>17645446</v>
      </c>
      <c r="F61" s="185">
        <v>5735939</v>
      </c>
      <c r="G61" s="184"/>
      <c r="H61" s="184">
        <v>4695316</v>
      </c>
      <c r="I61" s="185"/>
      <c r="J61" s="185"/>
      <c r="K61" s="185"/>
      <c r="L61" s="185"/>
      <c r="M61" s="184"/>
      <c r="N61" s="184"/>
      <c r="O61" s="184"/>
      <c r="P61" s="185">
        <v>10757703</v>
      </c>
      <c r="Q61" s="185">
        <v>2015308</v>
      </c>
      <c r="R61" s="185">
        <v>517853</v>
      </c>
      <c r="S61" s="185">
        <v>816407</v>
      </c>
      <c r="T61" s="185">
        <v>259270</v>
      </c>
      <c r="U61" s="185">
        <v>5196313</v>
      </c>
      <c r="V61" s="185">
        <v>383080</v>
      </c>
      <c r="W61" s="185">
        <v>977767</v>
      </c>
      <c r="X61" s="185">
        <v>923529</v>
      </c>
      <c r="Y61" s="185">
        <v>5444086</v>
      </c>
      <c r="Z61" s="185"/>
      <c r="AA61" s="185">
        <v>285517</v>
      </c>
      <c r="AB61" s="185">
        <v>3392914</v>
      </c>
      <c r="AC61" s="185">
        <f>1340761+101722</f>
        <v>1442483</v>
      </c>
      <c r="AD61" s="185"/>
      <c r="AE61" s="185">
        <v>2793375</v>
      </c>
      <c r="AF61" s="185"/>
      <c r="AG61" s="185">
        <v>4711581</v>
      </c>
      <c r="AH61" s="185"/>
      <c r="AI61" s="185"/>
      <c r="AJ61" s="185">
        <v>48356957</v>
      </c>
      <c r="AK61" s="185">
        <v>1344479</v>
      </c>
      <c r="AL61" s="185">
        <v>403433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3266029</v>
      </c>
      <c r="AW61" s="185"/>
      <c r="AX61" s="185"/>
      <c r="AY61" s="185">
        <f>3309370*(AY59/(AY59+AZ59))</f>
        <v>995286.3154979574</v>
      </c>
      <c r="AZ61" s="185">
        <f>3309370-AY61</f>
        <v>2314083.6845020428</v>
      </c>
      <c r="BA61" s="185">
        <v>51213</v>
      </c>
      <c r="BB61" s="185"/>
      <c r="BC61" s="185"/>
      <c r="BD61" s="185">
        <v>1283186</v>
      </c>
      <c r="BE61" s="185">
        <v>2971195</v>
      </c>
      <c r="BF61" s="185">
        <v>2525430</v>
      </c>
      <c r="BG61" s="185"/>
      <c r="BH61" s="185">
        <v>1095656</v>
      </c>
      <c r="BI61" s="185"/>
      <c r="BJ61" s="185">
        <v>979123</v>
      </c>
      <c r="BK61" s="185">
        <v>1560611</v>
      </c>
      <c r="BL61" s="185">
        <v>3703241</v>
      </c>
      <c r="BM61" s="185"/>
      <c r="BN61" s="185">
        <v>2215034</v>
      </c>
      <c r="BO61" s="185">
        <v>328593</v>
      </c>
      <c r="BP61" s="185">
        <v>1475419</v>
      </c>
      <c r="BQ61" s="185"/>
      <c r="BR61" s="185">
        <v>1646596</v>
      </c>
      <c r="BS61" s="185">
        <v>66472</v>
      </c>
      <c r="BT61" s="185"/>
      <c r="BU61" s="185"/>
      <c r="BV61" s="185">
        <v>2104778</v>
      </c>
      <c r="BW61" s="185">
        <v>634125</v>
      </c>
      <c r="BX61" s="185">
        <v>4276118</v>
      </c>
      <c r="BY61" s="185">
        <v>1022779</v>
      </c>
      <c r="BZ61" s="185"/>
      <c r="CA61" s="185">
        <v>1389101</v>
      </c>
      <c r="CB61" s="185"/>
      <c r="CC61" s="185">
        <f>1585377-5</f>
        <v>1585372</v>
      </c>
      <c r="CD61" s="248" t="s">
        <v>221</v>
      </c>
      <c r="CE61" s="195">
        <f t="shared" si="0"/>
        <v>163916586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1124537</v>
      </c>
      <c r="D62" s="195">
        <f t="shared" si="1"/>
        <v>866098</v>
      </c>
      <c r="E62" s="195">
        <f t="shared" si="1"/>
        <v>4084172</v>
      </c>
      <c r="F62" s="195">
        <f t="shared" si="1"/>
        <v>1308288</v>
      </c>
      <c r="G62" s="195">
        <f t="shared" si="1"/>
        <v>0</v>
      </c>
      <c r="H62" s="195">
        <f t="shared" si="1"/>
        <v>1104832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2494599</v>
      </c>
      <c r="Q62" s="195">
        <f t="shared" si="1"/>
        <v>478757</v>
      </c>
      <c r="R62" s="195">
        <f t="shared" si="1"/>
        <v>124657</v>
      </c>
      <c r="S62" s="195">
        <f t="shared" si="1"/>
        <v>196384</v>
      </c>
      <c r="T62" s="195">
        <f t="shared" si="1"/>
        <v>62416</v>
      </c>
      <c r="U62" s="195">
        <f t="shared" si="1"/>
        <v>1243905</v>
      </c>
      <c r="V62" s="195">
        <f t="shared" si="1"/>
        <v>92187</v>
      </c>
      <c r="W62" s="195">
        <f t="shared" si="1"/>
        <v>235247</v>
      </c>
      <c r="X62" s="195">
        <f t="shared" si="1"/>
        <v>222148</v>
      </c>
      <c r="Y62" s="195">
        <f t="shared" si="1"/>
        <v>1317334</v>
      </c>
      <c r="Z62" s="195">
        <f t="shared" si="1"/>
        <v>0</v>
      </c>
      <c r="AA62" s="195">
        <f t="shared" si="1"/>
        <v>50408</v>
      </c>
      <c r="AB62" s="195">
        <f t="shared" si="1"/>
        <v>799795</v>
      </c>
      <c r="AC62" s="195">
        <f t="shared" si="1"/>
        <v>337878</v>
      </c>
      <c r="AD62" s="195">
        <f t="shared" si="1"/>
        <v>0</v>
      </c>
      <c r="AE62" s="195">
        <f t="shared" si="1"/>
        <v>642432</v>
      </c>
      <c r="AF62" s="195">
        <f t="shared" si="1"/>
        <v>0</v>
      </c>
      <c r="AG62" s="195">
        <f t="shared" si="1"/>
        <v>1254314</v>
      </c>
      <c r="AH62" s="195">
        <f t="shared" si="1"/>
        <v>0</v>
      </c>
      <c r="AI62" s="195">
        <f t="shared" si="1"/>
        <v>0</v>
      </c>
      <c r="AJ62" s="195">
        <f t="shared" si="1"/>
        <v>7816778</v>
      </c>
      <c r="AK62" s="195">
        <f t="shared" si="1"/>
        <v>323616</v>
      </c>
      <c r="AL62" s="195">
        <f t="shared" si="1"/>
        <v>97073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757606</v>
      </c>
      <c r="AW62" s="195">
        <f t="shared" si="1"/>
        <v>0</v>
      </c>
      <c r="AX62" s="195">
        <f t="shared" si="1"/>
        <v>0</v>
      </c>
      <c r="AY62" s="195">
        <f>ROUND(AY47+AY48,0)</f>
        <v>235021</v>
      </c>
      <c r="AZ62" s="195">
        <f>ROUND(AZ47+AZ48,0)</f>
        <v>546433</v>
      </c>
      <c r="BA62" s="195">
        <f>ROUND(BA47+BA48,0)</f>
        <v>12308</v>
      </c>
      <c r="BB62" s="195">
        <f t="shared" si="1"/>
        <v>0</v>
      </c>
      <c r="BC62" s="195">
        <f t="shared" si="1"/>
        <v>0</v>
      </c>
      <c r="BD62" s="195">
        <f t="shared" si="1"/>
        <v>300774</v>
      </c>
      <c r="BE62" s="195">
        <f t="shared" si="1"/>
        <v>707514</v>
      </c>
      <c r="BF62" s="195">
        <f t="shared" si="1"/>
        <v>596520</v>
      </c>
      <c r="BG62" s="195">
        <f t="shared" si="1"/>
        <v>0</v>
      </c>
      <c r="BH62" s="195">
        <f t="shared" si="1"/>
        <v>224538</v>
      </c>
      <c r="BI62" s="195">
        <f t="shared" si="1"/>
        <v>0</v>
      </c>
      <c r="BJ62" s="195">
        <f t="shared" si="1"/>
        <v>212853</v>
      </c>
      <c r="BK62" s="195">
        <f t="shared" si="1"/>
        <v>358778</v>
      </c>
      <c r="BL62" s="195">
        <f t="shared" si="1"/>
        <v>888754</v>
      </c>
      <c r="BM62" s="195">
        <f t="shared" si="1"/>
        <v>0</v>
      </c>
      <c r="BN62" s="195">
        <f t="shared" si="1"/>
        <v>442145</v>
      </c>
      <c r="BO62" s="195">
        <f t="shared" ref="BO62:CC62" si="2">ROUND(BO47+BO48,0)</f>
        <v>64344</v>
      </c>
      <c r="BP62" s="195">
        <f t="shared" si="2"/>
        <v>309299</v>
      </c>
      <c r="BQ62" s="195">
        <f t="shared" si="2"/>
        <v>0</v>
      </c>
      <c r="BR62" s="195">
        <f t="shared" si="2"/>
        <v>1174301</v>
      </c>
      <c r="BS62" s="195">
        <f t="shared" si="2"/>
        <v>16000</v>
      </c>
      <c r="BT62" s="195">
        <f t="shared" si="2"/>
        <v>0</v>
      </c>
      <c r="BU62" s="195">
        <f t="shared" si="2"/>
        <v>0</v>
      </c>
      <c r="BV62" s="195">
        <f t="shared" si="2"/>
        <v>494069</v>
      </c>
      <c r="BW62" s="195">
        <f t="shared" si="2"/>
        <v>142202</v>
      </c>
      <c r="BX62" s="195">
        <f t="shared" si="2"/>
        <v>1013728</v>
      </c>
      <c r="BY62" s="195">
        <f t="shared" si="2"/>
        <v>245911</v>
      </c>
      <c r="BZ62" s="195">
        <f t="shared" si="2"/>
        <v>0</v>
      </c>
      <c r="CA62" s="195">
        <f t="shared" si="2"/>
        <v>313381</v>
      </c>
      <c r="CB62" s="195">
        <f t="shared" si="2"/>
        <v>0</v>
      </c>
      <c r="CC62" s="195">
        <f t="shared" si="2"/>
        <v>153476</v>
      </c>
      <c r="CD62" s="248" t="s">
        <v>221</v>
      </c>
      <c r="CE62" s="195">
        <f t="shared" si="0"/>
        <v>35487810</v>
      </c>
      <c r="CF62" s="251"/>
    </row>
    <row r="63" spans="1:84" ht="12.6" customHeight="1" x14ac:dyDescent="0.25">
      <c r="A63" s="171" t="s">
        <v>236</v>
      </c>
      <c r="B63" s="175"/>
      <c r="C63" s="184">
        <v>96822</v>
      </c>
      <c r="D63" s="184">
        <v>5508</v>
      </c>
      <c r="E63" s="184">
        <v>371813</v>
      </c>
      <c r="F63" s="185">
        <v>196849</v>
      </c>
      <c r="G63" s="184"/>
      <c r="H63" s="184">
        <v>42941</v>
      </c>
      <c r="I63" s="185"/>
      <c r="J63" s="185"/>
      <c r="K63" s="185"/>
      <c r="L63" s="185"/>
      <c r="M63" s="184"/>
      <c r="N63" s="184"/>
      <c r="O63" s="184"/>
      <c r="P63" s="185">
        <v>14102</v>
      </c>
      <c r="Q63" s="185">
        <v>4702</v>
      </c>
      <c r="R63" s="185">
        <v>329400</v>
      </c>
      <c r="S63" s="185">
        <v>53141</v>
      </c>
      <c r="T63" s="185"/>
      <c r="U63" s="185">
        <v>568611</v>
      </c>
      <c r="V63" s="185">
        <v>156616</v>
      </c>
      <c r="W63" s="185"/>
      <c r="X63" s="185"/>
      <c r="Y63" s="185">
        <v>703490</v>
      </c>
      <c r="Z63" s="185"/>
      <c r="AA63" s="185"/>
      <c r="AB63" s="185"/>
      <c r="AC63" s="185"/>
      <c r="AD63" s="185"/>
      <c r="AE63" s="185"/>
      <c r="AF63" s="185"/>
      <c r="AG63" s="185">
        <v>888116</v>
      </c>
      <c r="AH63" s="185"/>
      <c r="AI63" s="185"/>
      <c r="AJ63" s="185">
        <v>9593260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136300</v>
      </c>
      <c r="AW63" s="185"/>
      <c r="AX63" s="185"/>
      <c r="AY63" s="185">
        <f>170*(AY59/(AY59+AZ59))</f>
        <v>51.127155209194733</v>
      </c>
      <c r="AZ63" s="185">
        <f>170-AY63</f>
        <v>118.87284479080526</v>
      </c>
      <c r="BA63" s="185"/>
      <c r="BB63" s="185"/>
      <c r="BC63" s="185"/>
      <c r="BD63" s="185"/>
      <c r="BE63" s="185"/>
      <c r="BF63" s="185">
        <v>14665</v>
      </c>
      <c r="BG63" s="185"/>
      <c r="BH63" s="185"/>
      <c r="BI63" s="185"/>
      <c r="BJ63" s="185"/>
      <c r="BK63" s="185">
        <v>124058</v>
      </c>
      <c r="BL63" s="185"/>
      <c r="BM63" s="185"/>
      <c r="BN63" s="185">
        <v>1009255</v>
      </c>
      <c r="BO63" s="185"/>
      <c r="BP63" s="185"/>
      <c r="BQ63" s="185"/>
      <c r="BR63" s="185">
        <v>33235</v>
      </c>
      <c r="BS63" s="185"/>
      <c r="BT63" s="185"/>
      <c r="BU63" s="185"/>
      <c r="BV63" s="185"/>
      <c r="BW63" s="185">
        <v>61284</v>
      </c>
      <c r="BX63" s="185">
        <v>160427</v>
      </c>
      <c r="BY63" s="185"/>
      <c r="BZ63" s="185"/>
      <c r="CA63" s="185"/>
      <c r="CB63" s="185"/>
      <c r="CC63" s="185">
        <f>6994-1</f>
        <v>6993</v>
      </c>
      <c r="CD63" s="248" t="s">
        <v>221</v>
      </c>
      <c r="CE63" s="195">
        <f t="shared" si="0"/>
        <v>14571758</v>
      </c>
      <c r="CF63" s="251"/>
    </row>
    <row r="64" spans="1:84" ht="12.6" customHeight="1" x14ac:dyDescent="0.25">
      <c r="A64" s="171" t="s">
        <v>237</v>
      </c>
      <c r="B64" s="175"/>
      <c r="C64" s="184">
        <v>462751</v>
      </c>
      <c r="D64" s="184">
        <v>151536</v>
      </c>
      <c r="E64" s="185">
        <v>953183</v>
      </c>
      <c r="F64" s="185">
        <v>365125</v>
      </c>
      <c r="G64" s="184"/>
      <c r="H64" s="184">
        <v>117555</v>
      </c>
      <c r="I64" s="185"/>
      <c r="J64" s="185"/>
      <c r="K64" s="185"/>
      <c r="L64" s="185"/>
      <c r="M64" s="184"/>
      <c r="N64" s="184"/>
      <c r="O64" s="184"/>
      <c r="P64" s="185">
        <v>24400918</v>
      </c>
      <c r="Q64" s="185">
        <v>103218</v>
      </c>
      <c r="R64" s="185">
        <v>568569</v>
      </c>
      <c r="S64" s="185">
        <v>374537</v>
      </c>
      <c r="T64" s="185">
        <v>810269</v>
      </c>
      <c r="U64" s="185">
        <v>2179891</v>
      </c>
      <c r="V64" s="185">
        <v>15478</v>
      </c>
      <c r="W64" s="185">
        <v>193141</v>
      </c>
      <c r="X64" s="185">
        <v>181106</v>
      </c>
      <c r="Y64" s="185">
        <v>3072182</v>
      </c>
      <c r="Z64" s="185">
        <v>208</v>
      </c>
      <c r="AA64" s="185">
        <v>168851</v>
      </c>
      <c r="AB64" s="185">
        <v>10275136</v>
      </c>
      <c r="AC64" s="185">
        <f>233078+875</f>
        <v>233953</v>
      </c>
      <c r="AD64" s="185"/>
      <c r="AE64" s="185">
        <v>16912</v>
      </c>
      <c r="AF64" s="185"/>
      <c r="AG64" s="185">
        <v>668973</v>
      </c>
      <c r="AH64" s="185"/>
      <c r="AI64" s="185"/>
      <c r="AJ64" s="185">
        <v>13920418</v>
      </c>
      <c r="AK64" s="185">
        <v>26593</v>
      </c>
      <c r="AL64" s="185">
        <v>1963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4112698</v>
      </c>
      <c r="AW64" s="185"/>
      <c r="AX64" s="185"/>
      <c r="AY64" s="185">
        <f>1204298*(AY59/(AY59+AZ59))</f>
        <v>362190.18096542824</v>
      </c>
      <c r="AZ64" s="185">
        <f>1204298-AY64</f>
        <v>842107.81903457176</v>
      </c>
      <c r="BA64" s="185"/>
      <c r="BB64" s="185"/>
      <c r="BC64" s="185"/>
      <c r="BD64" s="185">
        <v>-333995</v>
      </c>
      <c r="BE64" s="185">
        <v>397540</v>
      </c>
      <c r="BF64" s="185">
        <v>278282</v>
      </c>
      <c r="BG64" s="185"/>
      <c r="BH64" s="185">
        <v>17673</v>
      </c>
      <c r="BI64" s="185"/>
      <c r="BJ64" s="185">
        <v>4818</v>
      </c>
      <c r="BK64" s="185">
        <v>23103</v>
      </c>
      <c r="BL64" s="185">
        <v>93331</v>
      </c>
      <c r="BM64" s="185"/>
      <c r="BN64" s="185">
        <v>61253</v>
      </c>
      <c r="BO64" s="185">
        <v>29077</v>
      </c>
      <c r="BP64" s="185">
        <v>66045</v>
      </c>
      <c r="BQ64" s="185"/>
      <c r="BR64" s="185">
        <v>11097</v>
      </c>
      <c r="BS64" s="185">
        <v>1397</v>
      </c>
      <c r="BT64" s="185"/>
      <c r="BU64" s="185"/>
      <c r="BV64" s="185">
        <v>15455</v>
      </c>
      <c r="BW64" s="185">
        <v>2604</v>
      </c>
      <c r="BX64" s="185">
        <v>15071</v>
      </c>
      <c r="BY64" s="185">
        <v>10468</v>
      </c>
      <c r="BZ64" s="185"/>
      <c r="CA64" s="185">
        <v>43737</v>
      </c>
      <c r="CB64" s="185"/>
      <c r="CC64" s="185">
        <f>1025025+2</f>
        <v>1025027</v>
      </c>
      <c r="CD64" s="248" t="s">
        <v>221</v>
      </c>
      <c r="CE64" s="195">
        <f t="shared" si="0"/>
        <v>66341445</v>
      </c>
      <c r="CF64" s="251"/>
    </row>
    <row r="65" spans="1:84" ht="12.6" customHeight="1" x14ac:dyDescent="0.25">
      <c r="A65" s="171" t="s">
        <v>238</v>
      </c>
      <c r="B65" s="175"/>
      <c r="C65" s="184">
        <v>556</v>
      </c>
      <c r="D65" s="184"/>
      <c r="E65" s="184">
        <v>1529</v>
      </c>
      <c r="F65" s="184">
        <v>1489</v>
      </c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3822</v>
      </c>
      <c r="Q65" s="185"/>
      <c r="R65" s="185"/>
      <c r="S65" s="185">
        <v>756</v>
      </c>
      <c r="T65" s="185">
        <v>1602</v>
      </c>
      <c r="U65" s="185">
        <v>8953</v>
      </c>
      <c r="V65" s="185"/>
      <c r="W65" s="185"/>
      <c r="X65" s="185"/>
      <c r="Y65" s="185">
        <v>20817</v>
      </c>
      <c r="Z65" s="185">
        <v>1928</v>
      </c>
      <c r="AA65" s="185"/>
      <c r="AB65" s="185"/>
      <c r="AC65" s="185">
        <f>1365+58</f>
        <v>1423</v>
      </c>
      <c r="AD65" s="185"/>
      <c r="AE65" s="185"/>
      <c r="AF65" s="185"/>
      <c r="AG65" s="185">
        <v>139</v>
      </c>
      <c r="AH65" s="185"/>
      <c r="AI65" s="185"/>
      <c r="AJ65" s="185">
        <v>195211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746</v>
      </c>
      <c r="AW65" s="185"/>
      <c r="AX65" s="185"/>
      <c r="AY65" s="185">
        <f>1047*(AY59/(AY59+AZ59))</f>
        <v>314.88312649427581</v>
      </c>
      <c r="AZ65" s="185">
        <f>1047-AY65</f>
        <v>732.11687350572424</v>
      </c>
      <c r="BA65" s="185"/>
      <c r="BB65" s="185"/>
      <c r="BC65" s="185"/>
      <c r="BD65" s="185">
        <v>1296</v>
      </c>
      <c r="BE65" s="185">
        <v>1745119</v>
      </c>
      <c r="BF65" s="185">
        <v>311633</v>
      </c>
      <c r="BG65" s="185"/>
      <c r="BH65" s="185">
        <v>257251</v>
      </c>
      <c r="BI65" s="185"/>
      <c r="BJ65" s="185"/>
      <c r="BK65" s="185">
        <v>6629</v>
      </c>
      <c r="BL65" s="185">
        <v>705</v>
      </c>
      <c r="BM65" s="185"/>
      <c r="BN65" s="185">
        <v>4938</v>
      </c>
      <c r="BO65" s="185"/>
      <c r="BP65" s="185"/>
      <c r="BQ65" s="185"/>
      <c r="BR65" s="185"/>
      <c r="BS65" s="185"/>
      <c r="BT65" s="185"/>
      <c r="BU65" s="185"/>
      <c r="BV65" s="185">
        <v>489</v>
      </c>
      <c r="BW65" s="185"/>
      <c r="BX65" s="185"/>
      <c r="BY65" s="185">
        <v>2745</v>
      </c>
      <c r="BZ65" s="185"/>
      <c r="CA65" s="185"/>
      <c r="CB65" s="185"/>
      <c r="CC65" s="185">
        <v>812021</v>
      </c>
      <c r="CD65" s="248" t="s">
        <v>221</v>
      </c>
      <c r="CE65" s="195">
        <f t="shared" si="0"/>
        <v>3382844</v>
      </c>
      <c r="CF65" s="251"/>
    </row>
    <row r="66" spans="1:84" ht="12.6" customHeight="1" x14ac:dyDescent="0.25">
      <c r="A66" s="171" t="s">
        <v>239</v>
      </c>
      <c r="B66" s="175"/>
      <c r="C66" s="184">
        <v>286922</v>
      </c>
      <c r="D66" s="184">
        <v>125994</v>
      </c>
      <c r="E66" s="184">
        <v>677811</v>
      </c>
      <c r="F66" s="184">
        <v>88994</v>
      </c>
      <c r="G66" s="184"/>
      <c r="H66" s="184">
        <v>50133</v>
      </c>
      <c r="I66" s="184"/>
      <c r="J66" s="184"/>
      <c r="K66" s="185"/>
      <c r="L66" s="185"/>
      <c r="M66" s="184"/>
      <c r="N66" s="184"/>
      <c r="O66" s="185"/>
      <c r="P66" s="185">
        <v>1410916</v>
      </c>
      <c r="Q66" s="185">
        <v>45292</v>
      </c>
      <c r="R66" s="185">
        <v>6258</v>
      </c>
      <c r="S66" s="184">
        <v>401759</v>
      </c>
      <c r="T66" s="184">
        <v>70512</v>
      </c>
      <c r="U66" s="185">
        <v>4621818</v>
      </c>
      <c r="V66" s="185">
        <v>1044</v>
      </c>
      <c r="W66" s="185">
        <v>307370</v>
      </c>
      <c r="X66" s="185">
        <v>339876</v>
      </c>
      <c r="Y66" s="185">
        <v>2345471</v>
      </c>
      <c r="Z66" s="185">
        <v>39517</v>
      </c>
      <c r="AA66" s="185">
        <v>70418</v>
      </c>
      <c r="AB66" s="185">
        <v>512724</v>
      </c>
      <c r="AC66" s="185">
        <f>75+6111</f>
        <v>6186</v>
      </c>
      <c r="AD66" s="185"/>
      <c r="AE66" s="185">
        <v>81114</v>
      </c>
      <c r="AF66" s="185"/>
      <c r="AG66" s="185">
        <v>161019</v>
      </c>
      <c r="AH66" s="185"/>
      <c r="AI66" s="185"/>
      <c r="AJ66" s="185">
        <v>5937965</v>
      </c>
      <c r="AK66" s="185">
        <v>14308</v>
      </c>
      <c r="AL66" s="185">
        <v>1009</v>
      </c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3027019</v>
      </c>
      <c r="AW66" s="185"/>
      <c r="AX66" s="185"/>
      <c r="AY66" s="185">
        <f>130022*(AY59/(AY59+AZ59))</f>
        <v>39103.852791823047</v>
      </c>
      <c r="AZ66" s="185">
        <f>130022-AY66</f>
        <v>90918.147208176961</v>
      </c>
      <c r="BA66" s="185">
        <v>-1208</v>
      </c>
      <c r="BB66" s="185"/>
      <c r="BC66" s="185"/>
      <c r="BD66" s="185">
        <v>447898</v>
      </c>
      <c r="BE66" s="185">
        <v>1407667</v>
      </c>
      <c r="BF66" s="185">
        <v>105014</v>
      </c>
      <c r="BG66" s="185"/>
      <c r="BH66" s="185">
        <v>3374061</v>
      </c>
      <c r="BI66" s="185"/>
      <c r="BJ66" s="185">
        <v>77644</v>
      </c>
      <c r="BK66" s="185">
        <v>601119</v>
      </c>
      <c r="BL66" s="185">
        <v>96444</v>
      </c>
      <c r="BM66" s="185"/>
      <c r="BN66" s="185">
        <v>29599456</v>
      </c>
      <c r="BO66" s="185">
        <v>50438</v>
      </c>
      <c r="BP66" s="185">
        <v>73327</v>
      </c>
      <c r="BQ66" s="185"/>
      <c r="BR66" s="185">
        <v>339652</v>
      </c>
      <c r="BS66" s="185"/>
      <c r="BT66" s="185"/>
      <c r="BU66" s="185"/>
      <c r="BV66" s="185">
        <v>839102</v>
      </c>
      <c r="BW66" s="185">
        <v>183314</v>
      </c>
      <c r="BX66" s="185">
        <v>944956</v>
      </c>
      <c r="BY66" s="185">
        <v>264983</v>
      </c>
      <c r="BZ66" s="185"/>
      <c r="CA66" s="185">
        <v>2153176</v>
      </c>
      <c r="CB66" s="185"/>
      <c r="CC66" s="185">
        <v>1505162</v>
      </c>
      <c r="CD66" s="248" t="s">
        <v>221</v>
      </c>
      <c r="CE66" s="195">
        <f t="shared" si="0"/>
        <v>62823676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62008</v>
      </c>
      <c r="D67" s="195">
        <f>ROUND(D51+D52,0)</f>
        <v>3583</v>
      </c>
      <c r="E67" s="195">
        <f t="shared" ref="E67:BP67" si="3">ROUND(E51+E52,0)</f>
        <v>213066</v>
      </c>
      <c r="F67" s="195">
        <f t="shared" si="3"/>
        <v>192662</v>
      </c>
      <c r="G67" s="195">
        <f t="shared" si="3"/>
        <v>0</v>
      </c>
      <c r="H67" s="195">
        <f t="shared" si="3"/>
        <v>29694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2685706</v>
      </c>
      <c r="Q67" s="195">
        <f t="shared" si="3"/>
        <v>25273</v>
      </c>
      <c r="R67" s="195">
        <f t="shared" si="3"/>
        <v>50364</v>
      </c>
      <c r="S67" s="195">
        <f t="shared" si="3"/>
        <v>77605</v>
      </c>
      <c r="T67" s="195">
        <f t="shared" si="3"/>
        <v>72541</v>
      </c>
      <c r="U67" s="195">
        <f t="shared" si="3"/>
        <v>139202</v>
      </c>
      <c r="V67" s="195">
        <f t="shared" si="3"/>
        <v>63076</v>
      </c>
      <c r="W67" s="195">
        <f t="shared" si="3"/>
        <v>5737</v>
      </c>
      <c r="X67" s="195">
        <f t="shared" si="3"/>
        <v>150548</v>
      </c>
      <c r="Y67" s="195">
        <f t="shared" si="3"/>
        <v>1388027</v>
      </c>
      <c r="Z67" s="195">
        <f t="shared" si="3"/>
        <v>291669</v>
      </c>
      <c r="AA67" s="195">
        <f t="shared" si="3"/>
        <v>0</v>
      </c>
      <c r="AB67" s="195">
        <f t="shared" si="3"/>
        <v>118607</v>
      </c>
      <c r="AC67" s="195">
        <f t="shared" si="3"/>
        <v>51464</v>
      </c>
      <c r="AD67" s="195">
        <f t="shared" si="3"/>
        <v>0</v>
      </c>
      <c r="AE67" s="195">
        <f t="shared" si="3"/>
        <v>21950</v>
      </c>
      <c r="AF67" s="195">
        <f t="shared" si="3"/>
        <v>0</v>
      </c>
      <c r="AG67" s="195">
        <f t="shared" si="3"/>
        <v>140094</v>
      </c>
      <c r="AH67" s="195">
        <f t="shared" si="3"/>
        <v>0</v>
      </c>
      <c r="AI67" s="195">
        <f t="shared" si="3"/>
        <v>0</v>
      </c>
      <c r="AJ67" s="195">
        <f t="shared" si="3"/>
        <v>1192419</v>
      </c>
      <c r="AK67" s="195">
        <f t="shared" si="3"/>
        <v>444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818586</v>
      </c>
      <c r="AW67" s="195">
        <f t="shared" si="3"/>
        <v>0</v>
      </c>
      <c r="AX67" s="195">
        <f t="shared" si="3"/>
        <v>0</v>
      </c>
      <c r="AY67" s="195">
        <f t="shared" si="3"/>
        <v>32464</v>
      </c>
      <c r="AZ67" s="195">
        <f>ROUND(AZ51+AZ52,0)</f>
        <v>75480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12544</v>
      </c>
      <c r="BE67" s="195">
        <f t="shared" si="3"/>
        <v>2263189</v>
      </c>
      <c r="BF67" s="195">
        <f t="shared" si="3"/>
        <v>1023</v>
      </c>
      <c r="BG67" s="195">
        <f t="shared" si="3"/>
        <v>0</v>
      </c>
      <c r="BH67" s="195">
        <f t="shared" si="3"/>
        <v>2886367</v>
      </c>
      <c r="BI67" s="195">
        <f t="shared" si="3"/>
        <v>0</v>
      </c>
      <c r="BJ67" s="195">
        <f t="shared" si="3"/>
        <v>4062</v>
      </c>
      <c r="BK67" s="195">
        <f t="shared" si="3"/>
        <v>1775</v>
      </c>
      <c r="BL67" s="195">
        <f t="shared" si="3"/>
        <v>1510</v>
      </c>
      <c r="BM67" s="195">
        <f t="shared" si="3"/>
        <v>0</v>
      </c>
      <c r="BN67" s="195">
        <f t="shared" si="3"/>
        <v>23409</v>
      </c>
      <c r="BO67" s="195">
        <f t="shared" si="3"/>
        <v>0</v>
      </c>
      <c r="BP67" s="195">
        <f t="shared" si="3"/>
        <v>115515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225</v>
      </c>
      <c r="BT67" s="195">
        <f t="shared" si="4"/>
        <v>0</v>
      </c>
      <c r="BU67" s="195">
        <f t="shared" si="4"/>
        <v>0</v>
      </c>
      <c r="BV67" s="195">
        <f t="shared" si="4"/>
        <v>8954</v>
      </c>
      <c r="BW67" s="195">
        <f t="shared" si="4"/>
        <v>0</v>
      </c>
      <c r="BX67" s="195">
        <f t="shared" si="4"/>
        <v>0</v>
      </c>
      <c r="BY67" s="195">
        <f t="shared" si="4"/>
        <v>248170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2728576</v>
      </c>
      <c r="CD67" s="248" t="s">
        <v>221</v>
      </c>
      <c r="CE67" s="195">
        <f t="shared" si="0"/>
        <v>16197588</v>
      </c>
      <c r="CF67" s="251"/>
    </row>
    <row r="68" spans="1:84" ht="12.6" customHeight="1" x14ac:dyDescent="0.25">
      <c r="A68" s="171" t="s">
        <v>240</v>
      </c>
      <c r="B68" s="175"/>
      <c r="C68" s="184">
        <v>117574</v>
      </c>
      <c r="D68" s="184">
        <v>130775</v>
      </c>
      <c r="E68" s="184">
        <v>164642</v>
      </c>
      <c r="F68" s="184">
        <v>66709</v>
      </c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788914</v>
      </c>
      <c r="Q68" s="185">
        <v>45208</v>
      </c>
      <c r="R68" s="185">
        <v>91594</v>
      </c>
      <c r="S68" s="185">
        <v>417767</v>
      </c>
      <c r="T68" s="185"/>
      <c r="U68" s="185">
        <v>48648</v>
      </c>
      <c r="V68" s="185"/>
      <c r="W68" s="185"/>
      <c r="X68" s="185"/>
      <c r="Y68" s="185">
        <v>259023</v>
      </c>
      <c r="Z68" s="185">
        <v>-49</v>
      </c>
      <c r="AA68" s="185"/>
      <c r="AB68" s="185">
        <v>553207</v>
      </c>
      <c r="AC68" s="185">
        <v>84089</v>
      </c>
      <c r="AD68" s="185"/>
      <c r="AE68" s="185"/>
      <c r="AF68" s="185"/>
      <c r="AG68" s="185">
        <v>147824</v>
      </c>
      <c r="AH68" s="185"/>
      <c r="AI68" s="185"/>
      <c r="AJ68" s="185">
        <v>3384156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631775</v>
      </c>
      <c r="AW68" s="185"/>
      <c r="AX68" s="185"/>
      <c r="AY68" s="185">
        <f>1043*(AY59/(AY59+AZ59))</f>
        <v>313.68013460700064</v>
      </c>
      <c r="AZ68" s="185">
        <f>1043-AY68</f>
        <v>729.31986539299942</v>
      </c>
      <c r="BA68" s="185"/>
      <c r="BB68" s="185"/>
      <c r="BC68" s="185"/>
      <c r="BD68" s="185">
        <v>590291</v>
      </c>
      <c r="BE68" s="185">
        <v>206374</v>
      </c>
      <c r="BF68" s="185"/>
      <c r="BG68" s="185"/>
      <c r="BH68" s="185">
        <v>467018</v>
      </c>
      <c r="BI68" s="185"/>
      <c r="BJ68" s="185"/>
      <c r="BK68" s="185">
        <v>384</v>
      </c>
      <c r="BL68" s="185"/>
      <c r="BM68" s="185"/>
      <c r="BN68" s="185"/>
      <c r="BO68" s="185"/>
      <c r="BP68" s="185"/>
      <c r="BQ68" s="185"/>
      <c r="BR68" s="185">
        <v>87772</v>
      </c>
      <c r="BS68" s="185"/>
      <c r="BT68" s="185"/>
      <c r="BU68" s="185"/>
      <c r="BV68" s="185"/>
      <c r="BW68" s="185"/>
      <c r="BX68" s="185">
        <v>3100</v>
      </c>
      <c r="BY68" s="185"/>
      <c r="BZ68" s="185"/>
      <c r="CA68" s="185"/>
      <c r="CB68" s="185"/>
      <c r="CC68" s="185">
        <f>1575147-2</f>
        <v>1575145</v>
      </c>
      <c r="CD68" s="248" t="s">
        <v>221</v>
      </c>
      <c r="CE68" s="195">
        <f t="shared" si="0"/>
        <v>9862983</v>
      </c>
      <c r="CF68" s="251"/>
    </row>
    <row r="69" spans="1:84" ht="12.6" customHeight="1" x14ac:dyDescent="0.25">
      <c r="A69" s="171" t="s">
        <v>241</v>
      </c>
      <c r="B69" s="175"/>
      <c r="C69" s="184">
        <v>322</v>
      </c>
      <c r="D69" s="184"/>
      <c r="E69" s="185">
        <v>10548</v>
      </c>
      <c r="F69" s="185">
        <v>1492</v>
      </c>
      <c r="G69" s="184"/>
      <c r="H69" s="184">
        <v>198</v>
      </c>
      <c r="I69" s="185"/>
      <c r="J69" s="185"/>
      <c r="K69" s="185"/>
      <c r="L69" s="185"/>
      <c r="M69" s="184"/>
      <c r="N69" s="184"/>
      <c r="O69" s="184"/>
      <c r="P69" s="185">
        <v>16051</v>
      </c>
      <c r="Q69" s="185"/>
      <c r="R69" s="224"/>
      <c r="S69" s="185">
        <v>285</v>
      </c>
      <c r="T69" s="184">
        <v>59</v>
      </c>
      <c r="U69" s="185">
        <v>2322</v>
      </c>
      <c r="V69" s="185"/>
      <c r="W69" s="184">
        <v>2799</v>
      </c>
      <c r="X69" s="185"/>
      <c r="Y69" s="185">
        <v>35016</v>
      </c>
      <c r="Z69" s="185"/>
      <c r="AA69" s="185"/>
      <c r="AB69" s="185">
        <v>6355</v>
      </c>
      <c r="AC69" s="185">
        <f>1493+80</f>
        <v>1573</v>
      </c>
      <c r="AD69" s="185"/>
      <c r="AE69" s="185">
        <v>173</v>
      </c>
      <c r="AF69" s="185"/>
      <c r="AG69" s="185">
        <v>17493</v>
      </c>
      <c r="AH69" s="185"/>
      <c r="AI69" s="185"/>
      <c r="AJ69" s="185">
        <v>716106</v>
      </c>
      <c r="AK69" s="185">
        <v>102</v>
      </c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11330</v>
      </c>
      <c r="AW69" s="185"/>
      <c r="AX69" s="185"/>
      <c r="AY69" s="185">
        <f>160543*(AY59/(AY59+AZ59))</f>
        <v>48282.981639704412</v>
      </c>
      <c r="AZ69" s="185">
        <f>160543-AY69</f>
        <v>112260.01836029559</v>
      </c>
      <c r="BA69" s="185"/>
      <c r="BB69" s="185"/>
      <c r="BC69" s="185"/>
      <c r="BD69" s="185">
        <v>69551</v>
      </c>
      <c r="BE69" s="185">
        <v>508335</v>
      </c>
      <c r="BF69" s="185">
        <v>460</v>
      </c>
      <c r="BG69" s="185"/>
      <c r="BH69" s="224">
        <v>3832</v>
      </c>
      <c r="BI69" s="185"/>
      <c r="BJ69" s="185">
        <v>11109</v>
      </c>
      <c r="BK69" s="185">
        <v>1900</v>
      </c>
      <c r="BL69" s="185">
        <v>1095</v>
      </c>
      <c r="BM69" s="185"/>
      <c r="BN69" s="185">
        <v>543227</v>
      </c>
      <c r="BO69" s="185">
        <v>431</v>
      </c>
      <c r="BP69" s="185">
        <v>132</v>
      </c>
      <c r="BQ69" s="185"/>
      <c r="BR69" s="185">
        <v>326027</v>
      </c>
      <c r="BS69" s="185"/>
      <c r="BT69" s="185"/>
      <c r="BU69" s="185"/>
      <c r="BV69" s="185">
        <v>5397</v>
      </c>
      <c r="BW69" s="185">
        <v>119186</v>
      </c>
      <c r="BX69" s="185">
        <v>4945</v>
      </c>
      <c r="BY69" s="185">
        <v>16539</v>
      </c>
      <c r="BZ69" s="185"/>
      <c r="CA69" s="185">
        <v>13874</v>
      </c>
      <c r="CB69" s="185"/>
      <c r="CC69" s="185">
        <f>21673-1</f>
        <v>21672</v>
      </c>
      <c r="CD69" s="188">
        <f>C386+C387+C388</f>
        <v>16759283</v>
      </c>
      <c r="CE69" s="195">
        <f t="shared" si="0"/>
        <v>19389762</v>
      </c>
      <c r="CF69" s="251"/>
    </row>
    <row r="70" spans="1:84" ht="12.6" customHeight="1" x14ac:dyDescent="0.25">
      <c r="A70" s="171" t="s">
        <v>242</v>
      </c>
      <c r="B70" s="175"/>
      <c r="C70" s="184">
        <v>45</v>
      </c>
      <c r="D70" s="184"/>
      <c r="E70" s="184"/>
      <c r="F70" s="185">
        <v>8534</v>
      </c>
      <c r="G70" s="184"/>
      <c r="H70" s="184"/>
      <c r="I70" s="184"/>
      <c r="J70" s="185"/>
      <c r="K70" s="185"/>
      <c r="L70" s="185"/>
      <c r="M70" s="184"/>
      <c r="N70" s="184"/>
      <c r="O70" s="184"/>
      <c r="P70" s="184">
        <v>11443</v>
      </c>
      <c r="Q70" s="184"/>
      <c r="R70" s="184"/>
      <c r="S70" s="184">
        <v>3040</v>
      </c>
      <c r="T70" s="184"/>
      <c r="U70" s="185">
        <v>85737</v>
      </c>
      <c r="V70" s="184"/>
      <c r="W70" s="184"/>
      <c r="X70" s="185"/>
      <c r="Y70" s="185">
        <v>144942</v>
      </c>
      <c r="Z70" s="185">
        <v>728616</v>
      </c>
      <c r="AA70" s="185"/>
      <c r="AB70" s="185">
        <v>55226</v>
      </c>
      <c r="AC70" s="185"/>
      <c r="AD70" s="185"/>
      <c r="AE70" s="185">
        <v>27524</v>
      </c>
      <c r="AF70" s="185"/>
      <c r="AG70" s="185"/>
      <c r="AH70" s="185"/>
      <c r="AI70" s="185"/>
      <c r="AJ70" s="185">
        <v>3290765</v>
      </c>
      <c r="AK70" s="185"/>
      <c r="AL70" s="185">
        <v>3995</v>
      </c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v>88890</v>
      </c>
      <c r="AW70" s="185"/>
      <c r="AX70" s="185"/>
      <c r="AY70" s="185">
        <f>2015529*(AY59/(AY59+AZ59))</f>
        <v>606166.25889195909</v>
      </c>
      <c r="AZ70" s="185">
        <f>2015529-AY70</f>
        <v>1409362.7411080408</v>
      </c>
      <c r="BA70" s="185">
        <v>1825</v>
      </c>
      <c r="BB70" s="185"/>
      <c r="BC70" s="185"/>
      <c r="BD70" s="185">
        <v>5415</v>
      </c>
      <c r="BE70" s="185">
        <v>2355913</v>
      </c>
      <c r="BF70" s="185"/>
      <c r="BG70" s="185"/>
      <c r="BH70" s="185">
        <v>-41448</v>
      </c>
      <c r="BI70" s="185"/>
      <c r="BJ70" s="185">
        <v>51200</v>
      </c>
      <c r="BK70" s="185">
        <v>37252</v>
      </c>
      <c r="BL70" s="185"/>
      <c r="BM70" s="185"/>
      <c r="BN70" s="185">
        <v>197933</v>
      </c>
      <c r="BO70" s="185"/>
      <c r="BP70" s="185">
        <v>22708</v>
      </c>
      <c r="BQ70" s="185"/>
      <c r="BR70" s="185">
        <v>2957</v>
      </c>
      <c r="BS70" s="185"/>
      <c r="BT70" s="185"/>
      <c r="BU70" s="185"/>
      <c r="BV70" s="185">
        <v>32385</v>
      </c>
      <c r="BW70" s="185">
        <v>-101</v>
      </c>
      <c r="BX70" s="185"/>
      <c r="BY70" s="185">
        <v>79619</v>
      </c>
      <c r="BZ70" s="185"/>
      <c r="CA70" s="185">
        <v>7895</v>
      </c>
      <c r="CB70" s="185"/>
      <c r="CC70" s="185">
        <v>5939851</v>
      </c>
      <c r="CD70" s="188"/>
      <c r="CE70" s="195">
        <f t="shared" si="0"/>
        <v>15157690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6879693</v>
      </c>
      <c r="D71" s="195">
        <f t="shared" ref="D71:AI71" si="5">SUM(D61:D69)-D70</f>
        <v>4883637</v>
      </c>
      <c r="E71" s="195">
        <f t="shared" si="5"/>
        <v>24122210</v>
      </c>
      <c r="F71" s="195">
        <f t="shared" si="5"/>
        <v>7949013</v>
      </c>
      <c r="G71" s="195">
        <f t="shared" si="5"/>
        <v>0</v>
      </c>
      <c r="H71" s="195">
        <f t="shared" si="5"/>
        <v>6040669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42561288</v>
      </c>
      <c r="Q71" s="195">
        <f t="shared" si="5"/>
        <v>2717758</v>
      </c>
      <c r="R71" s="195">
        <f t="shared" si="5"/>
        <v>1688695</v>
      </c>
      <c r="S71" s="195">
        <f t="shared" si="5"/>
        <v>2335601</v>
      </c>
      <c r="T71" s="195">
        <f t="shared" si="5"/>
        <v>1276669</v>
      </c>
      <c r="U71" s="195">
        <f t="shared" si="5"/>
        <v>13923926</v>
      </c>
      <c r="V71" s="195">
        <f t="shared" si="5"/>
        <v>711481</v>
      </c>
      <c r="W71" s="195">
        <f t="shared" si="5"/>
        <v>1722061</v>
      </c>
      <c r="X71" s="195">
        <f t="shared" si="5"/>
        <v>1817207</v>
      </c>
      <c r="Y71" s="195">
        <f t="shared" si="5"/>
        <v>14440504</v>
      </c>
      <c r="Z71" s="195">
        <f t="shared" si="5"/>
        <v>-395343</v>
      </c>
      <c r="AA71" s="195">
        <f t="shared" si="5"/>
        <v>575194</v>
      </c>
      <c r="AB71" s="195">
        <f t="shared" si="5"/>
        <v>15603512</v>
      </c>
      <c r="AC71" s="195">
        <f t="shared" si="5"/>
        <v>2159049</v>
      </c>
      <c r="AD71" s="195">
        <f t="shared" si="5"/>
        <v>0</v>
      </c>
      <c r="AE71" s="195">
        <f t="shared" si="5"/>
        <v>3528432</v>
      </c>
      <c r="AF71" s="195">
        <f t="shared" si="5"/>
        <v>0</v>
      </c>
      <c r="AG71" s="195">
        <f t="shared" si="5"/>
        <v>7989553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87822505</v>
      </c>
      <c r="AK71" s="195">
        <f t="shared" si="6"/>
        <v>1709542</v>
      </c>
      <c r="AL71" s="195">
        <f t="shared" si="6"/>
        <v>499483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12673199</v>
      </c>
      <c r="AW71" s="195">
        <f t="shared" si="6"/>
        <v>0</v>
      </c>
      <c r="AX71" s="195">
        <f t="shared" si="6"/>
        <v>0</v>
      </c>
      <c r="AY71" s="195">
        <f t="shared" si="6"/>
        <v>1106861.7624192643</v>
      </c>
      <c r="AZ71" s="195">
        <f t="shared" si="6"/>
        <v>2573500.2375807357</v>
      </c>
      <c r="BA71" s="195">
        <f t="shared" si="6"/>
        <v>60488</v>
      </c>
      <c r="BB71" s="195">
        <f t="shared" si="6"/>
        <v>0</v>
      </c>
      <c r="BC71" s="195">
        <f t="shared" si="6"/>
        <v>0</v>
      </c>
      <c r="BD71" s="195">
        <f t="shared" si="6"/>
        <v>2366130</v>
      </c>
      <c r="BE71" s="195">
        <f t="shared" si="6"/>
        <v>7851020</v>
      </c>
      <c r="BF71" s="195">
        <f t="shared" si="6"/>
        <v>3833027</v>
      </c>
      <c r="BG71" s="195">
        <f t="shared" si="6"/>
        <v>0</v>
      </c>
      <c r="BH71" s="195">
        <f t="shared" si="6"/>
        <v>8367844</v>
      </c>
      <c r="BI71" s="195">
        <f t="shared" si="6"/>
        <v>0</v>
      </c>
      <c r="BJ71" s="195">
        <f t="shared" si="6"/>
        <v>1238409</v>
      </c>
      <c r="BK71" s="195">
        <f t="shared" si="6"/>
        <v>2641105</v>
      </c>
      <c r="BL71" s="195">
        <f t="shared" si="6"/>
        <v>4785080</v>
      </c>
      <c r="BM71" s="195">
        <f t="shared" si="6"/>
        <v>0</v>
      </c>
      <c r="BN71" s="195">
        <f t="shared" si="6"/>
        <v>33700784</v>
      </c>
      <c r="BO71" s="195">
        <f t="shared" si="6"/>
        <v>472883</v>
      </c>
      <c r="BP71" s="195">
        <f t="shared" ref="BP71:CC71" si="7">SUM(BP61:BP69)-BP70</f>
        <v>2017029</v>
      </c>
      <c r="BQ71" s="195">
        <f t="shared" si="7"/>
        <v>0</v>
      </c>
      <c r="BR71" s="195">
        <f t="shared" si="7"/>
        <v>3615723</v>
      </c>
      <c r="BS71" s="195">
        <f t="shared" si="7"/>
        <v>84094</v>
      </c>
      <c r="BT71" s="195">
        <f t="shared" si="7"/>
        <v>0</v>
      </c>
      <c r="BU71" s="195">
        <f t="shared" si="7"/>
        <v>0</v>
      </c>
      <c r="BV71" s="195">
        <f t="shared" si="7"/>
        <v>3435859</v>
      </c>
      <c r="BW71" s="195">
        <f t="shared" si="7"/>
        <v>1142816</v>
      </c>
      <c r="BX71" s="195">
        <f t="shared" si="7"/>
        <v>6418345</v>
      </c>
      <c r="BY71" s="195">
        <f t="shared" si="7"/>
        <v>1731976</v>
      </c>
      <c r="BZ71" s="195">
        <f t="shared" si="7"/>
        <v>0</v>
      </c>
      <c r="CA71" s="195">
        <f t="shared" si="7"/>
        <v>3905374</v>
      </c>
      <c r="CB71" s="195">
        <f t="shared" si="7"/>
        <v>0</v>
      </c>
      <c r="CC71" s="195">
        <f t="shared" si="7"/>
        <v>3473593</v>
      </c>
      <c r="CD71" s="244">
        <f>CD69-CD70</f>
        <v>16759283</v>
      </c>
      <c r="CE71" s="195">
        <f>SUM(CE61:CE69)-CE70</f>
        <v>376816762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5">
      <c r="A73" s="171" t="s">
        <v>245</v>
      </c>
      <c r="B73" s="175"/>
      <c r="C73" s="184">
        <v>24340459</v>
      </c>
      <c r="D73" s="184">
        <v>22208918</v>
      </c>
      <c r="E73" s="185">
        <v>84507117</v>
      </c>
      <c r="F73" s="185">
        <v>18227184</v>
      </c>
      <c r="G73" s="184"/>
      <c r="H73" s="184">
        <v>28694762</v>
      </c>
      <c r="I73" s="185"/>
      <c r="J73" s="185"/>
      <c r="K73" s="185"/>
      <c r="L73" s="185"/>
      <c r="M73" s="184"/>
      <c r="N73" s="184"/>
      <c r="O73" s="184"/>
      <c r="P73" s="185">
        <v>125226643</v>
      </c>
      <c r="Q73" s="185">
        <v>5619542</v>
      </c>
      <c r="R73" s="185">
        <v>13896224</v>
      </c>
      <c r="S73" s="185">
        <v>1815449</v>
      </c>
      <c r="T73" s="185">
        <v>1204832</v>
      </c>
      <c r="U73" s="185">
        <v>30939818</v>
      </c>
      <c r="V73" s="185">
        <v>3207507</v>
      </c>
      <c r="W73" s="185">
        <v>7340006</v>
      </c>
      <c r="X73" s="185">
        <v>21485844</v>
      </c>
      <c r="Y73" s="185">
        <v>27433150</v>
      </c>
      <c r="Z73" s="185">
        <v>59060</v>
      </c>
      <c r="AA73" s="185">
        <v>294845</v>
      </c>
      <c r="AB73" s="185">
        <v>46234823</v>
      </c>
      <c r="AC73" s="185">
        <f>9838759+11635</f>
        <v>9850394</v>
      </c>
      <c r="AD73" s="185"/>
      <c r="AE73" s="185">
        <v>3682574</v>
      </c>
      <c r="AF73" s="185"/>
      <c r="AG73" s="185">
        <v>31572930</v>
      </c>
      <c r="AH73" s="185"/>
      <c r="AI73" s="185"/>
      <c r="AJ73" s="185"/>
      <c r="AK73" s="185">
        <v>2373011</v>
      </c>
      <c r="AL73" s="185">
        <v>892320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11865074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522972486</v>
      </c>
      <c r="CF73" s="251"/>
    </row>
    <row r="74" spans="1:84" ht="12.6" customHeight="1" x14ac:dyDescent="0.25">
      <c r="A74" s="171" t="s">
        <v>246</v>
      </c>
      <c r="B74" s="175"/>
      <c r="C74" s="184">
        <v>31041</v>
      </c>
      <c r="D74" s="184">
        <v>547522</v>
      </c>
      <c r="E74" s="185">
        <v>3921589</v>
      </c>
      <c r="F74" s="185">
        <v>1321010</v>
      </c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186508507</v>
      </c>
      <c r="Q74" s="185">
        <v>10091224</v>
      </c>
      <c r="R74" s="185">
        <v>21104387</v>
      </c>
      <c r="S74" s="185">
        <v>13939</v>
      </c>
      <c r="T74" s="185">
        <v>59628</v>
      </c>
      <c r="U74" s="185">
        <v>41671681</v>
      </c>
      <c r="V74" s="185">
        <v>5377380</v>
      </c>
      <c r="W74" s="185">
        <v>26363219</v>
      </c>
      <c r="X74" s="185">
        <v>42071099</v>
      </c>
      <c r="Y74" s="185">
        <v>72500548</v>
      </c>
      <c r="Z74" s="185"/>
      <c r="AA74" s="185">
        <v>1831517</v>
      </c>
      <c r="AB74" s="185">
        <v>32855733</v>
      </c>
      <c r="AC74" s="185">
        <f>294330+1307828</f>
        <v>1602158</v>
      </c>
      <c r="AD74" s="185"/>
      <c r="AE74" s="185">
        <v>3914450</v>
      </c>
      <c r="AF74" s="185"/>
      <c r="AG74" s="185">
        <v>72599471</v>
      </c>
      <c r="AH74" s="185"/>
      <c r="AI74" s="185"/>
      <c r="AJ74" s="185">
        <v>97684624</v>
      </c>
      <c r="AK74" s="185">
        <v>2492696</v>
      </c>
      <c r="AL74" s="185">
        <v>627411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50479391+34416-3</f>
        <v>50513804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675704638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24371500</v>
      </c>
      <c r="D75" s="195">
        <f t="shared" si="9"/>
        <v>22756440</v>
      </c>
      <c r="E75" s="195">
        <f t="shared" si="9"/>
        <v>88428706</v>
      </c>
      <c r="F75" s="195">
        <f t="shared" si="9"/>
        <v>19548194</v>
      </c>
      <c r="G75" s="195">
        <f t="shared" si="9"/>
        <v>0</v>
      </c>
      <c r="H75" s="195">
        <f t="shared" si="9"/>
        <v>28694762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311735150</v>
      </c>
      <c r="Q75" s="195">
        <f t="shared" si="9"/>
        <v>15710766</v>
      </c>
      <c r="R75" s="195">
        <f t="shared" si="9"/>
        <v>35000611</v>
      </c>
      <c r="S75" s="195">
        <f t="shared" si="9"/>
        <v>1829388</v>
      </c>
      <c r="T75" s="195">
        <f t="shared" si="9"/>
        <v>1264460</v>
      </c>
      <c r="U75" s="195">
        <f t="shared" si="9"/>
        <v>72611499</v>
      </c>
      <c r="V75" s="195">
        <f t="shared" si="9"/>
        <v>8584887</v>
      </c>
      <c r="W75" s="195">
        <f t="shared" si="9"/>
        <v>33703225</v>
      </c>
      <c r="X75" s="195">
        <f t="shared" si="9"/>
        <v>63556943</v>
      </c>
      <c r="Y75" s="195">
        <f t="shared" si="9"/>
        <v>99933698</v>
      </c>
      <c r="Z75" s="195">
        <f t="shared" si="9"/>
        <v>59060</v>
      </c>
      <c r="AA75" s="195">
        <f t="shared" si="9"/>
        <v>2126362</v>
      </c>
      <c r="AB75" s="195">
        <f t="shared" si="9"/>
        <v>79090556</v>
      </c>
      <c r="AC75" s="195">
        <f t="shared" si="9"/>
        <v>11452552</v>
      </c>
      <c r="AD75" s="195">
        <f t="shared" si="9"/>
        <v>0</v>
      </c>
      <c r="AE75" s="195">
        <f t="shared" si="9"/>
        <v>7597024</v>
      </c>
      <c r="AF75" s="195">
        <f t="shared" si="9"/>
        <v>0</v>
      </c>
      <c r="AG75" s="195">
        <f t="shared" si="9"/>
        <v>104172401</v>
      </c>
      <c r="AH75" s="195">
        <f t="shared" si="9"/>
        <v>0</v>
      </c>
      <c r="AI75" s="195">
        <f t="shared" si="9"/>
        <v>0</v>
      </c>
      <c r="AJ75" s="195">
        <f t="shared" si="9"/>
        <v>97684624</v>
      </c>
      <c r="AK75" s="195">
        <f t="shared" si="9"/>
        <v>4865707</v>
      </c>
      <c r="AL75" s="195">
        <f t="shared" si="9"/>
        <v>1519731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62378878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1198677124</v>
      </c>
      <c r="CF75" s="251"/>
    </row>
    <row r="76" spans="1:84" ht="12.6" customHeight="1" x14ac:dyDescent="0.25">
      <c r="A76" s="171" t="s">
        <v>248</v>
      </c>
      <c r="B76" s="175"/>
      <c r="C76" s="184">
        <v>8019</v>
      </c>
      <c r="D76" s="184">
        <v>8222</v>
      </c>
      <c r="E76" s="185">
        <v>47741</v>
      </c>
      <c r="F76" s="185">
        <v>13745</v>
      </c>
      <c r="G76" s="184"/>
      <c r="H76" s="184">
        <v>14924</v>
      </c>
      <c r="I76" s="185"/>
      <c r="J76" s="185"/>
      <c r="K76" s="185"/>
      <c r="L76" s="185"/>
      <c r="M76" s="185"/>
      <c r="N76" s="185"/>
      <c r="O76" s="185"/>
      <c r="P76" s="185">
        <v>53579</v>
      </c>
      <c r="Q76" s="185">
        <v>3494</v>
      </c>
      <c r="R76" s="185">
        <v>971</v>
      </c>
      <c r="S76" s="185"/>
      <c r="T76" s="185"/>
      <c r="U76" s="185">
        <v>11007</v>
      </c>
      <c r="V76" s="185">
        <v>523</v>
      </c>
      <c r="W76" s="185">
        <v>4528</v>
      </c>
      <c r="X76" s="185">
        <v>1417</v>
      </c>
      <c r="Y76" s="185">
        <v>31417</v>
      </c>
      <c r="Z76" s="185"/>
      <c r="AA76" s="185">
        <v>859</v>
      </c>
      <c r="AB76" s="185">
        <v>2571</v>
      </c>
      <c r="AC76" s="185">
        <v>1098</v>
      </c>
      <c r="AD76" s="185"/>
      <c r="AE76" s="185">
        <v>17191</v>
      </c>
      <c r="AF76" s="185"/>
      <c r="AG76" s="185">
        <v>12046</v>
      </c>
      <c r="AH76" s="185"/>
      <c r="AI76" s="185"/>
      <c r="AJ76" s="185">
        <v>80290</v>
      </c>
      <c r="AK76" s="185">
        <v>3224</v>
      </c>
      <c r="AL76" s="185">
        <v>1299</v>
      </c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26450</v>
      </c>
      <c r="AW76" s="185"/>
      <c r="AX76" s="185"/>
      <c r="AY76" s="185">
        <f>14448*(AY59/(AY59+AZ59))</f>
        <v>4345.2066968379149</v>
      </c>
      <c r="AZ76" s="185">
        <f>14448-AY76</f>
        <v>10102.793303162085</v>
      </c>
      <c r="BA76" s="185"/>
      <c r="BB76" s="185"/>
      <c r="BC76" s="185"/>
      <c r="BD76" s="185">
        <v>4643</v>
      </c>
      <c r="BE76" s="185">
        <v>8217</v>
      </c>
      <c r="BF76" s="185">
        <v>4126</v>
      </c>
      <c r="BG76" s="185"/>
      <c r="BH76" s="185">
        <v>15291</v>
      </c>
      <c r="BI76" s="185"/>
      <c r="BJ76" s="185"/>
      <c r="BK76" s="185">
        <v>5123</v>
      </c>
      <c r="BL76" s="185">
        <v>9038</v>
      </c>
      <c r="BM76" s="185"/>
      <c r="BN76" s="185">
        <v>1475</v>
      </c>
      <c r="BO76" s="185"/>
      <c r="BP76" s="185">
        <v>2679</v>
      </c>
      <c r="BQ76" s="185"/>
      <c r="BR76" s="185">
        <v>3756</v>
      </c>
      <c r="BS76" s="185"/>
      <c r="BT76" s="185"/>
      <c r="BU76" s="185"/>
      <c r="BV76" s="185">
        <v>5499</v>
      </c>
      <c r="BW76" s="185">
        <v>2275</v>
      </c>
      <c r="BX76" s="185">
        <v>3871</v>
      </c>
      <c r="BY76" s="185">
        <v>984</v>
      </c>
      <c r="BZ76" s="185"/>
      <c r="CA76" s="185">
        <v>5894</v>
      </c>
      <c r="CB76" s="185"/>
      <c r="CC76" s="185">
        <v>1697</v>
      </c>
      <c r="CD76" s="248" t="s">
        <v>221</v>
      </c>
      <c r="CE76" s="195">
        <f t="shared" si="8"/>
        <v>433631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14219</v>
      </c>
      <c r="D77" s="184">
        <v>17996</v>
      </c>
      <c r="E77" s="184">
        <f>42246+43641+13308+6297+2370</f>
        <v>107862</v>
      </c>
      <c r="F77" s="184">
        <v>16697</v>
      </c>
      <c r="G77" s="184"/>
      <c r="H77" s="184">
        <v>37071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193845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3820</v>
      </c>
      <c r="D78" s="184">
        <v>3917</v>
      </c>
      <c r="E78" s="184">
        <v>22743</v>
      </c>
      <c r="F78" s="184">
        <v>6548</v>
      </c>
      <c r="G78" s="184"/>
      <c r="H78" s="184">
        <v>7110</v>
      </c>
      <c r="I78" s="184"/>
      <c r="J78" s="184"/>
      <c r="K78" s="184"/>
      <c r="L78" s="184"/>
      <c r="M78" s="184"/>
      <c r="N78" s="184"/>
      <c r="O78" s="184"/>
      <c r="P78" s="184">
        <v>18453</v>
      </c>
      <c r="Q78" s="184">
        <v>1665</v>
      </c>
      <c r="R78" s="184">
        <v>463</v>
      </c>
      <c r="S78" s="184"/>
      <c r="T78" s="184"/>
      <c r="U78" s="184">
        <v>3568</v>
      </c>
      <c r="V78" s="184">
        <v>249</v>
      </c>
      <c r="W78" s="184">
        <v>873</v>
      </c>
      <c r="X78" s="184">
        <v>675</v>
      </c>
      <c r="Y78" s="184">
        <v>6645</v>
      </c>
      <c r="Z78" s="184"/>
      <c r="AA78" s="184">
        <v>409</v>
      </c>
      <c r="AB78" s="184">
        <v>1225</v>
      </c>
      <c r="AC78" s="184">
        <v>523</v>
      </c>
      <c r="AD78" s="184"/>
      <c r="AE78" s="184">
        <v>1978</v>
      </c>
      <c r="AF78" s="184"/>
      <c r="AG78" s="184">
        <v>5739</v>
      </c>
      <c r="AH78" s="184"/>
      <c r="AI78" s="184"/>
      <c r="AJ78" s="184"/>
      <c r="AK78" s="184">
        <v>1536</v>
      </c>
      <c r="AL78" s="184">
        <v>619</v>
      </c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f>6612-1</f>
        <v>6611</v>
      </c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>
        <v>1771</v>
      </c>
      <c r="BI78" s="184"/>
      <c r="BJ78" s="248" t="s">
        <v>221</v>
      </c>
      <c r="BK78" s="184"/>
      <c r="BL78" s="184">
        <v>1859</v>
      </c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>
        <v>2620</v>
      </c>
      <c r="BW78" s="184">
        <v>1084</v>
      </c>
      <c r="BX78" s="184">
        <v>1206</v>
      </c>
      <c r="BY78" s="184">
        <v>469</v>
      </c>
      <c r="BZ78" s="184"/>
      <c r="CA78" s="184">
        <v>2808</v>
      </c>
      <c r="CB78" s="184"/>
      <c r="CC78" s="248" t="s">
        <v>221</v>
      </c>
      <c r="CD78" s="248" t="s">
        <v>221</v>
      </c>
      <c r="CE78" s="195">
        <f t="shared" si="8"/>
        <v>107186</v>
      </c>
      <c r="CF78" s="195"/>
    </row>
    <row r="79" spans="1:84" ht="12.6" customHeight="1" x14ac:dyDescent="0.25">
      <c r="A79" s="171" t="s">
        <v>251</v>
      </c>
      <c r="B79" s="175"/>
      <c r="C79" s="225">
        <v>140981</v>
      </c>
      <c r="D79" s="225"/>
      <c r="E79" s="184">
        <v>420669</v>
      </c>
      <c r="F79" s="184">
        <v>123438</v>
      </c>
      <c r="G79" s="184"/>
      <c r="H79" s="184">
        <v>73006</v>
      </c>
      <c r="I79" s="184"/>
      <c r="J79" s="184"/>
      <c r="K79" s="184"/>
      <c r="L79" s="184"/>
      <c r="M79" s="184"/>
      <c r="N79" s="184"/>
      <c r="O79" s="184"/>
      <c r="P79" s="184">
        <v>406590</v>
      </c>
      <c r="Q79" s="184">
        <v>36908</v>
      </c>
      <c r="R79" s="184"/>
      <c r="S79" s="184">
        <v>491121</v>
      </c>
      <c r="T79" s="184"/>
      <c r="U79" s="184">
        <v>21658</v>
      </c>
      <c r="V79" s="184"/>
      <c r="W79" s="184">
        <v>12481</v>
      </c>
      <c r="X79" s="184"/>
      <c r="Y79" s="184">
        <v>208642</v>
      </c>
      <c r="Z79" s="184"/>
      <c r="AA79" s="184"/>
      <c r="AB79" s="184">
        <v>7127</v>
      </c>
      <c r="AC79" s="184"/>
      <c r="AD79" s="184"/>
      <c r="AE79" s="184">
        <v>24802</v>
      </c>
      <c r="AF79" s="184"/>
      <c r="AG79" s="184">
        <v>213319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110973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2291715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41.62</v>
      </c>
      <c r="D80" s="187">
        <v>34.659999999999997</v>
      </c>
      <c r="E80" s="187">
        <v>190.93</v>
      </c>
      <c r="F80" s="187">
        <v>40.299999999999997</v>
      </c>
      <c r="G80" s="187"/>
      <c r="H80" s="187">
        <v>47.37</v>
      </c>
      <c r="I80" s="187"/>
      <c r="J80" s="187"/>
      <c r="K80" s="187"/>
      <c r="L80" s="187"/>
      <c r="M80" s="187"/>
      <c r="N80" s="187"/>
      <c r="O80" s="187"/>
      <c r="P80" s="187">
        <v>69.260000000000005</v>
      </c>
      <c r="Q80" s="187">
        <v>16.600000000000001</v>
      </c>
      <c r="R80" s="187"/>
      <c r="S80" s="187"/>
      <c r="T80" s="187">
        <v>2</v>
      </c>
      <c r="U80" s="187"/>
      <c r="V80" s="187"/>
      <c r="W80" s="187"/>
      <c r="X80" s="187"/>
      <c r="Y80" s="187">
        <v>5.78</v>
      </c>
      <c r="Z80" s="187"/>
      <c r="AA80" s="187"/>
      <c r="AB80" s="187"/>
      <c r="AC80" s="187"/>
      <c r="AD80" s="187"/>
      <c r="AE80" s="187"/>
      <c r="AF80" s="187"/>
      <c r="AG80" s="187">
        <v>33.57</v>
      </c>
      <c r="AH80" s="187"/>
      <c r="AI80" s="187"/>
      <c r="AJ80" s="187">
        <v>41.18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f>21.05+0.03+1.89+1.37+9.09+15.2+0.01</f>
        <v>48.640000000000008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571.91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0" t="s">
        <v>1265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1269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1280</v>
      </c>
      <c r="D84" s="205"/>
      <c r="E84" s="204"/>
    </row>
    <row r="85" spans="1:5" ht="12.6" customHeight="1" x14ac:dyDescent="0.25">
      <c r="A85" s="173" t="s">
        <v>1251</v>
      </c>
      <c r="B85" s="172"/>
      <c r="C85" s="269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69" t="s">
        <v>1272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1281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1284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84" t="s">
        <v>1278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9935</v>
      </c>
      <c r="D111" s="174">
        <v>48653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1078</v>
      </c>
      <c r="D114" s="174">
        <v>1771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15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17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120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18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27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197</v>
      </c>
    </row>
    <row r="128" spans="1:5" ht="12.6" customHeight="1" x14ac:dyDescent="0.25">
      <c r="A128" s="173" t="s">
        <v>292</v>
      </c>
      <c r="B128" s="172" t="s">
        <v>256</v>
      </c>
      <c r="C128" s="189">
        <v>281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5475</v>
      </c>
      <c r="C138" s="189">
        <v>1581</v>
      </c>
      <c r="D138" s="174">
        <v>2879</v>
      </c>
      <c r="E138" s="175">
        <f>SUM(B138:D138)</f>
        <v>9935</v>
      </c>
    </row>
    <row r="139" spans="1:6" ht="12.6" customHeight="1" x14ac:dyDescent="0.25">
      <c r="A139" s="173" t="s">
        <v>215</v>
      </c>
      <c r="B139" s="174">
        <v>31639</v>
      </c>
      <c r="C139" s="189">
        <v>8049</v>
      </c>
      <c r="D139" s="174">
        <v>8965</v>
      </c>
      <c r="E139" s="175">
        <f>SUM(B139:D139)</f>
        <v>48653</v>
      </c>
    </row>
    <row r="140" spans="1:6" ht="12.6" customHeight="1" x14ac:dyDescent="0.25">
      <c r="A140" s="173" t="s">
        <v>298</v>
      </c>
      <c r="B140" s="174">
        <v>221166</v>
      </c>
      <c r="C140" s="174">
        <v>69723</v>
      </c>
      <c r="D140" s="174">
        <v>181116</v>
      </c>
      <c r="E140" s="175">
        <f>SUM(B140:D140)</f>
        <v>472005</v>
      </c>
    </row>
    <row r="141" spans="1:6" ht="12.6" customHeight="1" x14ac:dyDescent="0.25">
      <c r="A141" s="173" t="s">
        <v>245</v>
      </c>
      <c r="B141" s="174">
        <v>253854575.34</v>
      </c>
      <c r="C141" s="189">
        <v>74803787.459999993</v>
      </c>
      <c r="D141" s="174">
        <v>194314123.62</v>
      </c>
      <c r="E141" s="175">
        <f>SUM(B141:D141)</f>
        <v>522972486.42000002</v>
      </c>
      <c r="F141" s="199"/>
    </row>
    <row r="142" spans="1:6" ht="12.6" customHeight="1" x14ac:dyDescent="0.25">
      <c r="A142" s="173" t="s">
        <v>246</v>
      </c>
      <c r="B142" s="174">
        <v>307805759.31</v>
      </c>
      <c r="C142" s="189">
        <v>102260861.98999999</v>
      </c>
      <c r="D142" s="174">
        <v>265638017.18000001</v>
      </c>
      <c r="E142" s="175">
        <f>SUM(B142:D142)</f>
        <v>675704638.48000002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11220397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289289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656461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16380805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169290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5163289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1608282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35487813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5966629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3896354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9862983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1414179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1038907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2453086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211338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10426304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10637642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3668555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3668555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f>105250+10816822</f>
        <v>10922072</v>
      </c>
      <c r="C195" s="189"/>
      <c r="D195" s="174"/>
      <c r="E195" s="175">
        <f t="shared" ref="E195:E203" si="10">SUM(B195:C195)-D195</f>
        <v>10922072</v>
      </c>
    </row>
    <row r="196" spans="1:8" ht="12.6" customHeight="1" x14ac:dyDescent="0.25">
      <c r="A196" s="173" t="s">
        <v>333</v>
      </c>
      <c r="B196" s="174">
        <v>5984429</v>
      </c>
      <c r="C196" s="189"/>
      <c r="D196" s="174">
        <v>55528.53</v>
      </c>
      <c r="E196" s="175">
        <f t="shared" si="10"/>
        <v>5928900.4699999997</v>
      </c>
    </row>
    <row r="197" spans="1:8" ht="12.6" customHeight="1" x14ac:dyDescent="0.25">
      <c r="A197" s="173" t="s">
        <v>334</v>
      </c>
      <c r="B197" s="174">
        <v>142191094</v>
      </c>
      <c r="C197" s="189">
        <v>3917514.81</v>
      </c>
      <c r="D197" s="174">
        <v>42413.25</v>
      </c>
      <c r="E197" s="175">
        <f t="shared" si="10"/>
        <v>146066195.56</v>
      </c>
    </row>
    <row r="198" spans="1:8" ht="12.6" customHeight="1" x14ac:dyDescent="0.25">
      <c r="A198" s="173" t="s">
        <v>335</v>
      </c>
      <c r="B198" s="174">
        <v>46677141</v>
      </c>
      <c r="C198" s="189">
        <v>25944.01</v>
      </c>
      <c r="D198" s="174">
        <v>60161.32</v>
      </c>
      <c r="E198" s="175">
        <f t="shared" si="10"/>
        <v>46642923.689999998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176961116</v>
      </c>
      <c r="C200" s="189">
        <v>2510443.7400000002</v>
      </c>
      <c r="D200" s="174">
        <v>26577870</v>
      </c>
      <c r="E200" s="175">
        <f t="shared" si="10"/>
        <v>152893689.74000001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18153816</v>
      </c>
      <c r="C202" s="189"/>
      <c r="D202" s="174">
        <v>1263178</v>
      </c>
      <c r="E202" s="175">
        <f t="shared" si="10"/>
        <v>16890638</v>
      </c>
    </row>
    <row r="203" spans="1:8" ht="12.6" customHeight="1" x14ac:dyDescent="0.25">
      <c r="A203" s="173" t="s">
        <v>340</v>
      </c>
      <c r="B203" s="174">
        <v>2472160</v>
      </c>
      <c r="C203" s="189">
        <v>8154086</v>
      </c>
      <c r="D203" s="174">
        <f>6080485.96+524988.27</f>
        <v>6605474.2300000004</v>
      </c>
      <c r="E203" s="175">
        <f t="shared" si="10"/>
        <v>4020771.7699999996</v>
      </c>
    </row>
    <row r="204" spans="1:8" ht="12.6" customHeight="1" x14ac:dyDescent="0.25">
      <c r="A204" s="173" t="s">
        <v>203</v>
      </c>
      <c r="B204" s="175">
        <f>SUM(B195:B203)</f>
        <v>403361828</v>
      </c>
      <c r="C204" s="191">
        <f>SUM(C195:C203)</f>
        <v>14607988.560000001</v>
      </c>
      <c r="D204" s="175">
        <f>SUM(D195:D203)</f>
        <v>34604625.329999998</v>
      </c>
      <c r="E204" s="175">
        <f>SUM(E195:E203)</f>
        <v>383365191.23000002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5318009</v>
      </c>
      <c r="C209" s="189">
        <v>171716</v>
      </c>
      <c r="D209" s="174">
        <v>55528.53</v>
      </c>
      <c r="E209" s="175">
        <f t="shared" ref="E209:E216" si="11">SUM(B209:C209)-D209</f>
        <v>5434196.4699999997</v>
      </c>
      <c r="H209" s="258"/>
    </row>
    <row r="210" spans="1:8" ht="12.6" customHeight="1" x14ac:dyDescent="0.25">
      <c r="A210" s="173" t="s">
        <v>334</v>
      </c>
      <c r="B210" s="174">
        <v>87783656</v>
      </c>
      <c r="C210" s="189">
        <v>5868253</v>
      </c>
      <c r="D210" s="174">
        <v>42412.25</v>
      </c>
      <c r="E210" s="175">
        <f t="shared" si="11"/>
        <v>93609496.75</v>
      </c>
      <c r="H210" s="258"/>
    </row>
    <row r="211" spans="1:8" ht="12.6" customHeight="1" x14ac:dyDescent="0.25">
      <c r="A211" s="173" t="s">
        <v>335</v>
      </c>
      <c r="B211" s="174">
        <v>37650370</v>
      </c>
      <c r="C211" s="189">
        <v>642512</v>
      </c>
      <c r="D211" s="174">
        <v>-776376.17</v>
      </c>
      <c r="E211" s="175">
        <f t="shared" si="11"/>
        <v>39069258.170000002</v>
      </c>
      <c r="H211" s="258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8"/>
    </row>
    <row r="213" spans="1:8" ht="12.6" customHeight="1" x14ac:dyDescent="0.25">
      <c r="A213" s="173" t="s">
        <v>337</v>
      </c>
      <c r="B213" s="174">
        <v>152734600</v>
      </c>
      <c r="C213" s="189">
        <v>8116529</v>
      </c>
      <c r="D213" s="174">
        <v>26976382.82</v>
      </c>
      <c r="E213" s="175">
        <f t="shared" si="11"/>
        <v>133874746.18000001</v>
      </c>
      <c r="H213" s="258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>
        <v>11354276</v>
      </c>
      <c r="C215" s="189">
        <v>1047051</v>
      </c>
      <c r="D215" s="174">
        <v>1245343.5</v>
      </c>
      <c r="E215" s="175">
        <f t="shared" si="11"/>
        <v>11155983.5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294840911</v>
      </c>
      <c r="C217" s="191">
        <f>SUM(C208:C216)</f>
        <v>15846061</v>
      </c>
      <c r="D217" s="175">
        <f>SUM(D208:D216)</f>
        <v>27543290.93</v>
      </c>
      <c r="E217" s="175">
        <f>SUM(E208:E216)</f>
        <v>283143681.06999999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5" t="s">
        <v>1255</v>
      </c>
      <c r="C220" s="285"/>
      <c r="D220" s="208"/>
      <c r="E220" s="208"/>
    </row>
    <row r="221" spans="1:8" ht="12.6" customHeight="1" x14ac:dyDescent="0.25">
      <c r="A221" s="270" t="s">
        <v>1255</v>
      </c>
      <c r="B221" s="208"/>
      <c r="C221" s="189">
        <v>6033962</v>
      </c>
      <c r="D221" s="172">
        <f>C221</f>
        <v>6033962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409034707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138042660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14239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14679256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226769573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34829467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823369902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3380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5246472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8786143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14032615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v>3320132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3320132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846756611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17056828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136132803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98272944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4857302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5111387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3152917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68038293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>
        <v>4533643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40802789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45336432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10922072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5928900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146066196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46642924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152893689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16890638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4020772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383365191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283143681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100221510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6401125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7739032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14140157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227736392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11323851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21383532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4741366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10491904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1253393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4152086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53346132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>
        <v>6937197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438838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59532697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f>64924946.5+4152086</f>
        <v>69077032.5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135985764.5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4152086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131833678.5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42556581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227736391.5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227736392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522972486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675704638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1198677124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6033962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f>369545798+457144237-1</f>
        <v>826690034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14032615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846756611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351920513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15157690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15157690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367078203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163916586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35487810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3823584+10748174</f>
        <v>14571758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66341445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3382844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62823676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15846061+351527</f>
        <v>16197588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9892983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2453086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10637642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3668555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2630479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392004452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-24926249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223952+3668555</f>
        <v>3892507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-21033742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-21033742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UW Medicine/Northwest Hospital &amp; Medical Center   H-0     FYE 06/30/2018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9935</v>
      </c>
      <c r="C414" s="194">
        <f>E138</f>
        <v>9935</v>
      </c>
      <c r="D414" s="179"/>
    </row>
    <row r="415" spans="1:5" ht="12.6" customHeight="1" x14ac:dyDescent="0.25">
      <c r="A415" s="179" t="s">
        <v>464</v>
      </c>
      <c r="B415" s="179">
        <f>D111</f>
        <v>48653</v>
      </c>
      <c r="C415" s="179">
        <f>E139</f>
        <v>48653</v>
      </c>
      <c r="D415" s="194">
        <f>SUM(C59:H59)+N59</f>
        <v>46630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1078</v>
      </c>
    </row>
    <row r="424" spans="1:7" ht="12.6" customHeight="1" x14ac:dyDescent="0.25">
      <c r="A424" s="179" t="s">
        <v>1244</v>
      </c>
      <c r="B424" s="179">
        <f>D114</f>
        <v>1771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163916586</v>
      </c>
      <c r="C427" s="179">
        <f t="shared" ref="C427:C434" si="13">CE61</f>
        <v>163916586</v>
      </c>
      <c r="D427" s="179"/>
    </row>
    <row r="428" spans="1:7" ht="12.6" customHeight="1" x14ac:dyDescent="0.25">
      <c r="A428" s="179" t="s">
        <v>3</v>
      </c>
      <c r="B428" s="179">
        <f t="shared" si="12"/>
        <v>35487810</v>
      </c>
      <c r="C428" s="179">
        <f t="shared" si="13"/>
        <v>35487810</v>
      </c>
      <c r="D428" s="179">
        <f>D173</f>
        <v>35487813</v>
      </c>
    </row>
    <row r="429" spans="1:7" ht="12.6" customHeight="1" x14ac:dyDescent="0.25">
      <c r="A429" s="179" t="s">
        <v>236</v>
      </c>
      <c r="B429" s="179">
        <f t="shared" si="12"/>
        <v>14571758</v>
      </c>
      <c r="C429" s="179">
        <f t="shared" si="13"/>
        <v>14571758</v>
      </c>
      <c r="D429" s="179"/>
    </row>
    <row r="430" spans="1:7" ht="12.6" customHeight="1" x14ac:dyDescent="0.25">
      <c r="A430" s="179" t="s">
        <v>237</v>
      </c>
      <c r="B430" s="179">
        <f t="shared" si="12"/>
        <v>66341445</v>
      </c>
      <c r="C430" s="179">
        <f t="shared" si="13"/>
        <v>66341445</v>
      </c>
      <c r="D430" s="179"/>
    </row>
    <row r="431" spans="1:7" ht="12.6" customHeight="1" x14ac:dyDescent="0.25">
      <c r="A431" s="179" t="s">
        <v>444</v>
      </c>
      <c r="B431" s="179">
        <f t="shared" si="12"/>
        <v>3382844</v>
      </c>
      <c r="C431" s="179">
        <f t="shared" si="13"/>
        <v>3382844</v>
      </c>
      <c r="D431" s="179"/>
    </row>
    <row r="432" spans="1:7" ht="12.6" customHeight="1" x14ac:dyDescent="0.25">
      <c r="A432" s="179" t="s">
        <v>445</v>
      </c>
      <c r="B432" s="179">
        <f t="shared" si="12"/>
        <v>62823676</v>
      </c>
      <c r="C432" s="179">
        <f t="shared" si="13"/>
        <v>62823676</v>
      </c>
      <c r="D432" s="179"/>
    </row>
    <row r="433" spans="1:7" ht="12.6" customHeight="1" x14ac:dyDescent="0.25">
      <c r="A433" s="179" t="s">
        <v>6</v>
      </c>
      <c r="B433" s="179">
        <f t="shared" si="12"/>
        <v>16197588</v>
      </c>
      <c r="C433" s="179">
        <f t="shared" si="13"/>
        <v>16197588</v>
      </c>
      <c r="D433" s="179">
        <f>C217</f>
        <v>15846061</v>
      </c>
    </row>
    <row r="434" spans="1:7" ht="12.6" customHeight="1" x14ac:dyDescent="0.25">
      <c r="A434" s="179" t="s">
        <v>474</v>
      </c>
      <c r="B434" s="179">
        <f t="shared" si="12"/>
        <v>9892983</v>
      </c>
      <c r="C434" s="179">
        <f t="shared" si="13"/>
        <v>9862983</v>
      </c>
      <c r="D434" s="179">
        <f>D177</f>
        <v>9862983</v>
      </c>
    </row>
    <row r="435" spans="1:7" ht="12.6" customHeight="1" x14ac:dyDescent="0.25">
      <c r="A435" s="179" t="s">
        <v>447</v>
      </c>
      <c r="B435" s="179">
        <f t="shared" si="12"/>
        <v>2453086</v>
      </c>
      <c r="C435" s="179"/>
      <c r="D435" s="179">
        <f>D181</f>
        <v>2453086</v>
      </c>
    </row>
    <row r="436" spans="1:7" ht="12.6" customHeight="1" x14ac:dyDescent="0.25">
      <c r="A436" s="179" t="s">
        <v>475</v>
      </c>
      <c r="B436" s="179">
        <f t="shared" si="12"/>
        <v>10637642</v>
      </c>
      <c r="C436" s="179"/>
      <c r="D436" s="179">
        <f>D186</f>
        <v>10637642</v>
      </c>
    </row>
    <row r="437" spans="1:7" ht="12.6" customHeight="1" x14ac:dyDescent="0.25">
      <c r="A437" s="194" t="s">
        <v>449</v>
      </c>
      <c r="B437" s="194">
        <f t="shared" si="12"/>
        <v>3668555</v>
      </c>
      <c r="C437" s="194"/>
      <c r="D437" s="194">
        <f>D190</f>
        <v>3668555</v>
      </c>
    </row>
    <row r="438" spans="1:7" ht="12.6" customHeight="1" x14ac:dyDescent="0.25">
      <c r="A438" s="194" t="s">
        <v>476</v>
      </c>
      <c r="B438" s="194">
        <f>C386+C387+C388</f>
        <v>16759283</v>
      </c>
      <c r="C438" s="194">
        <f>CD69</f>
        <v>16759283</v>
      </c>
      <c r="D438" s="194">
        <f>D181+D186+D190</f>
        <v>16759283</v>
      </c>
    </row>
    <row r="439" spans="1:7" ht="12.6" customHeight="1" x14ac:dyDescent="0.25">
      <c r="A439" s="179" t="s">
        <v>451</v>
      </c>
      <c r="B439" s="194">
        <f>C389</f>
        <v>2630479</v>
      </c>
      <c r="C439" s="194">
        <f>SUM(C69:CC69)</f>
        <v>2630479</v>
      </c>
      <c r="D439" s="179"/>
    </row>
    <row r="440" spans="1:7" ht="12.6" customHeight="1" x14ac:dyDescent="0.25">
      <c r="A440" s="179" t="s">
        <v>477</v>
      </c>
      <c r="B440" s="194">
        <f>B438+B439</f>
        <v>19389762</v>
      </c>
      <c r="C440" s="194">
        <f>CE69</f>
        <v>19389762</v>
      </c>
      <c r="D440" s="179"/>
    </row>
    <row r="441" spans="1:7" ht="12.6" customHeight="1" x14ac:dyDescent="0.25">
      <c r="A441" s="179" t="s">
        <v>478</v>
      </c>
      <c r="B441" s="179">
        <f>D390</f>
        <v>392004452</v>
      </c>
      <c r="C441" s="179">
        <f>SUM(C427:C437)+C440</f>
        <v>391974452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6033962</v>
      </c>
      <c r="C444" s="179">
        <f>C363</f>
        <v>6033962</v>
      </c>
      <c r="D444" s="179"/>
    </row>
    <row r="445" spans="1:7" ht="12.6" customHeight="1" x14ac:dyDescent="0.25">
      <c r="A445" s="179" t="s">
        <v>343</v>
      </c>
      <c r="B445" s="179">
        <f>D229</f>
        <v>823369902</v>
      </c>
      <c r="C445" s="179">
        <f>C364</f>
        <v>826690034</v>
      </c>
      <c r="D445" s="179"/>
    </row>
    <row r="446" spans="1:7" ht="12.6" customHeight="1" x14ac:dyDescent="0.25">
      <c r="A446" s="179" t="s">
        <v>351</v>
      </c>
      <c r="B446" s="179">
        <f>D236</f>
        <v>14032615</v>
      </c>
      <c r="C446" s="179">
        <f>C365</f>
        <v>14032615</v>
      </c>
      <c r="D446" s="179"/>
    </row>
    <row r="447" spans="1:7" ht="12.6" customHeight="1" x14ac:dyDescent="0.25">
      <c r="A447" s="179" t="s">
        <v>356</v>
      </c>
      <c r="B447" s="179">
        <f>D240</f>
        <v>3320132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846756611</v>
      </c>
      <c r="C448" s="179">
        <f>D367</f>
        <v>846756611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3380</v>
      </c>
    </row>
    <row r="454" spans="1:7" ht="12.6" customHeight="1" x14ac:dyDescent="0.25">
      <c r="A454" s="179" t="s">
        <v>168</v>
      </c>
      <c r="B454" s="179">
        <f>C233</f>
        <v>5246472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8786143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15157690</v>
      </c>
      <c r="C458" s="194">
        <f>CE70</f>
        <v>15157690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522972486</v>
      </c>
      <c r="C463" s="194">
        <f>CE73</f>
        <v>522972486</v>
      </c>
      <c r="D463" s="194">
        <f>E141+E147+E153</f>
        <v>522972486.42000002</v>
      </c>
    </row>
    <row r="464" spans="1:7" ht="12.6" customHeight="1" x14ac:dyDescent="0.25">
      <c r="A464" s="179" t="s">
        <v>246</v>
      </c>
      <c r="B464" s="194">
        <f>C360</f>
        <v>675704638</v>
      </c>
      <c r="C464" s="194">
        <f>CE74</f>
        <v>675704638</v>
      </c>
      <c r="D464" s="194">
        <f>E142+E148+E154</f>
        <v>675704638.48000002</v>
      </c>
    </row>
    <row r="465" spans="1:7" ht="12.6" customHeight="1" x14ac:dyDescent="0.25">
      <c r="A465" s="179" t="s">
        <v>247</v>
      </c>
      <c r="B465" s="194">
        <f>D361</f>
        <v>1198677124</v>
      </c>
      <c r="C465" s="194">
        <f>CE75</f>
        <v>1198677124</v>
      </c>
      <c r="D465" s="194">
        <f>D463+D464</f>
        <v>1198677124.9000001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10922072</v>
      </c>
      <c r="C468" s="179">
        <f>E195</f>
        <v>10922072</v>
      </c>
      <c r="D468" s="179"/>
    </row>
    <row r="469" spans="1:7" ht="12.6" customHeight="1" x14ac:dyDescent="0.25">
      <c r="A469" s="179" t="s">
        <v>333</v>
      </c>
      <c r="B469" s="179">
        <f t="shared" si="14"/>
        <v>5928900</v>
      </c>
      <c r="C469" s="179">
        <f>E196</f>
        <v>5928900.4699999997</v>
      </c>
      <c r="D469" s="179"/>
    </row>
    <row r="470" spans="1:7" ht="12.6" customHeight="1" x14ac:dyDescent="0.25">
      <c r="A470" s="179" t="s">
        <v>334</v>
      </c>
      <c r="B470" s="179">
        <f t="shared" si="14"/>
        <v>146066196</v>
      </c>
      <c r="C470" s="179">
        <f>E197</f>
        <v>146066195.56</v>
      </c>
      <c r="D470" s="179"/>
    </row>
    <row r="471" spans="1:7" ht="12.6" customHeight="1" x14ac:dyDescent="0.25">
      <c r="A471" s="179" t="s">
        <v>494</v>
      </c>
      <c r="B471" s="179">
        <f t="shared" si="14"/>
        <v>46642924</v>
      </c>
      <c r="C471" s="179">
        <f>E198</f>
        <v>46642923.689999998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152893689</v>
      </c>
      <c r="C473" s="179">
        <f>SUM(E200:E201)</f>
        <v>152893689.74000001</v>
      </c>
      <c r="D473" s="179"/>
    </row>
    <row r="474" spans="1:7" ht="12.6" customHeight="1" x14ac:dyDescent="0.25">
      <c r="A474" s="179" t="s">
        <v>339</v>
      </c>
      <c r="B474" s="179">
        <f t="shared" si="14"/>
        <v>16890638</v>
      </c>
      <c r="C474" s="179">
        <f>E202</f>
        <v>16890638</v>
      </c>
      <c r="D474" s="179"/>
    </row>
    <row r="475" spans="1:7" ht="12.6" customHeight="1" x14ac:dyDescent="0.25">
      <c r="A475" s="179" t="s">
        <v>340</v>
      </c>
      <c r="B475" s="179">
        <f t="shared" si="14"/>
        <v>4020772</v>
      </c>
      <c r="C475" s="179">
        <f>E203</f>
        <v>4020771.7699999996</v>
      </c>
      <c r="D475" s="179"/>
    </row>
    <row r="476" spans="1:7" ht="12.6" customHeight="1" x14ac:dyDescent="0.25">
      <c r="A476" s="179" t="s">
        <v>203</v>
      </c>
      <c r="B476" s="179">
        <f>D275</f>
        <v>383365191</v>
      </c>
      <c r="C476" s="179">
        <f>E204</f>
        <v>383365191.23000002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283143681</v>
      </c>
      <c r="C478" s="179">
        <f>E217</f>
        <v>283143681.06999999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227736392</v>
      </c>
    </row>
    <row r="482" spans="1:12" ht="12.6" customHeight="1" x14ac:dyDescent="0.25">
      <c r="A482" s="180" t="s">
        <v>499</v>
      </c>
      <c r="C482" s="180">
        <f>D339</f>
        <v>227736391.5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130</v>
      </c>
      <c r="B493" s="260" t="str">
        <f>RIGHT('Prior Year'!C82,4)</f>
        <v>2017</v>
      </c>
      <c r="C493" s="260" t="str">
        <f>RIGHT(C82,4)</f>
        <v>2018</v>
      </c>
      <c r="D493" s="260" t="str">
        <f>RIGHT('Prior Year'!C82,4)</f>
        <v>2017</v>
      </c>
      <c r="E493" s="260" t="str">
        <f>RIGHT(C82,4)</f>
        <v>2018</v>
      </c>
      <c r="F493" s="260" t="str">
        <f>RIGHT('Prior Year'!C82,4)</f>
        <v>2017</v>
      </c>
      <c r="G493" s="260" t="str">
        <f>RIGHT(C82,4)</f>
        <v>2018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f>'Prior Year'!C71</f>
        <v>6712656</v>
      </c>
      <c r="C496" s="239">
        <f>C71</f>
        <v>6879693</v>
      </c>
      <c r="D496" s="239">
        <f>'Prior Year'!C59</f>
        <v>3924</v>
      </c>
      <c r="E496" s="180">
        <f>C59</f>
        <v>3701</v>
      </c>
      <c r="F496" s="262">
        <f t="shared" ref="F496:G511" si="15">IF(B496=0,"",IF(D496=0,"",B496/D496))</f>
        <v>1710.6666666666667</v>
      </c>
      <c r="G496" s="263">
        <f t="shared" si="15"/>
        <v>1858.8740880843015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f>'Prior Year'!D71</f>
        <v>4663172</v>
      </c>
      <c r="C497" s="239">
        <f>D71</f>
        <v>4883637</v>
      </c>
      <c r="D497" s="239">
        <f>'Prior Year'!D59</f>
        <v>4624</v>
      </c>
      <c r="E497" s="180">
        <f>D59</f>
        <v>4673</v>
      </c>
      <c r="F497" s="262">
        <f t="shared" si="15"/>
        <v>1008.4714532871973</v>
      </c>
      <c r="G497" s="262">
        <f t="shared" si="15"/>
        <v>1045.0753263428205</v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f>'Prior Year'!E71</f>
        <v>23630696</v>
      </c>
      <c r="C498" s="239">
        <f>E71</f>
        <v>24122210</v>
      </c>
      <c r="D498" s="239">
        <f>'Prior Year'!E59</f>
        <v>27526</v>
      </c>
      <c r="E498" s="180">
        <f>E59</f>
        <v>24237</v>
      </c>
      <c r="F498" s="262">
        <f t="shared" si="15"/>
        <v>858.48637651674778</v>
      </c>
      <c r="G498" s="262">
        <f t="shared" si="15"/>
        <v>995.26385278706107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f>'Prior Year'!F71</f>
        <v>7883366</v>
      </c>
      <c r="C499" s="239">
        <f>F71</f>
        <v>7949013</v>
      </c>
      <c r="D499" s="239">
        <f>'Prior Year'!F59</f>
        <v>4718</v>
      </c>
      <c r="E499" s="180">
        <f>F59</f>
        <v>4370</v>
      </c>
      <c r="F499" s="262">
        <f t="shared" si="15"/>
        <v>1670.9126748622298</v>
      </c>
      <c r="G499" s="262">
        <f t="shared" si="15"/>
        <v>1818.9961098398169</v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f>'Prior Year'!G71</f>
        <v>0</v>
      </c>
      <c r="C500" s="239">
        <f>G71</f>
        <v>0</v>
      </c>
      <c r="D500" s="239">
        <f>'Prior Year'!G59</f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f>'Prior Year'!H71</f>
        <v>6094603</v>
      </c>
      <c r="C501" s="239">
        <f>H71</f>
        <v>6040669</v>
      </c>
      <c r="D501" s="239">
        <f>'Prior Year'!H59</f>
        <v>9700</v>
      </c>
      <c r="E501" s="180">
        <f>H59</f>
        <v>9649</v>
      </c>
      <c r="F501" s="262">
        <f t="shared" si="15"/>
        <v>628.30958762886598</v>
      </c>
      <c r="G501" s="262">
        <f t="shared" si="15"/>
        <v>626.04093688465127</v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f>'Prior Year'!J71</f>
        <v>0</v>
      </c>
      <c r="C503" s="239">
        <f>J71</f>
        <v>0</v>
      </c>
      <c r="D503" s="239">
        <f>'Prior Year'!J59</f>
        <v>0</v>
      </c>
      <c r="E503" s="180">
        <f>J59</f>
        <v>0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f>'Prior Year'!O71</f>
        <v>0</v>
      </c>
      <c r="C508" s="239">
        <f>O71</f>
        <v>0</v>
      </c>
      <c r="D508" s="239">
        <f>'Prior Year'!O59</f>
        <v>0</v>
      </c>
      <c r="E508" s="180">
        <f>O59</f>
        <v>0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f>'Prior Year'!P71</f>
        <v>40119687</v>
      </c>
      <c r="C509" s="239">
        <f>P71</f>
        <v>42561288</v>
      </c>
      <c r="D509" s="239">
        <f>'Prior Year'!P59</f>
        <v>2203743</v>
      </c>
      <c r="E509" s="180">
        <f>P59</f>
        <v>2345649</v>
      </c>
      <c r="F509" s="262">
        <f t="shared" si="15"/>
        <v>18.205247617349212</v>
      </c>
      <c r="G509" s="262">
        <f t="shared" si="15"/>
        <v>18.144781252438026</v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f>'Prior Year'!Q71</f>
        <v>2499717</v>
      </c>
      <c r="C510" s="239">
        <f>Q71</f>
        <v>2717758</v>
      </c>
      <c r="D510" s="239">
        <f>'Prior Year'!Q59</f>
        <v>927131</v>
      </c>
      <c r="E510" s="180">
        <f>Q59</f>
        <v>888255</v>
      </c>
      <c r="F510" s="262">
        <f t="shared" si="15"/>
        <v>2.6961853287183795</v>
      </c>
      <c r="G510" s="262">
        <f t="shared" si="15"/>
        <v>3.0596596698020275</v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f>'Prior Year'!R71</f>
        <v>1496488</v>
      </c>
      <c r="C511" s="239">
        <f>R71</f>
        <v>1688695</v>
      </c>
      <c r="D511" s="239">
        <f>'Prior Year'!R59</f>
        <v>1084113</v>
      </c>
      <c r="E511" s="180">
        <f>R59</f>
        <v>1275752</v>
      </c>
      <c r="F511" s="262">
        <f t="shared" si="15"/>
        <v>1.3803800895294125</v>
      </c>
      <c r="G511" s="262">
        <f t="shared" si="15"/>
        <v>1.3236859515015458</v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f>'Prior Year'!S71</f>
        <v>2134033</v>
      </c>
      <c r="C512" s="239">
        <f>S71</f>
        <v>2335601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f>'Prior Year'!T71</f>
        <v>1191847</v>
      </c>
      <c r="C513" s="239">
        <f>T71</f>
        <v>1276669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f>'Prior Year'!U71</f>
        <v>13699247</v>
      </c>
      <c r="C514" s="239">
        <f>U71</f>
        <v>13923926</v>
      </c>
      <c r="D514" s="239">
        <f>'Prior Year'!U59</f>
        <v>859418</v>
      </c>
      <c r="E514" s="180">
        <f>U59</f>
        <v>851993</v>
      </c>
      <c r="F514" s="262">
        <f t="shared" si="17"/>
        <v>15.940144376775912</v>
      </c>
      <c r="G514" s="262">
        <f t="shared" si="17"/>
        <v>16.342770421822713</v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f>'Prior Year'!V71</f>
        <v>737547</v>
      </c>
      <c r="C515" s="239">
        <f>V71</f>
        <v>711481</v>
      </c>
      <c r="D515" s="239">
        <f>'Prior Year'!V59</f>
        <v>21780</v>
      </c>
      <c r="E515" s="180">
        <f>V59</f>
        <v>22658</v>
      </c>
      <c r="F515" s="262">
        <f t="shared" si="17"/>
        <v>33.863498622589532</v>
      </c>
      <c r="G515" s="262">
        <f t="shared" si="17"/>
        <v>31.400873863536059</v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f>'Prior Year'!W71</f>
        <v>2114756</v>
      </c>
      <c r="C516" s="239">
        <f>W71</f>
        <v>1722061</v>
      </c>
      <c r="D516" s="239">
        <f>'Prior Year'!W59</f>
        <v>7483</v>
      </c>
      <c r="E516" s="180">
        <f>W59</f>
        <v>7718</v>
      </c>
      <c r="F516" s="262">
        <f t="shared" si="17"/>
        <v>282.60804490177736</v>
      </c>
      <c r="G516" s="262">
        <f t="shared" si="17"/>
        <v>223.12270018139415</v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f>'Prior Year'!X71</f>
        <v>1731608</v>
      </c>
      <c r="C517" s="239">
        <f>X71</f>
        <v>1817207</v>
      </c>
      <c r="D517" s="239">
        <f>'Prior Year'!X59</f>
        <v>18577</v>
      </c>
      <c r="E517" s="180">
        <f>X59</f>
        <v>20016</v>
      </c>
      <c r="F517" s="262">
        <f t="shared" si="17"/>
        <v>93.212467029122038</v>
      </c>
      <c r="G517" s="262">
        <f t="shared" si="17"/>
        <v>90.787719824140694</v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f>'Prior Year'!Y71</f>
        <v>15710832</v>
      </c>
      <c r="C518" s="239">
        <f>Y71</f>
        <v>14440504</v>
      </c>
      <c r="D518" s="239">
        <f>'Prior Year'!Y59</f>
        <v>77345</v>
      </c>
      <c r="E518" s="180">
        <f>Y59</f>
        <v>78281</v>
      </c>
      <c r="F518" s="262">
        <f t="shared" si="17"/>
        <v>203.1266662356972</v>
      </c>
      <c r="G518" s="262">
        <f t="shared" si="17"/>
        <v>184.47010130172072</v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f>'Prior Year'!Z71</f>
        <v>-101555</v>
      </c>
      <c r="C519" s="239">
        <f>Z71</f>
        <v>-395343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f>'Prior Year'!AA71</f>
        <v>516887</v>
      </c>
      <c r="C520" s="239">
        <f>AA71</f>
        <v>575194</v>
      </c>
      <c r="D520" s="239">
        <f>'Prior Year'!AA59</f>
        <v>849</v>
      </c>
      <c r="E520" s="180">
        <f>AA59</f>
        <v>824</v>
      </c>
      <c r="F520" s="262">
        <f t="shared" si="17"/>
        <v>608.81861012956415</v>
      </c>
      <c r="G520" s="262">
        <f t="shared" si="17"/>
        <v>698.05097087378635</v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f>'Prior Year'!AB71</f>
        <v>16093061</v>
      </c>
      <c r="C521" s="239">
        <f>AB71</f>
        <v>15603512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f>'Prior Year'!AC71</f>
        <v>2175264</v>
      </c>
      <c r="C522" s="239">
        <f>AC71</f>
        <v>2159049</v>
      </c>
      <c r="D522" s="239">
        <f>'Prior Year'!AC59</f>
        <v>25617</v>
      </c>
      <c r="E522" s="180">
        <f>AC59</f>
        <v>30302</v>
      </c>
      <c r="F522" s="262">
        <f t="shared" si="17"/>
        <v>84.914861224967794</v>
      </c>
      <c r="G522" s="262">
        <f t="shared" si="17"/>
        <v>71.251039535344205</v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f>'Prior Year'!AD71</f>
        <v>0</v>
      </c>
      <c r="C523" s="239">
        <f>AD71</f>
        <v>0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f>'Prior Year'!AE71</f>
        <v>3851239</v>
      </c>
      <c r="C524" s="239">
        <f>AE71</f>
        <v>3528432</v>
      </c>
      <c r="D524" s="239">
        <f>'Prior Year'!AE59</f>
        <v>77568</v>
      </c>
      <c r="E524" s="180">
        <f>AE59</f>
        <v>72926</v>
      </c>
      <c r="F524" s="262">
        <f t="shared" si="17"/>
        <v>49.649842718646866</v>
      </c>
      <c r="G524" s="262">
        <f t="shared" si="17"/>
        <v>48.383731453802483</v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f>'Prior Year'!AG71</f>
        <v>7581562</v>
      </c>
      <c r="C526" s="239">
        <f>AG71</f>
        <v>7989553</v>
      </c>
      <c r="D526" s="239">
        <f>'Prior Year'!AG59</f>
        <v>34150</v>
      </c>
      <c r="E526" s="180">
        <f>AG59</f>
        <v>33651</v>
      </c>
      <c r="F526" s="262">
        <f t="shared" si="17"/>
        <v>222.00767203513908</v>
      </c>
      <c r="G526" s="262">
        <f t="shared" si="17"/>
        <v>237.42393985319902</v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f>'Prior Year'!AJ71</f>
        <v>86530333</v>
      </c>
      <c r="C529" s="239">
        <f>AJ71</f>
        <v>87822505</v>
      </c>
      <c r="D529" s="239">
        <f>'Prior Year'!AJ59</f>
        <v>187592</v>
      </c>
      <c r="E529" s="180">
        <f>AJ59</f>
        <v>149544</v>
      </c>
      <c r="F529" s="262">
        <f t="shared" si="18"/>
        <v>461.26878011855518</v>
      </c>
      <c r="G529" s="262">
        <f t="shared" si="18"/>
        <v>587.26866340341303</v>
      </c>
      <c r="H529" s="264">
        <f t="shared" si="16"/>
        <v>0.27315935679079217</v>
      </c>
      <c r="I529" s="266" t="s">
        <v>1282</v>
      </c>
      <c r="K529" s="260"/>
      <c r="L529" s="260"/>
    </row>
    <row r="530" spans="1:12" ht="12.6" customHeight="1" x14ac:dyDescent="0.25">
      <c r="A530" s="180" t="s">
        <v>546</v>
      </c>
      <c r="B530" s="239">
        <f>'Prior Year'!AK71</f>
        <v>1718909</v>
      </c>
      <c r="C530" s="239">
        <f>AK71</f>
        <v>1709542</v>
      </c>
      <c r="D530" s="239">
        <f>'Prior Year'!AK59</f>
        <v>40090</v>
      </c>
      <c r="E530" s="180">
        <f>AK59</f>
        <v>42405</v>
      </c>
      <c r="F530" s="262">
        <f t="shared" si="18"/>
        <v>42.876253429782992</v>
      </c>
      <c r="G530" s="262">
        <f t="shared" si="18"/>
        <v>40.314632708407025</v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f>'Prior Year'!AL71</f>
        <v>570071</v>
      </c>
      <c r="C531" s="239">
        <f>AL71</f>
        <v>499483</v>
      </c>
      <c r="D531" s="239">
        <f>'Prior Year'!AL59</f>
        <v>13108</v>
      </c>
      <c r="E531" s="180">
        <f>AL59</f>
        <v>7269</v>
      </c>
      <c r="F531" s="262">
        <f t="shared" si="18"/>
        <v>43.490311260299052</v>
      </c>
      <c r="G531" s="262">
        <f t="shared" si="18"/>
        <v>68.714128490851564</v>
      </c>
      <c r="H531" s="264">
        <f t="shared" si="16"/>
        <v>0.57998704768017029</v>
      </c>
      <c r="I531" s="266" t="s">
        <v>1283</v>
      </c>
      <c r="K531" s="260"/>
      <c r="L531" s="260"/>
    </row>
    <row r="532" spans="1:12" ht="12.6" customHeight="1" x14ac:dyDescent="0.25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f>'Prior Year'!AP71</f>
        <v>0</v>
      </c>
      <c r="C535" s="239">
        <f>AP71</f>
        <v>0</v>
      </c>
      <c r="D535" s="239">
        <f>'Prior Year'!AP59</f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f>'Prior Year'!AV71</f>
        <v>11904532</v>
      </c>
      <c r="C541" s="239">
        <f>AV71</f>
        <v>12673199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f>'Prior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f>'Prior Year'!AY71</f>
        <v>1111808.7138041803</v>
      </c>
      <c r="C544" s="239">
        <f>AY71</f>
        <v>1106861.7624192643</v>
      </c>
      <c r="D544" s="239">
        <f>'Prior Year'!AY59</f>
        <v>208031</v>
      </c>
      <c r="E544" s="180">
        <f>AY59</f>
        <v>193845</v>
      </c>
      <c r="F544" s="262">
        <f t="shared" ref="F544:G550" si="19">IF(B544=0,"",IF(D544=0,"",B544/D544))</f>
        <v>5.344437674212883</v>
      </c>
      <c r="G544" s="262">
        <f t="shared" si="19"/>
        <v>5.7100351436419006</v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f>'Prior Year'!AZ71</f>
        <v>2361522.2861958211</v>
      </c>
      <c r="C545" s="239">
        <f>AZ71</f>
        <v>2573500.2375807357</v>
      </c>
      <c r="D545" s="239">
        <f>'Prior Year'!AZ59</f>
        <v>441678</v>
      </c>
      <c r="E545" s="180">
        <f>AZ59</f>
        <v>450698</v>
      </c>
      <c r="F545" s="262">
        <f t="shared" si="19"/>
        <v>5.3467057136552443</v>
      </c>
      <c r="G545" s="262">
        <f t="shared" si="19"/>
        <v>5.7100325219564665</v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f>'Prior Year'!BA71</f>
        <v>68965</v>
      </c>
      <c r="C546" s="239">
        <f>BA71</f>
        <v>60488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f>'Prior Year'!BB71</f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f>'Prior Year'!BD71</f>
        <v>2165532</v>
      </c>
      <c r="C549" s="239">
        <f>BD71</f>
        <v>2366130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f>'Prior Year'!BE71</f>
        <v>8231983</v>
      </c>
      <c r="C550" s="239">
        <f>BE71</f>
        <v>7851020</v>
      </c>
      <c r="D550" s="239">
        <f>'Prior Year'!BE59</f>
        <v>435312</v>
      </c>
      <c r="E550" s="180">
        <f>BE59</f>
        <v>433631</v>
      </c>
      <c r="F550" s="262">
        <f t="shared" si="19"/>
        <v>18.910535432057927</v>
      </c>
      <c r="G550" s="262">
        <f t="shared" si="19"/>
        <v>18.10530151211514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f>'Prior Year'!BF71</f>
        <v>3770508</v>
      </c>
      <c r="C551" s="239">
        <f>BF71</f>
        <v>3833027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f>'Prior Year'!BG71</f>
        <v>0</v>
      </c>
      <c r="C552" s="239">
        <f>BG71</f>
        <v>0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f>'Prior Year'!BH71</f>
        <v>10356698</v>
      </c>
      <c r="C553" s="239">
        <f>BH71</f>
        <v>8367844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f>'Prior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f>'Prior Year'!BJ71</f>
        <v>1793448</v>
      </c>
      <c r="C555" s="239">
        <f>BJ71</f>
        <v>1238409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f>'Prior Year'!BK71</f>
        <v>3271534</v>
      </c>
      <c r="C556" s="239">
        <f>BK71</f>
        <v>2641105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f>'Prior Year'!BL71</f>
        <v>4678585</v>
      </c>
      <c r="C557" s="239">
        <f>BL71</f>
        <v>4785080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f>'Prior Year'!BN71</f>
        <v>31420777</v>
      </c>
      <c r="C559" s="239">
        <f>BN71</f>
        <v>33700784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f>'Prior Year'!BO71</f>
        <v>714918</v>
      </c>
      <c r="C560" s="239">
        <f>BO71</f>
        <v>472883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f>'Prior Year'!BP71</f>
        <v>1692068</v>
      </c>
      <c r="C561" s="239">
        <f>BP71</f>
        <v>2017029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f>'Prior Year'!BR71</f>
        <v>4137163</v>
      </c>
      <c r="C563" s="239">
        <f>BR71</f>
        <v>3615723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f>'Prior Year'!BS71</f>
        <v>83545</v>
      </c>
      <c r="C564" s="239">
        <f>BS71</f>
        <v>84094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f>'Prior Year'!BT71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f>'Prior Year'!BV71</f>
        <v>3453281</v>
      </c>
      <c r="C567" s="239">
        <f>BV71</f>
        <v>3435859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f>'Prior Year'!BW71</f>
        <v>1051988</v>
      </c>
      <c r="C568" s="239">
        <f>BW71</f>
        <v>1142816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f>'Prior Year'!BX71</f>
        <v>6161601</v>
      </c>
      <c r="C569" s="239">
        <f>BX71</f>
        <v>6418345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f>'Prior Year'!BY71</f>
        <v>2009119</v>
      </c>
      <c r="C570" s="239">
        <f>BY71</f>
        <v>1731976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f>'Prior Year'!CA71</f>
        <v>3982027</v>
      </c>
      <c r="C572" s="239">
        <f>CA71</f>
        <v>3905374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f>'Prior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f>'Prior Year'!CC71</f>
        <v>761407</v>
      </c>
      <c r="C574" s="239">
        <f>CC71</f>
        <v>3473593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f>'Prior Year'!CD71</f>
        <v>17061993</v>
      </c>
      <c r="C575" s="239">
        <f>CD71</f>
        <v>16759283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425414</v>
      </c>
      <c r="E612" s="180">
        <f>SUM(C624:D647)+SUM(C668:D713)</f>
        <v>336048465.23199755</v>
      </c>
      <c r="F612" s="180">
        <f>CE64-(AX64+BD64+BE64+BG64+BJ64+BN64+BP64+BQ64+CB64+CC64+CD64)</f>
        <v>65120757</v>
      </c>
      <c r="G612" s="180">
        <f>CE77-(AX77+AY77+BD77+BE77+BG77+BJ77+BN77+BP77+BQ77+CB77+CC77+CD77)</f>
        <v>193845</v>
      </c>
      <c r="H612" s="197">
        <f>CE60-(AX60+AY60+AZ60+BD60+BE60+BG60+BJ60+BN60+BO60+BP60+BQ60+BR60+CB60+CC60+CD60)</f>
        <v>1701.6499999999999</v>
      </c>
      <c r="I612" s="180">
        <f>CE78-(AX78+AY78+AZ78+BD78+BE78+BF78+BG78+BJ78+BN78+BO78+BP78+BQ78+BR78+CB78+CC78+CD78)</f>
        <v>107186</v>
      </c>
      <c r="J612" s="180">
        <f>CE79-(AX79+AY79+AZ79+BA79+BD79+BE79+BF79+BG79+BJ79+BN79+BO79+BP79+BQ79+BR79+CB79+CC79+CD79)</f>
        <v>2291715</v>
      </c>
      <c r="K612" s="180">
        <f>CE75-(AW75+AX75+AY75+AZ75+BA75+BB75+BC75+BD75+BE75+BF75+BG75+BH75+BI75+BJ75+BK75+BL75+BM75+BN75+BO75+BP75+BQ75+BR75+BS75+BT75+BU75+BV75+BW75+BX75+CB75+CC75+CD75)</f>
        <v>1198677124</v>
      </c>
      <c r="L612" s="197">
        <f>CE80-(AW80+AX80+AY80+AZ80+BA80+BB80+BC80+BD80+BE80+BF80+BG80+BH80+BI80+BJ80+BK80+BL80+BM80+BN80+BO80+BP80+BQ80+BR80+BS80+BT80+BU80+BV80+BW80+BX80+BY80+BZ80+CA80+CB80+CC80+CD80)</f>
        <v>571.91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7851020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1">
        <f>CD69-CD70</f>
        <v>16759283</v>
      </c>
      <c r="D615" s="265">
        <f>SUM(C614:C615)</f>
        <v>24610303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1238409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33700784</v>
      </c>
      <c r="D619" s="180">
        <f>(D615/D612)*BN76</f>
        <v>85329.107469429771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3473593</v>
      </c>
      <c r="D620" s="180">
        <f>(D615/D612)*CC76</f>
        <v>98171.861271608359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2017029</v>
      </c>
      <c r="D621" s="180">
        <f>(D615/D612)*BP76</f>
        <v>154980.79926142533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40768296.768002465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2366130</v>
      </c>
      <c r="D624" s="180">
        <f>(D615/D612)*BD76</f>
        <v>268598.67524105927</v>
      </c>
      <c r="E624" s="180">
        <f>(E623/E612)*SUM(C624:D624)</f>
        <v>319636.63473730959</v>
      </c>
      <c r="F624" s="180">
        <f>SUM(C624:E624)</f>
        <v>2954365.3099783687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1106861.7624192643</v>
      </c>
      <c r="D625" s="180">
        <f>(D615/D612)*AY76</f>
        <v>251371.26048228369</v>
      </c>
      <c r="E625" s="180">
        <f>(E623/E612)*SUM(C625:D625)</f>
        <v>164776.37212097869</v>
      </c>
      <c r="F625" s="180">
        <f>(F624/F612)*AY64</f>
        <v>16431.659513095783</v>
      </c>
      <c r="G625" s="180">
        <f>SUM(C625:F625)</f>
        <v>1539441.0545356227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3615723</v>
      </c>
      <c r="D626" s="180">
        <f>(D615/D612)*BR76</f>
        <v>217285.51027469712</v>
      </c>
      <c r="E626" s="180">
        <f>(E623/E612)*SUM(C626:D626)</f>
        <v>465008.01113100501</v>
      </c>
      <c r="F626" s="180">
        <f>(F624/F612)*BR64</f>
        <v>503.44303959534682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472883</v>
      </c>
      <c r="D627" s="180">
        <f>(D615/D612)*BO76</f>
        <v>0</v>
      </c>
      <c r="E627" s="180">
        <f>(E623/E612)*SUM(C627:D627)</f>
        <v>57368.613385078046</v>
      </c>
      <c r="F627" s="180">
        <f>(F624/F612)*BO64</f>
        <v>1319.1505147619987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2573500.2375807357</v>
      </c>
      <c r="D628" s="180">
        <f>(D615/D612)*AZ76</f>
        <v>584449.04102166311</v>
      </c>
      <c r="E628" s="180">
        <f>(E623/E612)*SUM(C628:D628)</f>
        <v>383112.04093576455</v>
      </c>
      <c r="F628" s="180">
        <f>(F624/F612)*AZ64</f>
        <v>38204.318291589894</v>
      </c>
      <c r="G628" s="180">
        <f>(G625/G612)*AZ77</f>
        <v>0</v>
      </c>
      <c r="H628" s="180">
        <f>SUM(C626:G628)</f>
        <v>8409356.3661748916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3833027</v>
      </c>
      <c r="D629" s="180">
        <f>(D615/D612)*BF76</f>
        <v>238690.09994499476</v>
      </c>
      <c r="E629" s="180">
        <f>(E623/E612)*SUM(C629:D629)</f>
        <v>493967.35370092728</v>
      </c>
      <c r="F629" s="180">
        <f>(F624/F612)*BF64</f>
        <v>12624.9559290504</v>
      </c>
      <c r="G629" s="180">
        <f>(G625/G612)*BF77</f>
        <v>0</v>
      </c>
      <c r="H629" s="180">
        <f>(H628/H612)*BF60</f>
        <v>296167.08901646122</v>
      </c>
      <c r="I629" s="180">
        <f>SUM(C629:H629)</f>
        <v>4874476.4985914333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60488</v>
      </c>
      <c r="D630" s="180">
        <f>(D615/D612)*BA76</f>
        <v>0</v>
      </c>
      <c r="E630" s="180">
        <f>(E623/E612)*SUM(C630:D630)</f>
        <v>7338.2056162657591</v>
      </c>
      <c r="F630" s="180">
        <f>(F624/F612)*BA64</f>
        <v>0</v>
      </c>
      <c r="G630" s="180">
        <f>(G625/G612)*BA77</f>
        <v>0</v>
      </c>
      <c r="H630" s="180">
        <f>(H628/H612)*BA60</f>
        <v>6424.4487856065352</v>
      </c>
      <c r="I630" s="180">
        <f>(I629/I612)*BA78</f>
        <v>0</v>
      </c>
      <c r="J630" s="180">
        <f>SUM(C630:I630)</f>
        <v>74250.654401872293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2641105</v>
      </c>
      <c r="D635" s="180">
        <f>(D615/D612)*BK76</f>
        <v>296366.79157009406</v>
      </c>
      <c r="E635" s="180">
        <f>(E623/E612)*SUM(C635:D635)</f>
        <v>356364.43589673826</v>
      </c>
      <c r="F635" s="180">
        <f>(F624/F612)*BK64</f>
        <v>1048.1251278517884</v>
      </c>
      <c r="G635" s="180">
        <f>(G625/G612)*BK77</f>
        <v>0</v>
      </c>
      <c r="H635" s="180">
        <f>(H628/H612)*BK60</f>
        <v>147861.15974257502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8367844</v>
      </c>
      <c r="D636" s="180">
        <f>(D615/D612)*BH76</f>
        <v>884588.05580681411</v>
      </c>
      <c r="E636" s="180">
        <f>(E623/E612)*SUM(C636:D636)</f>
        <v>1122474.6871452008</v>
      </c>
      <c r="F636" s="180">
        <f>(F624/F612)*BH64</f>
        <v>801.77965565184866</v>
      </c>
      <c r="G636" s="180">
        <f>(G625/G612)*BH77</f>
        <v>0</v>
      </c>
      <c r="H636" s="180">
        <f>(H628/H612)*BH60</f>
        <v>41116.472227881823</v>
      </c>
      <c r="I636" s="180">
        <f>(I629/I612)*BH78</f>
        <v>80539.416332407491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4785080</v>
      </c>
      <c r="D637" s="180">
        <f>(D615/D612)*BL76</f>
        <v>522850.49037878396</v>
      </c>
      <c r="E637" s="180">
        <f>(E623/E612)*SUM(C637:D637)</f>
        <v>643940.70452396933</v>
      </c>
      <c r="F637" s="180">
        <f>(F624/F612)*BL64</f>
        <v>4234.1932349710114</v>
      </c>
      <c r="G637" s="180">
        <f>(G625/G612)*BL77</f>
        <v>0</v>
      </c>
      <c r="H637" s="180">
        <f>(H628/H612)*BL60</f>
        <v>380673.29996559338</v>
      </c>
      <c r="I637" s="180">
        <f>(I629/I612)*BL78</f>
        <v>84541.374907930833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84094</v>
      </c>
      <c r="D639" s="180">
        <f>(D615/D612)*BS76</f>
        <v>0</v>
      </c>
      <c r="E639" s="180">
        <f>(E623/E612)*SUM(C639:D639)</f>
        <v>10202.008052741912</v>
      </c>
      <c r="F639" s="180">
        <f>(F624/F612)*BS64</f>
        <v>63.378383915896144</v>
      </c>
      <c r="G639" s="180">
        <f>(G625/G612)*BS77</f>
        <v>0</v>
      </c>
      <c r="H639" s="180">
        <f>(H628/H612)*BS60</f>
        <v>4941.8836812357958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3435859</v>
      </c>
      <c r="D642" s="180">
        <f>(D615/D612)*BV76</f>
        <v>318118.48269450467</v>
      </c>
      <c r="E642" s="180">
        <f>(E623/E612)*SUM(C642:D642)</f>
        <v>455420.22627370735</v>
      </c>
      <c r="F642" s="180">
        <f>(F624/F612)*BV64</f>
        <v>701.154562219166</v>
      </c>
      <c r="G642" s="180">
        <f>(G625/G612)*BV77</f>
        <v>0</v>
      </c>
      <c r="H642" s="180">
        <f>(H628/H612)*BV60</f>
        <v>178550.25740304933</v>
      </c>
      <c r="I642" s="180">
        <f>(I629/I612)*BV78</f>
        <v>119149.22122580893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1142816</v>
      </c>
      <c r="D643" s="180">
        <f>(D615/D612)*BW76</f>
        <v>131609.3013511544</v>
      </c>
      <c r="E643" s="180">
        <f>(E623/E612)*SUM(C643:D643)</f>
        <v>154609.09443007247</v>
      </c>
      <c r="F643" s="180">
        <f>(F624/F612)*BW64</f>
        <v>118.1369446793082</v>
      </c>
      <c r="G643" s="180">
        <f>(G625/G612)*BW77</f>
        <v>0</v>
      </c>
      <c r="H643" s="180">
        <f>(H628/H612)*BW60</f>
        <v>28020.480472606963</v>
      </c>
      <c r="I643" s="180">
        <f>(I629/I612)*BW78</f>
        <v>49296.853362128582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6418345</v>
      </c>
      <c r="D644" s="180">
        <f>(D615/D612)*BX76</f>
        <v>223938.28814519502</v>
      </c>
      <c r="E644" s="180">
        <f>(E623/E612)*SUM(C644:D644)</f>
        <v>805820.00611518417</v>
      </c>
      <c r="F644" s="180">
        <f>(F624/F612)*BX64</f>
        <v>683.73344595309288</v>
      </c>
      <c r="G644" s="180">
        <f>(G625/G612)*BX77</f>
        <v>0</v>
      </c>
      <c r="H644" s="180">
        <f>(H628/H612)*BX60</f>
        <v>228611.53909396791</v>
      </c>
      <c r="I644" s="180">
        <f>(I629/I612)*BX78</f>
        <v>54845.023205467776</v>
      </c>
      <c r="J644" s="180">
        <f>(J630/J612)*BX79</f>
        <v>0</v>
      </c>
      <c r="K644" s="180">
        <f>SUM(C631:J644)</f>
        <v>34207243.055360056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1731976</v>
      </c>
      <c r="D645" s="180">
        <f>(D615/D612)*BY76</f>
        <v>56924.638474521293</v>
      </c>
      <c r="E645" s="180">
        <f>(E623/E612)*SUM(C645:D645)</f>
        <v>217023.55363369815</v>
      </c>
      <c r="F645" s="180">
        <f>(F624/F612)*BY64</f>
        <v>474.90688821159688</v>
      </c>
      <c r="G645" s="180">
        <f>(G625/G612)*BY77</f>
        <v>0</v>
      </c>
      <c r="H645" s="180">
        <f>(H628/H612)*BY60</f>
        <v>57671.78256002174</v>
      </c>
      <c r="I645" s="180">
        <f>(I629/I612)*BY78</f>
        <v>21328.620135459689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3905374</v>
      </c>
      <c r="D647" s="180">
        <f>(D615/D612)*CA76</f>
        <v>340969.32842360617</v>
      </c>
      <c r="E647" s="180">
        <f>(E623/E612)*SUM(C647:D647)</f>
        <v>515152.43455281615</v>
      </c>
      <c r="F647" s="180">
        <f>(F624/F612)*CA64</f>
        <v>1984.2379222115601</v>
      </c>
      <c r="G647" s="180">
        <f>(G625/G612)*CA77</f>
        <v>0</v>
      </c>
      <c r="H647" s="180">
        <f>(H628/H612)*CA60</f>
        <v>128143.04385444419</v>
      </c>
      <c r="I647" s="180">
        <f>(I629/I612)*CA78</f>
        <v>127698.86000079064</v>
      </c>
      <c r="J647" s="180">
        <f>(J630/J612)*CA79</f>
        <v>0</v>
      </c>
      <c r="K647" s="180">
        <v>0</v>
      </c>
      <c r="L647" s="180">
        <f>SUM(C645:K647)</f>
        <v>7104721.4064457808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111581224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6879693</v>
      </c>
      <c r="D668" s="180">
        <f>(D615/D612)*C76</f>
        <v>463901.0934219372</v>
      </c>
      <c r="E668" s="180">
        <f>(E623/E612)*SUM(C668:D668)</f>
        <v>890900.731052852</v>
      </c>
      <c r="F668" s="180">
        <f>(F624/F612)*C64</f>
        <v>20993.851492816648</v>
      </c>
      <c r="G668" s="180">
        <f>(G625/G612)*C77</f>
        <v>112921.72794986726</v>
      </c>
      <c r="H668" s="180">
        <f>(H628/H612)*C60</f>
        <v>257373.30211876024</v>
      </c>
      <c r="I668" s="180">
        <f>(I629/I612)*C78</f>
        <v>173721.3836193092</v>
      </c>
      <c r="J668" s="180">
        <f>(J630/J612)*C79</f>
        <v>4567.7283205941221</v>
      </c>
      <c r="K668" s="180">
        <f>(K644/K612)*C75</f>
        <v>695501.57205111359</v>
      </c>
      <c r="L668" s="180">
        <f>(L647/L612)*C80</f>
        <v>517036.780151201</v>
      </c>
      <c r="M668" s="180">
        <f t="shared" ref="M668:M713" si="20">ROUND(SUM(D668:L668),0)</f>
        <v>3136918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4883637</v>
      </c>
      <c r="D669" s="180">
        <f>(D615/D612)*D76</f>
        <v>475644.69261942484</v>
      </c>
      <c r="E669" s="180">
        <f>(E623/E612)*SUM(C669:D669)</f>
        <v>650170.4638263809</v>
      </c>
      <c r="F669" s="180">
        <f>(F624/F612)*D64</f>
        <v>6874.8080064990963</v>
      </c>
      <c r="G669" s="180">
        <f>(G625/G612)*D77</f>
        <v>142917.18237469663</v>
      </c>
      <c r="H669" s="180">
        <f>(H628/H612)*D60</f>
        <v>223966.16843360628</v>
      </c>
      <c r="I669" s="180">
        <f>(I629/I612)*D78</f>
        <v>178132.63341278382</v>
      </c>
      <c r="J669" s="180">
        <f>(J630/J612)*D79</f>
        <v>0</v>
      </c>
      <c r="K669" s="180">
        <f>(K644/K612)*D75</f>
        <v>649411.80453754775</v>
      </c>
      <c r="L669" s="180">
        <f>(L647/L612)*D80</f>
        <v>430574.11821337399</v>
      </c>
      <c r="M669" s="180">
        <f t="shared" si="20"/>
        <v>2757692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24122210</v>
      </c>
      <c r="D670" s="180">
        <f>(D615/D612)*E76</f>
        <v>2761828.4201342692</v>
      </c>
      <c r="E670" s="180">
        <f>(E623/E612)*SUM(C670:D670)</f>
        <v>3261483.297886089</v>
      </c>
      <c r="F670" s="180">
        <f>(F624/F612)*E64</f>
        <v>43243.520483969674</v>
      </c>
      <c r="G670" s="180">
        <f>(G625/G612)*E77</f>
        <v>856597.75090573053</v>
      </c>
      <c r="H670" s="180">
        <f>(H628/H612)*E60</f>
        <v>1082321.9450274515</v>
      </c>
      <c r="I670" s="180">
        <f>(I629/I612)*E78</f>
        <v>1034278.907762814</v>
      </c>
      <c r="J670" s="180">
        <f>(J630/J612)*E79</f>
        <v>13629.508266333823</v>
      </c>
      <c r="K670" s="180">
        <f>(K644/K612)*E75</f>
        <v>2523533.8012615452</v>
      </c>
      <c r="L670" s="180">
        <f>(L647/L612)*E80</f>
        <v>2371884.4890501881</v>
      </c>
      <c r="M670" s="180">
        <f t="shared" si="20"/>
        <v>13948802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7949013</v>
      </c>
      <c r="D671" s="180">
        <f>(D615/D612)*F76</f>
        <v>795151.58113038121</v>
      </c>
      <c r="E671" s="180">
        <f>(E623/E612)*SUM(C671:D671)</f>
        <v>1060813.3454371626</v>
      </c>
      <c r="F671" s="180">
        <f>(F624/F612)*F64</f>
        <v>16564.804887109218</v>
      </c>
      <c r="G671" s="180">
        <f>(G625/G612)*F77</f>
        <v>132601.03323573625</v>
      </c>
      <c r="H671" s="180">
        <f>(H628/H612)*F60</f>
        <v>274669.89500308555</v>
      </c>
      <c r="I671" s="180">
        <f>(I629/I612)*F78</f>
        <v>297782.09946053318</v>
      </c>
      <c r="J671" s="180">
        <f>(J630/J612)*F79</f>
        <v>3999.3420988466337</v>
      </c>
      <c r="K671" s="180">
        <f>(K644/K612)*F75</f>
        <v>557856.49868740735</v>
      </c>
      <c r="L671" s="180">
        <f>(L647/L612)*F80</f>
        <v>500638.68909402692</v>
      </c>
      <c r="M671" s="180">
        <f t="shared" si="20"/>
        <v>3640077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6040669</v>
      </c>
      <c r="D673" s="180">
        <f>(D615/D612)*H76</f>
        <v>863357.01686357288</v>
      </c>
      <c r="E673" s="180">
        <f>(E623/E612)*SUM(C673:D673)</f>
        <v>837573.7748279525</v>
      </c>
      <c r="F673" s="180">
        <f>(F624/F612)*H64</f>
        <v>5333.1753194224557</v>
      </c>
      <c r="G673" s="180">
        <f>(G625/G612)*H77</f>
        <v>294403.36006959202</v>
      </c>
      <c r="H673" s="180">
        <f>(H628/H612)*H60</f>
        <v>302196.1871075689</v>
      </c>
      <c r="I673" s="180">
        <f>(I629/I612)*H78</f>
        <v>323340.06218148913</v>
      </c>
      <c r="J673" s="180">
        <f>(J630/J612)*H79</f>
        <v>2365.3653596817621</v>
      </c>
      <c r="K673" s="180">
        <f>(K644/K612)*H75</f>
        <v>818876.64200531598</v>
      </c>
      <c r="L673" s="180">
        <f>(L647/L612)*H80</f>
        <v>588467.85861995176</v>
      </c>
      <c r="M673" s="180">
        <f t="shared" si="20"/>
        <v>4035913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42561288</v>
      </c>
      <c r="D681" s="180">
        <f>(D615/D612)*P76</f>
        <v>3099558.1349861547</v>
      </c>
      <c r="E681" s="180">
        <f>(E623/E612)*SUM(C681:D681)</f>
        <v>5539423.9775030101</v>
      </c>
      <c r="F681" s="180">
        <f>(F624/F612)*P64</f>
        <v>1107008.410096135</v>
      </c>
      <c r="G681" s="180">
        <f>(G625/G612)*P77</f>
        <v>0</v>
      </c>
      <c r="H681" s="180">
        <f>(H628/H612)*P60</f>
        <v>598116.18193996837</v>
      </c>
      <c r="I681" s="180">
        <f>(I629/I612)*P78</f>
        <v>839183.42720605049</v>
      </c>
      <c r="J681" s="180">
        <f>(J630/J612)*P79</f>
        <v>13173.354266676815</v>
      </c>
      <c r="K681" s="180">
        <f>(K644/K612)*P75</f>
        <v>8896140.4463652093</v>
      </c>
      <c r="L681" s="180">
        <f>(L647/L612)*P80</f>
        <v>860402.86865142209</v>
      </c>
      <c r="M681" s="180">
        <f t="shared" si="20"/>
        <v>20953007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2717758</v>
      </c>
      <c r="D682" s="180">
        <f>(D615/D612)*Q76</f>
        <v>202128.74677843231</v>
      </c>
      <c r="E682" s="180">
        <f>(E623/E612)*SUM(C682:D682)</f>
        <v>354231.07598316111</v>
      </c>
      <c r="F682" s="180">
        <f>(F624/F612)*Q64</f>
        <v>4682.7416113321169</v>
      </c>
      <c r="G682" s="180">
        <f>(G625/G612)*Q77</f>
        <v>0</v>
      </c>
      <c r="H682" s="180">
        <f>(H628/H612)*Q60</f>
        <v>95526.611558287928</v>
      </c>
      <c r="I682" s="180">
        <f>(I629/I612)*Q78</f>
        <v>75718.875320981635</v>
      </c>
      <c r="J682" s="180">
        <f>(J630/J612)*Q79</f>
        <v>1195.8045187400278</v>
      </c>
      <c r="K682" s="180">
        <f>(K644/K612)*Q75</f>
        <v>448345.9143313783</v>
      </c>
      <c r="L682" s="180">
        <f>(L647/L612)*Q80</f>
        <v>206218.41784021957</v>
      </c>
      <c r="M682" s="180">
        <f t="shared" si="20"/>
        <v>1388048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1688695</v>
      </c>
      <c r="D683" s="180">
        <f>(D615/D612)*R76</f>
        <v>56172.585323943262</v>
      </c>
      <c r="E683" s="180">
        <f>(E623/E612)*SUM(C683:D683)</f>
        <v>211681.60815805176</v>
      </c>
      <c r="F683" s="180">
        <f>(F624/F612)*R64</f>
        <v>25794.548578866968</v>
      </c>
      <c r="G683" s="180">
        <f>(G625/G612)*R77</f>
        <v>0</v>
      </c>
      <c r="H683" s="180">
        <f>(H628/H612)*R60</f>
        <v>43735.670578936792</v>
      </c>
      <c r="I683" s="180">
        <f>(I629/I612)*R78</f>
        <v>21055.759323492188</v>
      </c>
      <c r="J683" s="180">
        <f>(J630/J612)*R79</f>
        <v>0</v>
      </c>
      <c r="K683" s="180">
        <f>(K644/K612)*R75</f>
        <v>998829.77958884358</v>
      </c>
      <c r="L683" s="180">
        <f>(L647/L612)*R80</f>
        <v>0</v>
      </c>
      <c r="M683" s="180">
        <f t="shared" si="20"/>
        <v>1357270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2335601</v>
      </c>
      <c r="D684" s="180">
        <f>(D615/D612)*S76</f>
        <v>0</v>
      </c>
      <c r="E684" s="180">
        <f>(E623/E612)*SUM(C684:D684)</f>
        <v>283347.44702347444</v>
      </c>
      <c r="F684" s="180">
        <f>(F624/F612)*S64</f>
        <v>16991.803705589115</v>
      </c>
      <c r="G684" s="180">
        <f>(G625/G612)*S77</f>
        <v>0</v>
      </c>
      <c r="H684" s="180">
        <f>(H628/H612)*S60</f>
        <v>78131.181000337936</v>
      </c>
      <c r="I684" s="180">
        <f>(I629/I612)*S78</f>
        <v>0</v>
      </c>
      <c r="J684" s="180">
        <f>(J630/J612)*S79</f>
        <v>15912.12504194541</v>
      </c>
      <c r="K684" s="180">
        <f>(K644/K612)*S75</f>
        <v>52206.151853248368</v>
      </c>
      <c r="L684" s="180">
        <f>(L647/L612)*S80</f>
        <v>0</v>
      </c>
      <c r="M684" s="180">
        <f t="shared" si="20"/>
        <v>446589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1276669</v>
      </c>
      <c r="D685" s="180">
        <f>(D615/D612)*T76</f>
        <v>0</v>
      </c>
      <c r="E685" s="180">
        <f>(E623/E612)*SUM(C685:D685)</f>
        <v>154881.29258551102</v>
      </c>
      <c r="F685" s="180">
        <f>(F624/F612)*T64</f>
        <v>36759.870978632251</v>
      </c>
      <c r="G685" s="180">
        <f>(G625/G612)*T77</f>
        <v>0</v>
      </c>
      <c r="H685" s="180">
        <f>(H628/H612)*T60</f>
        <v>10130.861546533381</v>
      </c>
      <c r="I685" s="180">
        <f>(I629/I612)*T78</f>
        <v>0</v>
      </c>
      <c r="J685" s="180">
        <f>(J630/J612)*T79</f>
        <v>0</v>
      </c>
      <c r="K685" s="180">
        <f>(K644/K612)*T75</f>
        <v>36084.521584463459</v>
      </c>
      <c r="L685" s="180">
        <f>(L647/L612)*T80</f>
        <v>24845.592510869825</v>
      </c>
      <c r="M685" s="180">
        <f t="shared" si="20"/>
        <v>262702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13923926</v>
      </c>
      <c r="D686" s="180">
        <f>(D615/D612)*U76</f>
        <v>636757.6175701787</v>
      </c>
      <c r="E686" s="180">
        <f>(E623/E612)*SUM(C686:D686)</f>
        <v>1766454.3429956737</v>
      </c>
      <c r="F686" s="180">
        <f>(F624/F612)*U64</f>
        <v>98896.183745745715</v>
      </c>
      <c r="G686" s="180">
        <f>(G625/G612)*U77</f>
        <v>0</v>
      </c>
      <c r="H686" s="180">
        <f>(H628/H612)*U60</f>
        <v>436368.32905312075</v>
      </c>
      <c r="I686" s="180">
        <f>(I629/I612)*U78</f>
        <v>162261.22951667415</v>
      </c>
      <c r="J686" s="180">
        <f>(J630/J612)*U79</f>
        <v>701.71058488326435</v>
      </c>
      <c r="K686" s="180">
        <f>(K644/K612)*U75</f>
        <v>2072150.3273695861</v>
      </c>
      <c r="L686" s="180">
        <f>(L647/L612)*U80</f>
        <v>0</v>
      </c>
      <c r="M686" s="180">
        <f t="shared" si="20"/>
        <v>5173590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711481</v>
      </c>
      <c r="D687" s="180">
        <f>(D615/D612)*V76</f>
        <v>30255.676750177474</v>
      </c>
      <c r="E687" s="180">
        <f>(E623/E612)*SUM(C687:D687)</f>
        <v>89985.058972332568</v>
      </c>
      <c r="F687" s="180">
        <f>(F624/F612)*V64</f>
        <v>702.19801449551926</v>
      </c>
      <c r="G687" s="180">
        <f>(G625/G612)*V77</f>
        <v>0</v>
      </c>
      <c r="H687" s="180">
        <f>(H628/H612)*V60</f>
        <v>35037.955299961795</v>
      </c>
      <c r="I687" s="180">
        <f>(I629/I612)*V78</f>
        <v>11323.723696651306</v>
      </c>
      <c r="J687" s="180">
        <f>(J630/J612)*V79</f>
        <v>0</v>
      </c>
      <c r="K687" s="180">
        <f>(K644/K612)*V75</f>
        <v>244991.17429707522</v>
      </c>
      <c r="L687" s="180">
        <f>(L647/L612)*V80</f>
        <v>0</v>
      </c>
      <c r="M687" s="180">
        <f t="shared" si="20"/>
        <v>412296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1722061</v>
      </c>
      <c r="D688" s="180">
        <f>(D615/D612)*W76</f>
        <v>261945.89737056138</v>
      </c>
      <c r="E688" s="180">
        <f>(E623/E612)*SUM(C688:D688)</f>
        <v>240693.20455288087</v>
      </c>
      <c r="F688" s="180">
        <f>(F624/F612)*W64</f>
        <v>8762.3224394417302</v>
      </c>
      <c r="G688" s="180">
        <f>(G625/G612)*W77</f>
        <v>0</v>
      </c>
      <c r="H688" s="180">
        <f>(H628/H612)*W60</f>
        <v>49814.187506856826</v>
      </c>
      <c r="I688" s="180">
        <f>(I629/I612)*W78</f>
        <v>39701.248141271448</v>
      </c>
      <c r="J688" s="180">
        <f>(J630/J612)*W79</f>
        <v>404.37943530926322</v>
      </c>
      <c r="K688" s="180">
        <f>(K644/K612)*W75</f>
        <v>961805.63242690824</v>
      </c>
      <c r="L688" s="180">
        <f>(L647/L612)*W80</f>
        <v>0</v>
      </c>
      <c r="M688" s="180">
        <f t="shared" si="20"/>
        <v>1563127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1817207</v>
      </c>
      <c r="D689" s="180">
        <f>(D615/D612)*X76</f>
        <v>81973.793413004736</v>
      </c>
      <c r="E689" s="180">
        <f>(E623/E612)*SUM(C689:D689)</f>
        <v>230402.38005104108</v>
      </c>
      <c r="F689" s="180">
        <f>(F624/F612)*X64</f>
        <v>8216.3246939672772</v>
      </c>
      <c r="G689" s="180">
        <f>(G625/G612)*X77</f>
        <v>0</v>
      </c>
      <c r="H689" s="180">
        <f>(H628/H612)*X60</f>
        <v>50061.281690918615</v>
      </c>
      <c r="I689" s="180">
        <f>(I629/I612)*X78</f>
        <v>30696.841346343903</v>
      </c>
      <c r="J689" s="180">
        <f>(J630/J612)*X79</f>
        <v>0</v>
      </c>
      <c r="K689" s="180">
        <f>(K644/K612)*X75</f>
        <v>1813755.9760894086</v>
      </c>
      <c r="L689" s="180">
        <f>(L647/L612)*X80</f>
        <v>0</v>
      </c>
      <c r="M689" s="180">
        <f t="shared" si="20"/>
        <v>2215107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14440504</v>
      </c>
      <c r="D690" s="180">
        <f>(D615/D612)*Y76</f>
        <v>1817481.0639776783</v>
      </c>
      <c r="E690" s="180">
        <f>(E623/E612)*SUM(C690:D690)</f>
        <v>1972365.3833098435</v>
      </c>
      <c r="F690" s="180">
        <f>(F624/F612)*Y64</f>
        <v>139377.18701181505</v>
      </c>
      <c r="G690" s="180">
        <f>(G625/G612)*Y77</f>
        <v>0</v>
      </c>
      <c r="H690" s="180">
        <f>(H628/H612)*Y60</f>
        <v>351960.95577761339</v>
      </c>
      <c r="I690" s="180">
        <f>(I629/I612)*Y78</f>
        <v>302193.34925400774</v>
      </c>
      <c r="J690" s="180">
        <f>(J630/J612)*Y79</f>
        <v>6759.9178064093658</v>
      </c>
      <c r="K690" s="180">
        <f>(K644/K612)*Y75</f>
        <v>2851857.4589123046</v>
      </c>
      <c r="L690" s="180">
        <f>(L647/L612)*Y80</f>
        <v>71803.76235641379</v>
      </c>
      <c r="M690" s="180">
        <f t="shared" si="20"/>
        <v>7513799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-395343</v>
      </c>
      <c r="D691" s="180">
        <f>(D615/D612)*Z76</f>
        <v>0</v>
      </c>
      <c r="E691" s="180">
        <f>(E623/E612)*SUM(C691:D691)</f>
        <v>-47961.715099711582</v>
      </c>
      <c r="F691" s="180">
        <f>(F624/F612)*Z64</f>
        <v>9.4364379774562615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1685.424485375901</v>
      </c>
      <c r="L691" s="180">
        <f>(L647/L612)*Z80</f>
        <v>0</v>
      </c>
      <c r="M691" s="180">
        <f t="shared" si="20"/>
        <v>-46267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575194</v>
      </c>
      <c r="D692" s="180">
        <f>(D615/D612)*AA76</f>
        <v>49693.358180501818</v>
      </c>
      <c r="E692" s="180">
        <f>(E623/E612)*SUM(C692:D692)</f>
        <v>75809.283185650565</v>
      </c>
      <c r="F692" s="180">
        <f>(F624/F612)*AA64</f>
        <v>7660.346100632054</v>
      </c>
      <c r="G692" s="180">
        <f>(G625/G612)*AA77</f>
        <v>0</v>
      </c>
      <c r="H692" s="180">
        <f>(H628/H612)*AA60</f>
        <v>11020.400609155824</v>
      </c>
      <c r="I692" s="180">
        <f>(I629/I612)*AA78</f>
        <v>18600.012015784676</v>
      </c>
      <c r="J692" s="180">
        <f>(J630/J612)*AA79</f>
        <v>0</v>
      </c>
      <c r="K692" s="180">
        <f>(K644/K612)*AA75</f>
        <v>60681.046047627351</v>
      </c>
      <c r="L692" s="180">
        <f>(L647/L612)*AA80</f>
        <v>0</v>
      </c>
      <c r="M692" s="180">
        <f t="shared" si="20"/>
        <v>223464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15603512</v>
      </c>
      <c r="D693" s="180">
        <f>(D615/D612)*AB76</f>
        <v>148732.97308739251</v>
      </c>
      <c r="E693" s="180">
        <f>(E623/E612)*SUM(C693:D693)</f>
        <v>1911010.6555069431</v>
      </c>
      <c r="F693" s="180">
        <f>(F624/F612)*AB64</f>
        <v>466157.13256696163</v>
      </c>
      <c r="G693" s="180">
        <f>(G625/G612)*AB77</f>
        <v>0</v>
      </c>
      <c r="H693" s="180">
        <f>(H628/H612)*AB60</f>
        <v>169457.19142957544</v>
      </c>
      <c r="I693" s="180">
        <f>(I629/I612)*AB78</f>
        <v>55709.08244336486</v>
      </c>
      <c r="J693" s="180">
        <f>(J630/J612)*AB79</f>
        <v>230.91196502276412</v>
      </c>
      <c r="K693" s="180">
        <f>(K644/K612)*AB75</f>
        <v>2257046.3874770384</v>
      </c>
      <c r="L693" s="180">
        <f>(L647/L612)*AB80</f>
        <v>0</v>
      </c>
      <c r="M693" s="180">
        <f t="shared" si="20"/>
        <v>5008344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2159049</v>
      </c>
      <c r="D694" s="180">
        <f>(D615/D612)*AC76</f>
        <v>63519.56610266705</v>
      </c>
      <c r="E694" s="180">
        <f>(E623/E612)*SUM(C694:D694)</f>
        <v>269634.72315682989</v>
      </c>
      <c r="F694" s="180">
        <f>(F624/F612)*AC64</f>
        <v>10613.860452595311</v>
      </c>
      <c r="G694" s="180">
        <f>(G625/G612)*AC77</f>
        <v>0</v>
      </c>
      <c r="H694" s="180">
        <f>(H628/H612)*AC60</f>
        <v>86285.289074376997</v>
      </c>
      <c r="I694" s="180">
        <f>(I629/I612)*AC78</f>
        <v>23784.367443167201</v>
      </c>
      <c r="J694" s="180">
        <f>(J630/J612)*AC79</f>
        <v>0</v>
      </c>
      <c r="K694" s="180">
        <f>(K644/K612)*AC75</f>
        <v>326827.15138572204</v>
      </c>
      <c r="L694" s="180">
        <f>(L647/L612)*AC80</f>
        <v>0</v>
      </c>
      <c r="M694" s="180">
        <f t="shared" si="20"/>
        <v>780665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3528432</v>
      </c>
      <c r="D696" s="180">
        <f>(D615/D612)*AE76</f>
        <v>994503.51627591008</v>
      </c>
      <c r="E696" s="180">
        <f>(E623/E612)*SUM(C696:D696)</f>
        <v>548707.69090635749</v>
      </c>
      <c r="F696" s="180">
        <f>(F624/F612)*AE64</f>
        <v>767.25499555163606</v>
      </c>
      <c r="G696" s="180">
        <f>(G625/G612)*AE77</f>
        <v>0</v>
      </c>
      <c r="H696" s="180">
        <f>(H628/H612)*AE60</f>
        <v>158535.62849404433</v>
      </c>
      <c r="I696" s="180">
        <f>(I629/I612)*AE78</f>
        <v>89953.114345286289</v>
      </c>
      <c r="J696" s="180">
        <f>(J630/J612)*AE79</f>
        <v>803.57493426330791</v>
      </c>
      <c r="K696" s="180">
        <f>(K644/K612)*AE75</f>
        <v>216800.03836079189</v>
      </c>
      <c r="L696" s="180">
        <f>(L647/L612)*AE80</f>
        <v>0</v>
      </c>
      <c r="M696" s="180">
        <f t="shared" si="20"/>
        <v>2010071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7989553</v>
      </c>
      <c r="D698" s="180">
        <f>(D615/D612)*AG76</f>
        <v>696864.01937406859</v>
      </c>
      <c r="E698" s="180">
        <f>(E623/E612)*SUM(C698:D698)</f>
        <v>1053807.6007935007</v>
      </c>
      <c r="F698" s="180">
        <f>(F624/F612)*AG64</f>
        <v>30349.626072561769</v>
      </c>
      <c r="G698" s="180">
        <f>(G625/G612)*AG77</f>
        <v>0</v>
      </c>
      <c r="H698" s="180">
        <f>(H628/H612)*AG60</f>
        <v>334960.87591416226</v>
      </c>
      <c r="I698" s="180">
        <f>(I629/I612)*AG78</f>
        <v>260991.36664691506</v>
      </c>
      <c r="J698" s="180">
        <f>(J630/J612)*AG79</f>
        <v>6911.4507459928473</v>
      </c>
      <c r="K698" s="180">
        <f>(K644/K612)*AG75</f>
        <v>2972819.4267828818</v>
      </c>
      <c r="L698" s="180">
        <f>(L647/L612)*AG80</f>
        <v>417033.27029494999</v>
      </c>
      <c r="M698" s="180">
        <f t="shared" si="20"/>
        <v>5773738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87822505</v>
      </c>
      <c r="D701" s="180">
        <f>(D615/D612)*AJ76</f>
        <v>4644795.9584545875</v>
      </c>
      <c r="E701" s="180">
        <f>(E623/E612)*SUM(C701:D701)</f>
        <v>11217829.440786069</v>
      </c>
      <c r="F701" s="180">
        <f>(F624/F612)*AJ64</f>
        <v>631534.42825608526</v>
      </c>
      <c r="G701" s="180">
        <f>(G625/G612)*AJ77</f>
        <v>0</v>
      </c>
      <c r="H701" s="180">
        <f>(H628/H612)*AJ60</f>
        <v>2003587.9008834288</v>
      </c>
      <c r="I701" s="180">
        <f>(I629/I612)*AJ78</f>
        <v>0</v>
      </c>
      <c r="J701" s="180">
        <f>(J630/J612)*AJ79</f>
        <v>0</v>
      </c>
      <c r="K701" s="180">
        <f>(K644/K612)*AJ75</f>
        <v>2787674.5197145003</v>
      </c>
      <c r="L701" s="180">
        <f>(L647/L612)*AJ80</f>
        <v>511570.7497988097</v>
      </c>
      <c r="M701" s="180">
        <f t="shared" si="20"/>
        <v>21796993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1709542</v>
      </c>
      <c r="D702" s="180">
        <f>(D615/D612)*AK76</f>
        <v>186509.18134335024</v>
      </c>
      <c r="E702" s="180">
        <f>(E623/E612)*SUM(C702:D702)</f>
        <v>230022.7057872818</v>
      </c>
      <c r="F702" s="180">
        <f>(F624/F612)*AK64</f>
        <v>1206.4576689158382</v>
      </c>
      <c r="G702" s="180">
        <f>(G625/G612)*AK77</f>
        <v>0</v>
      </c>
      <c r="H702" s="180">
        <f>(H628/H612)*AK60</f>
        <v>70866.611988921315</v>
      </c>
      <c r="I702" s="180">
        <f>(I629/I612)*AK78</f>
        <v>69852.367863680352</v>
      </c>
      <c r="J702" s="180">
        <f>(J630/J612)*AK79</f>
        <v>0</v>
      </c>
      <c r="K702" s="180">
        <f>(K644/K612)*AK75</f>
        <v>138855.09171122449</v>
      </c>
      <c r="L702" s="180">
        <f>(L647/L612)*AK80</f>
        <v>0</v>
      </c>
      <c r="M702" s="180">
        <f t="shared" si="20"/>
        <v>697312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499483</v>
      </c>
      <c r="D703" s="180">
        <f>(D615/D612)*AL76</f>
        <v>75147.464815450367</v>
      </c>
      <c r="E703" s="180">
        <f>(E623/E612)*SUM(C703:D703)</f>
        <v>69712.281844103651</v>
      </c>
      <c r="F703" s="180">
        <f>(F624/F612)*AL64</f>
        <v>89.056383412243463</v>
      </c>
      <c r="G703" s="180">
        <f>(G625/G612)*AL77</f>
        <v>0</v>
      </c>
      <c r="H703" s="180">
        <f>(H628/H612)*AL60</f>
        <v>22287.895402373437</v>
      </c>
      <c r="I703" s="180">
        <f>(I629/I612)*AL78</f>
        <v>28150.140434647223</v>
      </c>
      <c r="J703" s="180">
        <f>(J630/J612)*AL79</f>
        <v>0</v>
      </c>
      <c r="K703" s="180">
        <f>(K644/K612)*AL75</f>
        <v>43369.316603196807</v>
      </c>
      <c r="L703" s="180">
        <f>(L647/L612)*AL80</f>
        <v>0</v>
      </c>
      <c r="M703" s="180">
        <f t="shared" si="20"/>
        <v>238756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12673199</v>
      </c>
      <c r="D713" s="180">
        <f>(D615/D612)*AV76</f>
        <v>1530138.9102145205</v>
      </c>
      <c r="E713" s="180">
        <f>(E623/E612)*SUM(C713:D713)</f>
        <v>1723102.3347185652</v>
      </c>
      <c r="F713" s="180">
        <f>(F624/F612)*AV64</f>
        <v>186582.7865240789</v>
      </c>
      <c r="G713" s="180">
        <f>(G625/G612)*AV77</f>
        <v>0</v>
      </c>
      <c r="H713" s="180">
        <f>(H628/H612)*AV60</f>
        <v>164762.40193240144</v>
      </c>
      <c r="I713" s="180">
        <f>(I629/I612)*AV78</f>
        <v>300647.1379861919</v>
      </c>
      <c r="J713" s="180">
        <f>(J630/J612)*AV79</f>
        <v>3595.4810571728922</v>
      </c>
      <c r="K713" s="180">
        <f>(K644/K612)*AV75</f>
        <v>1780136.951430344</v>
      </c>
      <c r="L713" s="180">
        <f>(L647/L612)*AV80</f>
        <v>604244.8098643542</v>
      </c>
      <c r="M713" s="180">
        <f t="shared" si="20"/>
        <v>6293211</v>
      </c>
      <c r="N713" s="199" t="s">
        <v>741</v>
      </c>
    </row>
    <row r="715" spans="1:15" ht="12.6" customHeight="1" x14ac:dyDescent="0.25">
      <c r="C715" s="180">
        <f>SUM(C614:C647)+SUM(C668:C713)</f>
        <v>376816762</v>
      </c>
      <c r="D715" s="180">
        <f>SUM(D616:D647)+SUM(D668:D713)</f>
        <v>24610303.000000004</v>
      </c>
      <c r="E715" s="180">
        <f>SUM(E624:E647)+SUM(E668:E713)</f>
        <v>40768296.768002458</v>
      </c>
      <c r="F715" s="180">
        <f>SUM(F625:F648)+SUM(F668:F713)</f>
        <v>2954365.3099783692</v>
      </c>
      <c r="G715" s="180">
        <f>SUM(G626:G647)+SUM(G668:G713)</f>
        <v>1539441.0545356227</v>
      </c>
      <c r="H715" s="180">
        <f>SUM(H629:H647)+SUM(H668:H713)</f>
        <v>8409356.3661748935</v>
      </c>
      <c r="I715" s="180">
        <f>SUM(I630:I647)+SUM(I668:I713)</f>
        <v>4874476.4985914351</v>
      </c>
      <c r="J715" s="180">
        <f>SUM(J631:J647)+SUM(J668:J713)</f>
        <v>74250.654401872293</v>
      </c>
      <c r="K715" s="180">
        <f>SUM(K668:K713)</f>
        <v>34207243.055360064</v>
      </c>
      <c r="L715" s="180">
        <f>SUM(L668:L713)</f>
        <v>7104721.4064457808</v>
      </c>
      <c r="M715" s="180">
        <f>SUM(M668:M713)</f>
        <v>111581224</v>
      </c>
      <c r="N715" s="198" t="s">
        <v>742</v>
      </c>
    </row>
    <row r="716" spans="1:15" ht="12.6" customHeight="1" x14ac:dyDescent="0.25">
      <c r="C716" s="180">
        <f>CE71</f>
        <v>376816762</v>
      </c>
      <c r="D716" s="180">
        <f>D615</f>
        <v>24610303</v>
      </c>
      <c r="E716" s="180">
        <f>E623</f>
        <v>40768296.768002465</v>
      </c>
      <c r="F716" s="180">
        <f>F624</f>
        <v>2954365.3099783687</v>
      </c>
      <c r="G716" s="180">
        <f>G625</f>
        <v>1539441.0545356227</v>
      </c>
      <c r="H716" s="180">
        <f>H628</f>
        <v>8409356.3661748916</v>
      </c>
      <c r="I716" s="180">
        <f>I629</f>
        <v>4874476.4985914333</v>
      </c>
      <c r="J716" s="180">
        <f>J630</f>
        <v>74250.654401872293</v>
      </c>
      <c r="K716" s="180">
        <f>K644</f>
        <v>34207243.055360056</v>
      </c>
      <c r="L716" s="180">
        <f>L647</f>
        <v>7104721.4064457808</v>
      </c>
      <c r="M716" s="180">
        <f>C648</f>
        <v>111581224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G34" transitionEvaluation="1" transitionEntry="1" codeName="Sheet10">
    <pageSetUpPr autoPageBreaks="0" fitToPage="1"/>
  </sheetPr>
  <dimension ref="A1:CF817"/>
  <sheetViews>
    <sheetView showGridLines="0" topLeftCell="AG34" zoomScale="75" workbookViewId="0">
      <selection activeCell="AK59" sqref="AK5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1" t="s">
        <v>1259</v>
      </c>
    </row>
    <row r="17" spans="1:6" ht="12.75" customHeight="1" x14ac:dyDescent="0.25">
      <c r="A17" s="180" t="s">
        <v>1230</v>
      </c>
      <c r="C17" s="281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1134157</v>
      </c>
      <c r="D47" s="184">
        <v>859110</v>
      </c>
      <c r="E47" s="184">
        <v>4215374</v>
      </c>
      <c r="F47" s="184">
        <v>1350204</v>
      </c>
      <c r="G47" s="184"/>
      <c r="H47" s="184">
        <v>1163238</v>
      </c>
      <c r="I47" s="184"/>
      <c r="J47" s="184"/>
      <c r="K47" s="184"/>
      <c r="L47" s="184"/>
      <c r="M47" s="184"/>
      <c r="N47" s="184"/>
      <c r="O47" s="184"/>
      <c r="P47" s="184">
        <v>2553392</v>
      </c>
      <c r="Q47" s="184">
        <v>473334</v>
      </c>
      <c r="R47" s="184">
        <v>125903</v>
      </c>
      <c r="S47" s="184">
        <v>190556</v>
      </c>
      <c r="T47" s="184">
        <v>49542</v>
      </c>
      <c r="U47" s="184">
        <v>1318673</v>
      </c>
      <c r="V47" s="184">
        <v>94085</v>
      </c>
      <c r="W47" s="184">
        <v>235565</v>
      </c>
      <c r="X47" s="184">
        <v>219096</v>
      </c>
      <c r="Y47" s="184">
        <v>1555362</v>
      </c>
      <c r="Z47" s="184"/>
      <c r="AA47" s="184">
        <v>55623</v>
      </c>
      <c r="AB47" s="184">
        <v>859643</v>
      </c>
      <c r="AC47" s="184">
        <v>354196</v>
      </c>
      <c r="AD47" s="184"/>
      <c r="AE47" s="184">
        <v>753275</v>
      </c>
      <c r="AF47" s="184"/>
      <c r="AG47" s="184">
        <v>1290912</v>
      </c>
      <c r="AH47" s="184"/>
      <c r="AI47" s="184"/>
      <c r="AJ47" s="184">
        <v>8028777</v>
      </c>
      <c r="AK47" s="184">
        <v>338323</v>
      </c>
      <c r="AL47" s="184">
        <v>114850</v>
      </c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v>599435</v>
      </c>
      <c r="AW47" s="184"/>
      <c r="AX47" s="184"/>
      <c r="AY47" s="184">
        <f>790191*(AY59/(AY59+AZ59))</f>
        <v>253012.07759319944</v>
      </c>
      <c r="AZ47" s="184">
        <f>790191-AY47</f>
        <v>537178.92240680056</v>
      </c>
      <c r="BA47" s="184">
        <v>18615</v>
      </c>
      <c r="BB47" s="184"/>
      <c r="BC47" s="184"/>
      <c r="BD47" s="184">
        <v>310987</v>
      </c>
      <c r="BE47" s="184">
        <v>775944</v>
      </c>
      <c r="BF47" s="184">
        <v>612265</v>
      </c>
      <c r="BG47" s="184"/>
      <c r="BH47" s="184">
        <v>285604</v>
      </c>
      <c r="BI47" s="184"/>
      <c r="BJ47" s="184">
        <v>323252</v>
      </c>
      <c r="BK47" s="184">
        <v>439074</v>
      </c>
      <c r="BL47" s="184">
        <v>905143</v>
      </c>
      <c r="BM47" s="184"/>
      <c r="BN47" s="184">
        <v>514534</v>
      </c>
      <c r="BO47" s="184">
        <v>85889</v>
      </c>
      <c r="BP47" s="184">
        <v>181987</v>
      </c>
      <c r="BQ47" s="184"/>
      <c r="BR47" s="184">
        <v>1884385</v>
      </c>
      <c r="BS47" s="184">
        <v>16421</v>
      </c>
      <c r="BT47" s="184"/>
      <c r="BU47" s="184"/>
      <c r="BV47" s="184">
        <v>520425</v>
      </c>
      <c r="BW47" s="184">
        <v>132190</v>
      </c>
      <c r="BX47" s="184">
        <v>998556</v>
      </c>
      <c r="BY47" s="184">
        <v>494045</v>
      </c>
      <c r="BZ47" s="184"/>
      <c r="CA47" s="184">
        <v>302317</v>
      </c>
      <c r="CB47" s="184"/>
      <c r="CC47" s="184">
        <v>-1777743</v>
      </c>
      <c r="CD47" s="195"/>
      <c r="CE47" s="195">
        <f>SUM(C47:CC47)</f>
        <v>35746706</v>
      </c>
    </row>
    <row r="48" spans="1:83" ht="12.6" customHeight="1" x14ac:dyDescent="0.25">
      <c r="A48" s="175" t="s">
        <v>205</v>
      </c>
      <c r="B48" s="183"/>
      <c r="C48" s="244">
        <f>ROUND(((B48/CE61)*C61),0)</f>
        <v>0</v>
      </c>
      <c r="D48" s="244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83133</v>
      </c>
      <c r="D51" s="184">
        <v>3583</v>
      </c>
      <c r="E51" s="184">
        <v>197522</v>
      </c>
      <c r="F51" s="184">
        <v>180411</v>
      </c>
      <c r="G51" s="184"/>
      <c r="H51" s="184">
        <v>32069</v>
      </c>
      <c r="I51" s="184"/>
      <c r="J51" s="184"/>
      <c r="K51" s="184"/>
      <c r="L51" s="184"/>
      <c r="M51" s="184"/>
      <c r="N51" s="184"/>
      <c r="O51" s="184"/>
      <c r="P51" s="184">
        <v>2715759</v>
      </c>
      <c r="Q51" s="184">
        <v>22445</v>
      </c>
      <c r="R51" s="184">
        <v>49901</v>
      </c>
      <c r="S51" s="184">
        <v>98976</v>
      </c>
      <c r="T51" s="184">
        <v>65079</v>
      </c>
      <c r="U51" s="184">
        <v>163159</v>
      </c>
      <c r="V51" s="184">
        <v>82817</v>
      </c>
      <c r="W51" s="184">
        <v>334471</v>
      </c>
      <c r="X51" s="184">
        <v>146371</v>
      </c>
      <c r="Y51" s="184">
        <v>1407087</v>
      </c>
      <c r="Z51" s="184">
        <v>218441</v>
      </c>
      <c r="AA51" s="184"/>
      <c r="AB51" s="184">
        <v>120002</v>
      </c>
      <c r="AC51" s="184">
        <v>56298</v>
      </c>
      <c r="AD51" s="184"/>
      <c r="AE51" s="184">
        <v>21378</v>
      </c>
      <c r="AF51" s="184"/>
      <c r="AG51" s="184">
        <v>142030</v>
      </c>
      <c r="AH51" s="184"/>
      <c r="AI51" s="184"/>
      <c r="AJ51" s="184">
        <v>804115</v>
      </c>
      <c r="AK51" s="184">
        <v>444</v>
      </c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>
        <v>994974</v>
      </c>
      <c r="AW51" s="184"/>
      <c r="AX51" s="184"/>
      <c r="AY51" s="184">
        <f>107834*(AY59/(AY59+AZ59))</f>
        <v>34527.480539749333</v>
      </c>
      <c r="AZ51" s="184">
        <f>107834-AY51</f>
        <v>73306.519460250667</v>
      </c>
      <c r="BA51" s="184"/>
      <c r="BB51" s="184"/>
      <c r="BC51" s="184"/>
      <c r="BD51" s="184">
        <v>61298</v>
      </c>
      <c r="BE51" s="184">
        <v>1896136</v>
      </c>
      <c r="BF51" s="184">
        <v>1023</v>
      </c>
      <c r="BG51" s="184"/>
      <c r="BH51" s="184">
        <v>3575983</v>
      </c>
      <c r="BI51" s="184"/>
      <c r="BJ51" s="184">
        <v>6093</v>
      </c>
      <c r="BK51" s="184">
        <v>14038</v>
      </c>
      <c r="BL51" s="184">
        <v>2217</v>
      </c>
      <c r="BM51" s="184"/>
      <c r="BN51" s="184">
        <v>23999</v>
      </c>
      <c r="BO51" s="184"/>
      <c r="BP51" s="184">
        <v>120137</v>
      </c>
      <c r="BQ51" s="184"/>
      <c r="BR51" s="184"/>
      <c r="BS51" s="184">
        <v>225</v>
      </c>
      <c r="BT51" s="184"/>
      <c r="BU51" s="184"/>
      <c r="BV51" s="184">
        <v>8954</v>
      </c>
      <c r="BW51" s="184"/>
      <c r="BX51" s="184"/>
      <c r="BY51" s="184">
        <v>248170</v>
      </c>
      <c r="BZ51" s="184"/>
      <c r="CA51" s="184"/>
      <c r="CB51" s="184"/>
      <c r="CC51" s="184">
        <v>2933715</v>
      </c>
      <c r="CD51" s="195"/>
      <c r="CE51" s="195">
        <f>SUM(C51:CD51)</f>
        <v>16940287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>
        <v>3924</v>
      </c>
      <c r="D59" s="184">
        <v>4624</v>
      </c>
      <c r="E59" s="184">
        <v>27526</v>
      </c>
      <c r="F59" s="184">
        <v>4718</v>
      </c>
      <c r="G59" s="184"/>
      <c r="H59" s="184">
        <v>9700</v>
      </c>
      <c r="I59" s="184"/>
      <c r="J59" s="184"/>
      <c r="K59" s="184"/>
      <c r="L59" s="184"/>
      <c r="M59" s="184"/>
      <c r="N59" s="184"/>
      <c r="O59" s="184"/>
      <c r="P59" s="185">
        <v>2203743</v>
      </c>
      <c r="Q59" s="185">
        <v>927131</v>
      </c>
      <c r="R59" s="185">
        <v>1084113</v>
      </c>
      <c r="S59" s="247"/>
      <c r="T59" s="247"/>
      <c r="U59" s="224">
        <v>859418</v>
      </c>
      <c r="V59" s="185">
        <v>21780</v>
      </c>
      <c r="W59" s="185">
        <v>7483</v>
      </c>
      <c r="X59" s="185">
        <v>18577</v>
      </c>
      <c r="Y59" s="185">
        <v>77345</v>
      </c>
      <c r="Z59" s="185"/>
      <c r="AA59" s="185">
        <v>849</v>
      </c>
      <c r="AB59" s="247"/>
      <c r="AC59" s="185">
        <v>25617</v>
      </c>
      <c r="AD59" s="185"/>
      <c r="AE59" s="185">
        <v>77568</v>
      </c>
      <c r="AF59" s="185"/>
      <c r="AG59" s="185">
        <v>34150</v>
      </c>
      <c r="AH59" s="185"/>
      <c r="AI59" s="185"/>
      <c r="AJ59" s="185">
        <v>187592</v>
      </c>
      <c r="AK59" s="185">
        <v>40090</v>
      </c>
      <c r="AL59" s="185">
        <v>13108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208031</v>
      </c>
      <c r="AZ59" s="185">
        <v>441678</v>
      </c>
      <c r="BA59" s="247"/>
      <c r="BB59" s="247"/>
      <c r="BC59" s="247"/>
      <c r="BD59" s="247"/>
      <c r="BE59" s="185">
        <v>435312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>
        <v>52.05</v>
      </c>
      <c r="D60" s="187">
        <v>44.96</v>
      </c>
      <c r="E60" s="187">
        <v>220.83</v>
      </c>
      <c r="F60" s="223">
        <v>57.3</v>
      </c>
      <c r="G60" s="187"/>
      <c r="H60" s="187">
        <v>64.91</v>
      </c>
      <c r="I60" s="187"/>
      <c r="J60" s="223"/>
      <c r="K60" s="187"/>
      <c r="L60" s="187"/>
      <c r="M60" s="187"/>
      <c r="N60" s="187"/>
      <c r="O60" s="187"/>
      <c r="P60" s="221">
        <v>120.85</v>
      </c>
      <c r="Q60" s="221">
        <v>18.36</v>
      </c>
      <c r="R60" s="221">
        <v>7.93</v>
      </c>
      <c r="S60" s="221">
        <v>15.12</v>
      </c>
      <c r="T60" s="221">
        <v>1.67</v>
      </c>
      <c r="U60" s="221">
        <v>92.86</v>
      </c>
      <c r="V60" s="221">
        <v>7.08</v>
      </c>
      <c r="W60" s="221">
        <v>9.83</v>
      </c>
      <c r="X60" s="221">
        <v>9.94</v>
      </c>
      <c r="Y60" s="221">
        <v>75.91</v>
      </c>
      <c r="Z60" s="221"/>
      <c r="AA60" s="221">
        <v>2.25</v>
      </c>
      <c r="AB60" s="221">
        <v>34.450000000000003</v>
      </c>
      <c r="AC60" s="221">
        <v>17.940000000000001</v>
      </c>
      <c r="AD60" s="221"/>
      <c r="AE60" s="221">
        <v>38.25</v>
      </c>
      <c r="AF60" s="221"/>
      <c r="AG60" s="221">
        <v>67.16</v>
      </c>
      <c r="AH60" s="221"/>
      <c r="AI60" s="221"/>
      <c r="AJ60" s="221">
        <v>396.96</v>
      </c>
      <c r="AK60" s="221">
        <v>15.6</v>
      </c>
      <c r="AL60" s="221">
        <v>5.27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27.65</v>
      </c>
      <c r="AW60" s="221"/>
      <c r="AX60" s="221"/>
      <c r="AY60" s="221">
        <f>71.22*(AY59/(AY59+AZ59))</f>
        <v>22.804005824145889</v>
      </c>
      <c r="AZ60" s="221">
        <f>71.22-AY60</f>
        <v>48.415994175854109</v>
      </c>
      <c r="BA60" s="221">
        <v>1.88</v>
      </c>
      <c r="BB60" s="221"/>
      <c r="BC60" s="221"/>
      <c r="BD60" s="221">
        <v>24.34</v>
      </c>
      <c r="BE60" s="221">
        <v>53.53</v>
      </c>
      <c r="BF60" s="221">
        <v>60.49</v>
      </c>
      <c r="BG60" s="221"/>
      <c r="BH60" s="221">
        <v>10.42</v>
      </c>
      <c r="BI60" s="221"/>
      <c r="BJ60" s="221">
        <v>16.91</v>
      </c>
      <c r="BK60" s="221">
        <v>33.090000000000003</v>
      </c>
      <c r="BL60" s="221">
        <v>77.56</v>
      </c>
      <c r="BM60" s="221"/>
      <c r="BN60" s="221">
        <v>15.05</v>
      </c>
      <c r="BO60" s="221">
        <v>2.12</v>
      </c>
      <c r="BP60" s="221">
        <v>2.0299999999999998</v>
      </c>
      <c r="BQ60" s="221"/>
      <c r="BR60" s="221">
        <v>17.52</v>
      </c>
      <c r="BS60" s="221">
        <v>0.99</v>
      </c>
      <c r="BT60" s="221"/>
      <c r="BU60" s="221"/>
      <c r="BV60" s="221">
        <v>37.4</v>
      </c>
      <c r="BW60" s="221">
        <v>5.99</v>
      </c>
      <c r="BX60" s="221">
        <v>46.99</v>
      </c>
      <c r="BY60" s="221">
        <v>6.41</v>
      </c>
      <c r="BZ60" s="221"/>
      <c r="CA60" s="221">
        <v>32.99</v>
      </c>
      <c r="CB60" s="221"/>
      <c r="CC60" s="221">
        <v>27.94</v>
      </c>
      <c r="CD60" s="248" t="s">
        <v>221</v>
      </c>
      <c r="CE60" s="250">
        <f t="shared" ref="CE60:CE70" si="0">SUM(C60:CD60)</f>
        <v>1950.0000000000002</v>
      </c>
    </row>
    <row r="61" spans="1:84" ht="12.6" customHeight="1" x14ac:dyDescent="0.25">
      <c r="A61" s="171" t="s">
        <v>235</v>
      </c>
      <c r="B61" s="175"/>
      <c r="C61" s="184">
        <v>4504427</v>
      </c>
      <c r="D61" s="184">
        <v>3418207</v>
      </c>
      <c r="E61" s="184">
        <v>17330986</v>
      </c>
      <c r="F61" s="185">
        <v>5482829</v>
      </c>
      <c r="G61" s="184"/>
      <c r="H61" s="184">
        <v>4635164</v>
      </c>
      <c r="I61" s="185"/>
      <c r="J61" s="185"/>
      <c r="K61" s="185"/>
      <c r="L61" s="185"/>
      <c r="M61" s="184"/>
      <c r="N61" s="184"/>
      <c r="O61" s="184"/>
      <c r="P61" s="185">
        <v>10133834</v>
      </c>
      <c r="Q61" s="185">
        <v>1839481</v>
      </c>
      <c r="R61" s="185">
        <v>498172</v>
      </c>
      <c r="S61" s="185">
        <v>755569</v>
      </c>
      <c r="T61" s="185">
        <v>196246</v>
      </c>
      <c r="U61" s="185">
        <v>5227329</v>
      </c>
      <c r="V61" s="185">
        <v>373214</v>
      </c>
      <c r="W61" s="185">
        <v>932346</v>
      </c>
      <c r="X61" s="185">
        <v>868632</v>
      </c>
      <c r="Y61" s="185">
        <v>6166064</v>
      </c>
      <c r="Z61" s="185"/>
      <c r="AA61" s="185">
        <v>219897</v>
      </c>
      <c r="AB61" s="185">
        <v>3409049</v>
      </c>
      <c r="AC61" s="185">
        <v>1406342</v>
      </c>
      <c r="AD61" s="185"/>
      <c r="AE61" s="185">
        <v>2982633</v>
      </c>
      <c r="AF61" s="185"/>
      <c r="AG61" s="185">
        <v>4611775</v>
      </c>
      <c r="AH61" s="185"/>
      <c r="AI61" s="185"/>
      <c r="AJ61" s="185">
        <v>46682707</v>
      </c>
      <c r="AK61" s="185">
        <v>1338871</v>
      </c>
      <c r="AL61" s="185">
        <v>455176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2388343</v>
      </c>
      <c r="AW61" s="185"/>
      <c r="AX61" s="185"/>
      <c r="AY61" s="185">
        <f>3134880*(AY59/(AY59+AZ59))</f>
        <v>1003760.4855096667</v>
      </c>
      <c r="AZ61" s="185">
        <f>3134880-AY61</f>
        <v>2131119.5144903334</v>
      </c>
      <c r="BA61" s="185">
        <v>74103</v>
      </c>
      <c r="BB61" s="185"/>
      <c r="BC61" s="185"/>
      <c r="BD61" s="185">
        <v>1231634</v>
      </c>
      <c r="BE61" s="185">
        <v>3075095</v>
      </c>
      <c r="BF61" s="185">
        <v>2435140</v>
      </c>
      <c r="BG61" s="185"/>
      <c r="BH61" s="185">
        <v>1316358</v>
      </c>
      <c r="BI61" s="185"/>
      <c r="BJ61" s="185">
        <v>1281320</v>
      </c>
      <c r="BK61" s="185">
        <v>1738456</v>
      </c>
      <c r="BL61" s="185">
        <v>3587676</v>
      </c>
      <c r="BM61" s="185"/>
      <c r="BN61" s="185">
        <v>2424237</v>
      </c>
      <c r="BO61" s="185">
        <v>472849</v>
      </c>
      <c r="BP61" s="185">
        <v>1452419</v>
      </c>
      <c r="BQ61" s="185"/>
      <c r="BR61" s="185">
        <v>1459081</v>
      </c>
      <c r="BS61" s="185">
        <v>65010</v>
      </c>
      <c r="BT61" s="185"/>
      <c r="BU61" s="185"/>
      <c r="BV61" s="185">
        <v>2061578</v>
      </c>
      <c r="BW61" s="185">
        <v>678617</v>
      </c>
      <c r="BX61" s="185">
        <v>3960446</v>
      </c>
      <c r="BY61" s="185">
        <v>1158668</v>
      </c>
      <c r="BZ61" s="185"/>
      <c r="CA61" s="185">
        <v>1196677</v>
      </c>
      <c r="CB61" s="185"/>
      <c r="CC61" s="185">
        <f>1463355-1</f>
        <v>1463354</v>
      </c>
      <c r="CD61" s="248" t="s">
        <v>221</v>
      </c>
      <c r="CE61" s="195">
        <f t="shared" si="0"/>
        <v>160124891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1134157</v>
      </c>
      <c r="D62" s="195">
        <f t="shared" si="1"/>
        <v>859110</v>
      </c>
      <c r="E62" s="195">
        <f t="shared" si="1"/>
        <v>4215374</v>
      </c>
      <c r="F62" s="195">
        <f t="shared" si="1"/>
        <v>1350204</v>
      </c>
      <c r="G62" s="195">
        <f t="shared" si="1"/>
        <v>0</v>
      </c>
      <c r="H62" s="195">
        <f t="shared" si="1"/>
        <v>1163238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2553392</v>
      </c>
      <c r="Q62" s="195">
        <f t="shared" si="1"/>
        <v>473334</v>
      </c>
      <c r="R62" s="195">
        <f t="shared" si="1"/>
        <v>125903</v>
      </c>
      <c r="S62" s="195">
        <f t="shared" si="1"/>
        <v>190556</v>
      </c>
      <c r="T62" s="195">
        <f t="shared" si="1"/>
        <v>49542</v>
      </c>
      <c r="U62" s="195">
        <f t="shared" si="1"/>
        <v>1318673</v>
      </c>
      <c r="V62" s="195">
        <f t="shared" si="1"/>
        <v>94085</v>
      </c>
      <c r="W62" s="195">
        <f t="shared" si="1"/>
        <v>235565</v>
      </c>
      <c r="X62" s="195">
        <f t="shared" si="1"/>
        <v>219096</v>
      </c>
      <c r="Y62" s="195">
        <f t="shared" si="1"/>
        <v>1555362</v>
      </c>
      <c r="Z62" s="195">
        <f t="shared" si="1"/>
        <v>0</v>
      </c>
      <c r="AA62" s="195">
        <f t="shared" si="1"/>
        <v>55623</v>
      </c>
      <c r="AB62" s="195">
        <f t="shared" si="1"/>
        <v>859643</v>
      </c>
      <c r="AC62" s="195">
        <f t="shared" si="1"/>
        <v>354196</v>
      </c>
      <c r="AD62" s="195">
        <f t="shared" si="1"/>
        <v>0</v>
      </c>
      <c r="AE62" s="195">
        <f t="shared" si="1"/>
        <v>753275</v>
      </c>
      <c r="AF62" s="195">
        <f t="shared" si="1"/>
        <v>0</v>
      </c>
      <c r="AG62" s="195">
        <f t="shared" si="1"/>
        <v>1290912</v>
      </c>
      <c r="AH62" s="195">
        <f t="shared" si="1"/>
        <v>0</v>
      </c>
      <c r="AI62" s="195">
        <f t="shared" si="1"/>
        <v>0</v>
      </c>
      <c r="AJ62" s="195">
        <f t="shared" si="1"/>
        <v>8028777</v>
      </c>
      <c r="AK62" s="195">
        <f t="shared" si="1"/>
        <v>338323</v>
      </c>
      <c r="AL62" s="195">
        <f t="shared" si="1"/>
        <v>114850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599435</v>
      </c>
      <c r="AW62" s="195">
        <f t="shared" si="1"/>
        <v>0</v>
      </c>
      <c r="AX62" s="195">
        <f t="shared" si="1"/>
        <v>0</v>
      </c>
      <c r="AY62" s="195">
        <f>ROUND(AY47+AY48,0)</f>
        <v>253012</v>
      </c>
      <c r="AZ62" s="195">
        <f>ROUND(AZ47+AZ48,0)</f>
        <v>537179</v>
      </c>
      <c r="BA62" s="195">
        <f>ROUND(BA47+BA48,0)</f>
        <v>18615</v>
      </c>
      <c r="BB62" s="195">
        <f t="shared" si="1"/>
        <v>0</v>
      </c>
      <c r="BC62" s="195">
        <f t="shared" si="1"/>
        <v>0</v>
      </c>
      <c r="BD62" s="195">
        <f t="shared" si="1"/>
        <v>310987</v>
      </c>
      <c r="BE62" s="195">
        <f t="shared" si="1"/>
        <v>775944</v>
      </c>
      <c r="BF62" s="195">
        <f t="shared" si="1"/>
        <v>612265</v>
      </c>
      <c r="BG62" s="195">
        <f t="shared" si="1"/>
        <v>0</v>
      </c>
      <c r="BH62" s="195">
        <f t="shared" si="1"/>
        <v>285604</v>
      </c>
      <c r="BI62" s="195">
        <f t="shared" si="1"/>
        <v>0</v>
      </c>
      <c r="BJ62" s="195">
        <f t="shared" si="1"/>
        <v>323252</v>
      </c>
      <c r="BK62" s="195">
        <f t="shared" si="1"/>
        <v>439074</v>
      </c>
      <c r="BL62" s="195">
        <f t="shared" si="1"/>
        <v>905143</v>
      </c>
      <c r="BM62" s="195">
        <f t="shared" si="1"/>
        <v>0</v>
      </c>
      <c r="BN62" s="195">
        <f t="shared" si="1"/>
        <v>514534</v>
      </c>
      <c r="BO62" s="195">
        <f t="shared" ref="BO62:CC62" si="2">ROUND(BO47+BO48,0)</f>
        <v>85889</v>
      </c>
      <c r="BP62" s="195">
        <f t="shared" si="2"/>
        <v>181987</v>
      </c>
      <c r="BQ62" s="195">
        <f t="shared" si="2"/>
        <v>0</v>
      </c>
      <c r="BR62" s="195">
        <f t="shared" si="2"/>
        <v>1884385</v>
      </c>
      <c r="BS62" s="195">
        <f t="shared" si="2"/>
        <v>16421</v>
      </c>
      <c r="BT62" s="195">
        <f t="shared" si="2"/>
        <v>0</v>
      </c>
      <c r="BU62" s="195">
        <f t="shared" si="2"/>
        <v>0</v>
      </c>
      <c r="BV62" s="195">
        <f t="shared" si="2"/>
        <v>520425</v>
      </c>
      <c r="BW62" s="195">
        <f t="shared" si="2"/>
        <v>132190</v>
      </c>
      <c r="BX62" s="195">
        <f t="shared" si="2"/>
        <v>998556</v>
      </c>
      <c r="BY62" s="195">
        <f t="shared" si="2"/>
        <v>494045</v>
      </c>
      <c r="BZ62" s="195">
        <f t="shared" si="2"/>
        <v>0</v>
      </c>
      <c r="CA62" s="195">
        <f t="shared" si="2"/>
        <v>302317</v>
      </c>
      <c r="CB62" s="195">
        <f t="shared" si="2"/>
        <v>0</v>
      </c>
      <c r="CC62" s="195">
        <f t="shared" si="2"/>
        <v>-1777743</v>
      </c>
      <c r="CD62" s="248" t="s">
        <v>221</v>
      </c>
      <c r="CE62" s="195">
        <f t="shared" si="0"/>
        <v>35746706</v>
      </c>
      <c r="CF62" s="251"/>
    </row>
    <row r="63" spans="1:84" ht="12.6" customHeight="1" x14ac:dyDescent="0.25">
      <c r="A63" s="171" t="s">
        <v>236</v>
      </c>
      <c r="B63" s="175"/>
      <c r="C63" s="184">
        <v>203376</v>
      </c>
      <c r="D63" s="184">
        <v>90552</v>
      </c>
      <c r="E63" s="184">
        <v>183589</v>
      </c>
      <c r="F63" s="185">
        <v>309023</v>
      </c>
      <c r="G63" s="184"/>
      <c r="H63" s="184">
        <v>113123</v>
      </c>
      <c r="I63" s="185"/>
      <c r="J63" s="185"/>
      <c r="K63" s="185"/>
      <c r="L63" s="185"/>
      <c r="M63" s="184"/>
      <c r="N63" s="184"/>
      <c r="O63" s="184"/>
      <c r="P63" s="185">
        <v>113266</v>
      </c>
      <c r="Q63" s="185">
        <v>21223</v>
      </c>
      <c r="R63" s="185">
        <v>302527</v>
      </c>
      <c r="S63" s="185">
        <v>43917</v>
      </c>
      <c r="T63" s="185"/>
      <c r="U63" s="185">
        <v>559269</v>
      </c>
      <c r="V63" s="185">
        <v>168896</v>
      </c>
      <c r="W63" s="185"/>
      <c r="X63" s="185"/>
      <c r="Y63" s="185">
        <v>240908</v>
      </c>
      <c r="Z63" s="185"/>
      <c r="AA63" s="185"/>
      <c r="AB63" s="185"/>
      <c r="AC63" s="185"/>
      <c r="AD63" s="185"/>
      <c r="AE63" s="185"/>
      <c r="AF63" s="185"/>
      <c r="AG63" s="185">
        <v>708889</v>
      </c>
      <c r="AH63" s="185"/>
      <c r="AI63" s="185"/>
      <c r="AJ63" s="185">
        <v>9790369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252925</v>
      </c>
      <c r="AW63" s="185"/>
      <c r="AX63" s="185"/>
      <c r="AY63" s="185">
        <f>6595*(AY59/(AY59+AZ59))</f>
        <v>2111.6599046650117</v>
      </c>
      <c r="AZ63" s="185">
        <f>6595-AY63</f>
        <v>4483.3400953349883</v>
      </c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158541</v>
      </c>
      <c r="BK63" s="185">
        <v>248728</v>
      </c>
      <c r="BL63" s="185"/>
      <c r="BM63" s="185"/>
      <c r="BN63" s="185">
        <v>1130920</v>
      </c>
      <c r="BO63" s="185"/>
      <c r="BP63" s="185"/>
      <c r="BQ63" s="185"/>
      <c r="BR63" s="185">
        <v>35234</v>
      </c>
      <c r="BS63" s="185"/>
      <c r="BT63" s="185"/>
      <c r="BU63" s="185"/>
      <c r="BV63" s="185"/>
      <c r="BW63" s="185"/>
      <c r="BX63" s="185">
        <v>219243</v>
      </c>
      <c r="BY63" s="185"/>
      <c r="BZ63" s="185"/>
      <c r="CA63" s="185"/>
      <c r="CB63" s="185"/>
      <c r="CC63" s="185">
        <f>28083-3</f>
        <v>28080</v>
      </c>
      <c r="CD63" s="248" t="s">
        <v>221</v>
      </c>
      <c r="CE63" s="195">
        <f t="shared" si="0"/>
        <v>14929193</v>
      </c>
      <c r="CF63" s="251"/>
    </row>
    <row r="64" spans="1:84" ht="12.6" customHeight="1" x14ac:dyDescent="0.25">
      <c r="A64" s="171" t="s">
        <v>237</v>
      </c>
      <c r="B64" s="175"/>
      <c r="C64" s="184">
        <v>422686</v>
      </c>
      <c r="D64" s="184">
        <v>150035</v>
      </c>
      <c r="E64" s="185">
        <v>908424</v>
      </c>
      <c r="F64" s="185">
        <v>398240</v>
      </c>
      <c r="G64" s="184"/>
      <c r="H64" s="184">
        <v>111068</v>
      </c>
      <c r="I64" s="185"/>
      <c r="J64" s="185"/>
      <c r="K64" s="185"/>
      <c r="L64" s="185"/>
      <c r="M64" s="184"/>
      <c r="N64" s="184"/>
      <c r="O64" s="184"/>
      <c r="P64" s="185">
        <v>22207249</v>
      </c>
      <c r="Q64" s="185">
        <v>76826</v>
      </c>
      <c r="R64" s="185">
        <v>490646</v>
      </c>
      <c r="S64" s="185">
        <v>386077</v>
      </c>
      <c r="T64" s="185">
        <v>790968</v>
      </c>
      <c r="U64" s="185">
        <v>1972379</v>
      </c>
      <c r="V64" s="185">
        <v>13774</v>
      </c>
      <c r="W64" s="185">
        <v>182997</v>
      </c>
      <c r="X64" s="185">
        <v>182379</v>
      </c>
      <c r="Y64" s="185">
        <v>3574147</v>
      </c>
      <c r="Z64" s="185">
        <v>5398</v>
      </c>
      <c r="AA64" s="185">
        <v>163201</v>
      </c>
      <c r="AB64" s="185">
        <v>10691818</v>
      </c>
      <c r="AC64" s="185">
        <f>245882+207</f>
        <v>246089</v>
      </c>
      <c r="AD64" s="185"/>
      <c r="AE64" s="185">
        <v>34283</v>
      </c>
      <c r="AF64" s="185"/>
      <c r="AG64" s="185">
        <v>560305</v>
      </c>
      <c r="AH64" s="185"/>
      <c r="AI64" s="185"/>
      <c r="AJ64" s="185">
        <v>15237207</v>
      </c>
      <c r="AK64" s="185">
        <v>28757</v>
      </c>
      <c r="AL64" s="185">
        <v>3972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3863444</v>
      </c>
      <c r="AW64" s="185"/>
      <c r="AX64" s="185"/>
      <c r="AY64" s="185">
        <f>1214788*(AY59/(AY59+AZ59))</f>
        <v>388964.23233786208</v>
      </c>
      <c r="AZ64" s="185">
        <f>1214788-AY64</f>
        <v>825823.76766213798</v>
      </c>
      <c r="BA64" s="185"/>
      <c r="BB64" s="185"/>
      <c r="BC64" s="185"/>
      <c r="BD64" s="185">
        <v>-695094</v>
      </c>
      <c r="BE64" s="185">
        <v>595411</v>
      </c>
      <c r="BF64" s="185">
        <v>300610</v>
      </c>
      <c r="BG64" s="185"/>
      <c r="BH64" s="185">
        <v>163211</v>
      </c>
      <c r="BI64" s="185"/>
      <c r="BJ64" s="185">
        <v>13109</v>
      </c>
      <c r="BK64" s="185">
        <v>62762</v>
      </c>
      <c r="BL64" s="185">
        <v>96475</v>
      </c>
      <c r="BM64" s="185"/>
      <c r="BN64" s="185">
        <v>108533</v>
      </c>
      <c r="BO64" s="185">
        <v>61880</v>
      </c>
      <c r="BP64" s="185">
        <v>-123047</v>
      </c>
      <c r="BQ64" s="185"/>
      <c r="BR64" s="185">
        <v>13073</v>
      </c>
      <c r="BS64" s="185">
        <v>1839</v>
      </c>
      <c r="BT64" s="185"/>
      <c r="BU64" s="185"/>
      <c r="BV64" s="185">
        <v>16763</v>
      </c>
      <c r="BW64" s="185">
        <v>11764</v>
      </c>
      <c r="BX64" s="185">
        <v>15878</v>
      </c>
      <c r="BY64" s="185">
        <v>15010</v>
      </c>
      <c r="BZ64" s="185"/>
      <c r="CA64" s="185">
        <v>40096</v>
      </c>
      <c r="CB64" s="185"/>
      <c r="CC64" s="185">
        <f>1052549+1</f>
        <v>1052550</v>
      </c>
      <c r="CD64" s="248" t="s">
        <v>221</v>
      </c>
      <c r="CE64" s="195">
        <f t="shared" si="0"/>
        <v>65667980</v>
      </c>
      <c r="CF64" s="251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>
        <v>1904</v>
      </c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5290</v>
      </c>
      <c r="Q65" s="185"/>
      <c r="R65" s="185"/>
      <c r="S65" s="185">
        <v>483</v>
      </c>
      <c r="T65" s="185">
        <v>1804</v>
      </c>
      <c r="U65" s="185">
        <v>16958</v>
      </c>
      <c r="V65" s="185"/>
      <c r="W65" s="185"/>
      <c r="X65" s="185"/>
      <c r="Y65" s="185">
        <v>34113</v>
      </c>
      <c r="Z65" s="185">
        <v>2225</v>
      </c>
      <c r="AA65" s="185"/>
      <c r="AB65" s="185"/>
      <c r="AC65" s="185">
        <v>1253</v>
      </c>
      <c r="AD65" s="185"/>
      <c r="AE65" s="185"/>
      <c r="AF65" s="185"/>
      <c r="AG65" s="185"/>
      <c r="AH65" s="185"/>
      <c r="AI65" s="185"/>
      <c r="AJ65" s="185">
        <v>222270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874</v>
      </c>
      <c r="AW65" s="185"/>
      <c r="AX65" s="185"/>
      <c r="AY65" s="185">
        <f>702*(AY59/(AY59+AZ59))</f>
        <v>224.77410963985417</v>
      </c>
      <c r="AZ65" s="185">
        <f>702-AY65</f>
        <v>477.22589036014585</v>
      </c>
      <c r="BA65" s="185"/>
      <c r="BB65" s="185"/>
      <c r="BC65" s="185"/>
      <c r="BD65" s="185">
        <v>5634</v>
      </c>
      <c r="BE65" s="185">
        <v>1678860</v>
      </c>
      <c r="BF65" s="185">
        <v>297726</v>
      </c>
      <c r="BG65" s="185"/>
      <c r="BH65" s="185">
        <v>464433</v>
      </c>
      <c r="BI65" s="185"/>
      <c r="BJ65" s="185"/>
      <c r="BK65" s="185">
        <v>7111</v>
      </c>
      <c r="BL65" s="185">
        <v>970</v>
      </c>
      <c r="BM65" s="185"/>
      <c r="BN65" s="185">
        <v>6210</v>
      </c>
      <c r="BO65" s="185"/>
      <c r="BP65" s="185">
        <v>600</v>
      </c>
      <c r="BQ65" s="185"/>
      <c r="BR65" s="185"/>
      <c r="BS65" s="185"/>
      <c r="BT65" s="185"/>
      <c r="BU65" s="185"/>
      <c r="BV65" s="185">
        <v>477</v>
      </c>
      <c r="BW65" s="185"/>
      <c r="BX65" s="185"/>
      <c r="BY65" s="185">
        <v>3671</v>
      </c>
      <c r="BZ65" s="185"/>
      <c r="CA65" s="185"/>
      <c r="CB65" s="185"/>
      <c r="CC65" s="185">
        <f>765544+2</f>
        <v>765546</v>
      </c>
      <c r="CD65" s="248" t="s">
        <v>221</v>
      </c>
      <c r="CE65" s="195">
        <f t="shared" si="0"/>
        <v>3519114</v>
      </c>
      <c r="CF65" s="251"/>
    </row>
    <row r="66" spans="1:84" ht="12.6" customHeight="1" x14ac:dyDescent="0.25">
      <c r="A66" s="171" t="s">
        <v>239</v>
      </c>
      <c r="B66" s="175"/>
      <c r="C66" s="184">
        <v>283071</v>
      </c>
      <c r="D66" s="184">
        <v>92696</v>
      </c>
      <c r="E66" s="184">
        <v>660704</v>
      </c>
      <c r="F66" s="184">
        <v>114491</v>
      </c>
      <c r="G66" s="184"/>
      <c r="H66" s="184">
        <v>39242</v>
      </c>
      <c r="I66" s="184"/>
      <c r="J66" s="184"/>
      <c r="K66" s="185"/>
      <c r="L66" s="185"/>
      <c r="M66" s="184"/>
      <c r="N66" s="184"/>
      <c r="O66" s="185"/>
      <c r="P66" s="185">
        <v>1481679</v>
      </c>
      <c r="Q66" s="185">
        <v>22868</v>
      </c>
      <c r="R66" s="185">
        <v>3870</v>
      </c>
      <c r="S66" s="184">
        <v>408532</v>
      </c>
      <c r="T66" s="184">
        <v>72516</v>
      </c>
      <c r="U66" s="185">
        <v>4396997</v>
      </c>
      <c r="V66" s="185">
        <v>4534</v>
      </c>
      <c r="W66" s="185">
        <v>350809</v>
      </c>
      <c r="X66" s="185">
        <v>314971</v>
      </c>
      <c r="Y66" s="185">
        <v>2600892</v>
      </c>
      <c r="Z66" s="185">
        <v>68074</v>
      </c>
      <c r="AA66" s="185">
        <v>78166</v>
      </c>
      <c r="AB66" s="185">
        <v>323376</v>
      </c>
      <c r="AC66" s="185">
        <v>15441</v>
      </c>
      <c r="AD66" s="185"/>
      <c r="AE66" s="185">
        <v>108790</v>
      </c>
      <c r="AF66" s="185"/>
      <c r="AG66" s="185">
        <v>162374</v>
      </c>
      <c r="AH66" s="185"/>
      <c r="AI66" s="185"/>
      <c r="AJ66" s="185">
        <v>5530945</v>
      </c>
      <c r="AK66" s="185">
        <v>11670</v>
      </c>
      <c r="AL66" s="185">
        <v>436</v>
      </c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3345504</v>
      </c>
      <c r="AW66" s="185"/>
      <c r="AX66" s="185"/>
      <c r="AY66" s="185">
        <f>113337*(AY59/(AY59+AZ59))</f>
        <v>36289.491829419021</v>
      </c>
      <c r="AZ66" s="185">
        <f>113337-AY66</f>
        <v>77047.508170580986</v>
      </c>
      <c r="BA66" s="185">
        <v>-22485</v>
      </c>
      <c r="BB66" s="185"/>
      <c r="BC66" s="185"/>
      <c r="BD66" s="185">
        <v>636980</v>
      </c>
      <c r="BE66" s="185">
        <v>1409201</v>
      </c>
      <c r="BF66" s="185">
        <v>122408</v>
      </c>
      <c r="BG66" s="185"/>
      <c r="BH66" s="185">
        <v>3771722</v>
      </c>
      <c r="BI66" s="185"/>
      <c r="BJ66" s="185">
        <v>-33064</v>
      </c>
      <c r="BK66" s="185">
        <v>823330</v>
      </c>
      <c r="BL66" s="185">
        <v>84754</v>
      </c>
      <c r="BM66" s="185"/>
      <c r="BN66" s="185">
        <v>26720745</v>
      </c>
      <c r="BO66" s="185">
        <v>93588</v>
      </c>
      <c r="BP66" s="185">
        <v>98696</v>
      </c>
      <c r="BQ66" s="185"/>
      <c r="BR66" s="185">
        <v>332996</v>
      </c>
      <c r="BS66" s="185"/>
      <c r="BT66" s="185"/>
      <c r="BU66" s="185"/>
      <c r="BV66" s="185">
        <v>904196</v>
      </c>
      <c r="BW66" s="185">
        <v>168682</v>
      </c>
      <c r="BX66" s="185">
        <v>932327</v>
      </c>
      <c r="BY66" s="185">
        <v>68567</v>
      </c>
      <c r="BZ66" s="185"/>
      <c r="CA66" s="185">
        <v>2424996</v>
      </c>
      <c r="CB66" s="185"/>
      <c r="CC66" s="185">
        <f>1061361-2</f>
        <v>1061359</v>
      </c>
      <c r="CD66" s="248" t="s">
        <v>221</v>
      </c>
      <c r="CE66" s="195">
        <f t="shared" si="0"/>
        <v>60204983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83133</v>
      </c>
      <c r="D67" s="195">
        <f>ROUND(D51+D52,0)</f>
        <v>3583</v>
      </c>
      <c r="E67" s="195">
        <f t="shared" ref="E67:BP67" si="3">ROUND(E51+E52,0)</f>
        <v>197522</v>
      </c>
      <c r="F67" s="195">
        <f t="shared" si="3"/>
        <v>180411</v>
      </c>
      <c r="G67" s="195">
        <f t="shared" si="3"/>
        <v>0</v>
      </c>
      <c r="H67" s="195">
        <f t="shared" si="3"/>
        <v>32069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2715759</v>
      </c>
      <c r="Q67" s="195">
        <f t="shared" si="3"/>
        <v>22445</v>
      </c>
      <c r="R67" s="195">
        <f t="shared" si="3"/>
        <v>49901</v>
      </c>
      <c r="S67" s="195">
        <f t="shared" si="3"/>
        <v>98976</v>
      </c>
      <c r="T67" s="195">
        <f t="shared" si="3"/>
        <v>65079</v>
      </c>
      <c r="U67" s="195">
        <f t="shared" si="3"/>
        <v>163159</v>
      </c>
      <c r="V67" s="195">
        <f t="shared" si="3"/>
        <v>82817</v>
      </c>
      <c r="W67" s="195">
        <f t="shared" si="3"/>
        <v>334471</v>
      </c>
      <c r="X67" s="195">
        <f t="shared" si="3"/>
        <v>146371</v>
      </c>
      <c r="Y67" s="195">
        <f t="shared" si="3"/>
        <v>1407087</v>
      </c>
      <c r="Z67" s="195">
        <f t="shared" si="3"/>
        <v>218441</v>
      </c>
      <c r="AA67" s="195">
        <f t="shared" si="3"/>
        <v>0</v>
      </c>
      <c r="AB67" s="195">
        <f t="shared" si="3"/>
        <v>120002</v>
      </c>
      <c r="AC67" s="195">
        <f t="shared" si="3"/>
        <v>56298</v>
      </c>
      <c r="AD67" s="195">
        <f t="shared" si="3"/>
        <v>0</v>
      </c>
      <c r="AE67" s="195">
        <f t="shared" si="3"/>
        <v>21378</v>
      </c>
      <c r="AF67" s="195">
        <f t="shared" si="3"/>
        <v>0</v>
      </c>
      <c r="AG67" s="195">
        <f t="shared" si="3"/>
        <v>142030</v>
      </c>
      <c r="AH67" s="195">
        <f t="shared" si="3"/>
        <v>0</v>
      </c>
      <c r="AI67" s="195">
        <f t="shared" si="3"/>
        <v>0</v>
      </c>
      <c r="AJ67" s="195">
        <f t="shared" si="3"/>
        <v>804115</v>
      </c>
      <c r="AK67" s="195">
        <f t="shared" si="3"/>
        <v>444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994974</v>
      </c>
      <c r="AW67" s="195">
        <f t="shared" si="3"/>
        <v>0</v>
      </c>
      <c r="AX67" s="195">
        <f t="shared" si="3"/>
        <v>0</v>
      </c>
      <c r="AY67" s="195">
        <f t="shared" si="3"/>
        <v>34527</v>
      </c>
      <c r="AZ67" s="195">
        <f>ROUND(AZ51+AZ52,0)</f>
        <v>73307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61298</v>
      </c>
      <c r="BE67" s="195">
        <f t="shared" si="3"/>
        <v>1896136</v>
      </c>
      <c r="BF67" s="195">
        <f t="shared" si="3"/>
        <v>1023</v>
      </c>
      <c r="BG67" s="195">
        <f t="shared" si="3"/>
        <v>0</v>
      </c>
      <c r="BH67" s="195">
        <f t="shared" si="3"/>
        <v>3575983</v>
      </c>
      <c r="BI67" s="195">
        <f t="shared" si="3"/>
        <v>0</v>
      </c>
      <c r="BJ67" s="195">
        <f t="shared" si="3"/>
        <v>6093</v>
      </c>
      <c r="BK67" s="195">
        <f t="shared" si="3"/>
        <v>14038</v>
      </c>
      <c r="BL67" s="195">
        <f t="shared" si="3"/>
        <v>2217</v>
      </c>
      <c r="BM67" s="195">
        <f t="shared" si="3"/>
        <v>0</v>
      </c>
      <c r="BN67" s="195">
        <f t="shared" si="3"/>
        <v>23999</v>
      </c>
      <c r="BO67" s="195">
        <f t="shared" si="3"/>
        <v>0</v>
      </c>
      <c r="BP67" s="195">
        <f t="shared" si="3"/>
        <v>120137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225</v>
      </c>
      <c r="BT67" s="195">
        <f t="shared" si="4"/>
        <v>0</v>
      </c>
      <c r="BU67" s="195">
        <f t="shared" si="4"/>
        <v>0</v>
      </c>
      <c r="BV67" s="195">
        <f t="shared" si="4"/>
        <v>8954</v>
      </c>
      <c r="BW67" s="195">
        <f t="shared" si="4"/>
        <v>0</v>
      </c>
      <c r="BX67" s="195">
        <f t="shared" si="4"/>
        <v>0</v>
      </c>
      <c r="BY67" s="195">
        <f t="shared" si="4"/>
        <v>248170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2933715</v>
      </c>
      <c r="CD67" s="248" t="s">
        <v>221</v>
      </c>
      <c r="CE67" s="195">
        <f t="shared" si="0"/>
        <v>16940287</v>
      </c>
      <c r="CF67" s="251"/>
    </row>
    <row r="68" spans="1:84" ht="12.6" customHeight="1" x14ac:dyDescent="0.25">
      <c r="A68" s="171" t="s">
        <v>240</v>
      </c>
      <c r="B68" s="175"/>
      <c r="C68" s="184">
        <v>81664</v>
      </c>
      <c r="D68" s="184">
        <v>48989</v>
      </c>
      <c r="E68" s="184">
        <v>126357</v>
      </c>
      <c r="F68" s="184">
        <v>48690</v>
      </c>
      <c r="G68" s="184"/>
      <c r="H68" s="184">
        <v>231</v>
      </c>
      <c r="I68" s="184"/>
      <c r="J68" s="184"/>
      <c r="K68" s="185"/>
      <c r="L68" s="185"/>
      <c r="M68" s="184"/>
      <c r="N68" s="184"/>
      <c r="O68" s="184"/>
      <c r="P68" s="185">
        <v>892459</v>
      </c>
      <c r="Q68" s="185">
        <v>43290</v>
      </c>
      <c r="R68" s="185">
        <v>23083</v>
      </c>
      <c r="S68" s="185">
        <v>250728</v>
      </c>
      <c r="T68" s="185">
        <v>15692</v>
      </c>
      <c r="U68" s="185">
        <v>81080</v>
      </c>
      <c r="V68" s="185">
        <v>98</v>
      </c>
      <c r="W68" s="185">
        <v>78551</v>
      </c>
      <c r="X68" s="185">
        <v>144</v>
      </c>
      <c r="Y68" s="185">
        <v>243013</v>
      </c>
      <c r="Z68" s="185">
        <v>50897</v>
      </c>
      <c r="AA68" s="185"/>
      <c r="AB68" s="185">
        <v>697770</v>
      </c>
      <c r="AC68" s="185">
        <v>94783</v>
      </c>
      <c r="AD68" s="185"/>
      <c r="AE68" s="185">
        <v>255</v>
      </c>
      <c r="AF68" s="185"/>
      <c r="AG68" s="185">
        <v>96388</v>
      </c>
      <c r="AH68" s="185"/>
      <c r="AI68" s="185"/>
      <c r="AJ68" s="185">
        <v>2071849</v>
      </c>
      <c r="AK68" s="185">
        <v>297</v>
      </c>
      <c r="AL68" s="185">
        <v>130</v>
      </c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558773</v>
      </c>
      <c r="AW68" s="185"/>
      <c r="AX68" s="185"/>
      <c r="AY68" s="185">
        <f>395*(AY59/(AY59+AZ59))</f>
        <v>126.4754605523396</v>
      </c>
      <c r="AZ68" s="185">
        <f>395-AY68</f>
        <v>268.5245394476604</v>
      </c>
      <c r="BA68" s="185"/>
      <c r="BB68" s="185"/>
      <c r="BC68" s="185"/>
      <c r="BD68" s="185">
        <v>534904</v>
      </c>
      <c r="BE68" s="185">
        <v>228047</v>
      </c>
      <c r="BF68" s="185">
        <v>689</v>
      </c>
      <c r="BG68" s="185"/>
      <c r="BH68" s="185">
        <v>770750</v>
      </c>
      <c r="BI68" s="185"/>
      <c r="BJ68" s="185">
        <v>91479</v>
      </c>
      <c r="BK68" s="185">
        <v>397</v>
      </c>
      <c r="BL68" s="185">
        <v>77</v>
      </c>
      <c r="BM68" s="185"/>
      <c r="BN68" s="185">
        <v>111228</v>
      </c>
      <c r="BO68" s="185">
        <v>56</v>
      </c>
      <c r="BP68" s="185">
        <v>8</v>
      </c>
      <c r="BQ68" s="185"/>
      <c r="BR68" s="185">
        <v>80086</v>
      </c>
      <c r="BS68" s="185"/>
      <c r="BT68" s="185"/>
      <c r="BU68" s="185"/>
      <c r="BV68" s="185">
        <v>14</v>
      </c>
      <c r="BW68" s="185"/>
      <c r="BX68" s="185">
        <v>526</v>
      </c>
      <c r="BY68" s="185">
        <v>128</v>
      </c>
      <c r="BZ68" s="185"/>
      <c r="CA68" s="185">
        <v>14</v>
      </c>
      <c r="CB68" s="185"/>
      <c r="CC68" s="185">
        <f>1305997+1</f>
        <v>1305998</v>
      </c>
      <c r="CD68" s="248" t="s">
        <v>221</v>
      </c>
      <c r="CE68" s="195">
        <f t="shared" si="0"/>
        <v>8630007</v>
      </c>
      <c r="CF68" s="251"/>
    </row>
    <row r="69" spans="1:84" ht="12.6" customHeight="1" x14ac:dyDescent="0.25">
      <c r="A69" s="171" t="s">
        <v>241</v>
      </c>
      <c r="B69" s="175"/>
      <c r="C69" s="184">
        <v>142</v>
      </c>
      <c r="D69" s="184"/>
      <c r="E69" s="185">
        <v>7849</v>
      </c>
      <c r="F69" s="185">
        <v>4269</v>
      </c>
      <c r="G69" s="184"/>
      <c r="H69" s="184">
        <v>468</v>
      </c>
      <c r="I69" s="185"/>
      <c r="J69" s="185"/>
      <c r="K69" s="185"/>
      <c r="L69" s="185"/>
      <c r="M69" s="184"/>
      <c r="N69" s="184"/>
      <c r="O69" s="184"/>
      <c r="P69" s="185">
        <v>25360</v>
      </c>
      <c r="Q69" s="185">
        <v>250</v>
      </c>
      <c r="R69" s="224">
        <v>2386</v>
      </c>
      <c r="S69" s="185"/>
      <c r="T69" s="184"/>
      <c r="U69" s="185">
        <v>6194</v>
      </c>
      <c r="V69" s="185">
        <v>129</v>
      </c>
      <c r="W69" s="184">
        <v>17</v>
      </c>
      <c r="X69" s="185">
        <v>15</v>
      </c>
      <c r="Y69" s="185">
        <v>26838</v>
      </c>
      <c r="Z69" s="185"/>
      <c r="AA69" s="185"/>
      <c r="AB69" s="185">
        <v>9431</v>
      </c>
      <c r="AC69" s="185">
        <v>862</v>
      </c>
      <c r="AD69" s="185"/>
      <c r="AE69" s="185">
        <v>249</v>
      </c>
      <c r="AF69" s="185"/>
      <c r="AG69" s="185">
        <v>8959</v>
      </c>
      <c r="AH69" s="185"/>
      <c r="AI69" s="185"/>
      <c r="AJ69" s="185">
        <v>735944</v>
      </c>
      <c r="AK69" s="185">
        <v>547</v>
      </c>
      <c r="AL69" s="185">
        <v>-1058</v>
      </c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13700</v>
      </c>
      <c r="AW69" s="185"/>
      <c r="AX69" s="185"/>
      <c r="AY69" s="185">
        <f>137197*(AY59/(AY59+AZ59))</f>
        <v>43929.250028859075</v>
      </c>
      <c r="AZ69" s="185">
        <f>138197-AY69</f>
        <v>94267.749971140933</v>
      </c>
      <c r="BA69" s="185"/>
      <c r="BB69" s="185"/>
      <c r="BC69" s="185"/>
      <c r="BD69" s="185">
        <v>85326</v>
      </c>
      <c r="BE69" s="185">
        <v>515349</v>
      </c>
      <c r="BF69" s="185">
        <v>647</v>
      </c>
      <c r="BG69" s="185"/>
      <c r="BH69" s="224">
        <v>36954</v>
      </c>
      <c r="BI69" s="185"/>
      <c r="BJ69" s="185">
        <v>10851</v>
      </c>
      <c r="BK69" s="185">
        <v>8814</v>
      </c>
      <c r="BL69" s="185">
        <v>1273</v>
      </c>
      <c r="BM69" s="185"/>
      <c r="BN69" s="185">
        <v>695584</v>
      </c>
      <c r="BO69" s="185">
        <v>656</v>
      </c>
      <c r="BP69" s="185">
        <v>2886</v>
      </c>
      <c r="BQ69" s="185"/>
      <c r="BR69" s="185">
        <v>346900</v>
      </c>
      <c r="BS69" s="185">
        <v>50</v>
      </c>
      <c r="BT69" s="185"/>
      <c r="BU69" s="185"/>
      <c r="BV69" s="185">
        <v>13973</v>
      </c>
      <c r="BW69" s="185">
        <v>61049</v>
      </c>
      <c r="BX69" s="185">
        <v>36935</v>
      </c>
      <c r="BY69" s="185">
        <v>21610</v>
      </c>
      <c r="BZ69" s="185"/>
      <c r="CA69" s="185">
        <v>36361</v>
      </c>
      <c r="CB69" s="185"/>
      <c r="CC69" s="185">
        <f>17955+2</f>
        <v>17957</v>
      </c>
      <c r="CD69" s="188">
        <f>C386+C387+C388</f>
        <v>17061993</v>
      </c>
      <c r="CE69" s="195">
        <f t="shared" si="0"/>
        <v>19935916</v>
      </c>
      <c r="CF69" s="251"/>
    </row>
    <row r="70" spans="1:84" ht="12.6" customHeight="1" x14ac:dyDescent="0.25">
      <c r="A70" s="171" t="s">
        <v>242</v>
      </c>
      <c r="B70" s="175"/>
      <c r="C70" s="184"/>
      <c r="D70" s="184"/>
      <c r="E70" s="184">
        <v>109</v>
      </c>
      <c r="F70" s="185">
        <v>6695</v>
      </c>
      <c r="G70" s="184"/>
      <c r="H70" s="184"/>
      <c r="I70" s="184"/>
      <c r="J70" s="185"/>
      <c r="K70" s="185"/>
      <c r="L70" s="185"/>
      <c r="M70" s="184"/>
      <c r="N70" s="184"/>
      <c r="O70" s="184"/>
      <c r="P70" s="184">
        <v>8601</v>
      </c>
      <c r="Q70" s="184"/>
      <c r="R70" s="184"/>
      <c r="S70" s="184">
        <v>805</v>
      </c>
      <c r="T70" s="184"/>
      <c r="U70" s="185">
        <v>42791</v>
      </c>
      <c r="V70" s="184"/>
      <c r="W70" s="184"/>
      <c r="X70" s="185"/>
      <c r="Y70" s="185">
        <v>137592</v>
      </c>
      <c r="Z70" s="185">
        <v>446590</v>
      </c>
      <c r="AA70" s="185"/>
      <c r="AB70" s="185">
        <v>18028</v>
      </c>
      <c r="AC70" s="185"/>
      <c r="AD70" s="185"/>
      <c r="AE70" s="185">
        <v>49624</v>
      </c>
      <c r="AF70" s="185"/>
      <c r="AG70" s="185">
        <v>70</v>
      </c>
      <c r="AH70" s="185"/>
      <c r="AI70" s="185"/>
      <c r="AJ70" s="185">
        <v>2573850</v>
      </c>
      <c r="AK70" s="185"/>
      <c r="AL70" s="185">
        <v>3435</v>
      </c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v>113440</v>
      </c>
      <c r="AW70" s="185"/>
      <c r="AX70" s="185"/>
      <c r="AY70" s="185">
        <f>2033588*(AY59/(AY59+AZ59))</f>
        <v>651136.65537648404</v>
      </c>
      <c r="AZ70" s="185">
        <f>2033588-AY70</f>
        <v>1382451.3446235158</v>
      </c>
      <c r="BA70" s="185">
        <v>1268</v>
      </c>
      <c r="BB70" s="185"/>
      <c r="BC70" s="185"/>
      <c r="BD70" s="185">
        <v>6137</v>
      </c>
      <c r="BE70" s="185">
        <v>1942060</v>
      </c>
      <c r="BF70" s="185"/>
      <c r="BG70" s="185"/>
      <c r="BH70" s="185">
        <v>28317</v>
      </c>
      <c r="BI70" s="185"/>
      <c r="BJ70" s="185">
        <v>58133</v>
      </c>
      <c r="BK70" s="185">
        <v>71176</v>
      </c>
      <c r="BL70" s="185"/>
      <c r="BM70" s="185"/>
      <c r="BN70" s="185">
        <v>315213</v>
      </c>
      <c r="BO70" s="185"/>
      <c r="BP70" s="185">
        <v>41618</v>
      </c>
      <c r="BQ70" s="185"/>
      <c r="BR70" s="185">
        <v>14592</v>
      </c>
      <c r="BS70" s="185"/>
      <c r="BT70" s="185"/>
      <c r="BU70" s="185"/>
      <c r="BV70" s="185">
        <v>73099</v>
      </c>
      <c r="BW70" s="185">
        <v>314</v>
      </c>
      <c r="BX70" s="185">
        <v>2310</v>
      </c>
      <c r="BY70" s="185">
        <v>750</v>
      </c>
      <c r="BZ70" s="185"/>
      <c r="CA70" s="185">
        <v>18434</v>
      </c>
      <c r="CB70" s="185"/>
      <c r="CC70" s="185">
        <f>6089408+1</f>
        <v>6089409</v>
      </c>
      <c r="CD70" s="188"/>
      <c r="CE70" s="195">
        <f t="shared" si="0"/>
        <v>14098048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6712656</v>
      </c>
      <c r="D71" s="195">
        <f t="shared" ref="D71:AI71" si="5">SUM(D61:D69)-D70</f>
        <v>4663172</v>
      </c>
      <c r="E71" s="195">
        <f t="shared" si="5"/>
        <v>23630696</v>
      </c>
      <c r="F71" s="195">
        <f t="shared" si="5"/>
        <v>7883366</v>
      </c>
      <c r="G71" s="195">
        <f t="shared" si="5"/>
        <v>0</v>
      </c>
      <c r="H71" s="195">
        <f t="shared" si="5"/>
        <v>6094603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40119687</v>
      </c>
      <c r="Q71" s="195">
        <f t="shared" si="5"/>
        <v>2499717</v>
      </c>
      <c r="R71" s="195">
        <f t="shared" si="5"/>
        <v>1496488</v>
      </c>
      <c r="S71" s="195">
        <f t="shared" si="5"/>
        <v>2134033</v>
      </c>
      <c r="T71" s="195">
        <f t="shared" si="5"/>
        <v>1191847</v>
      </c>
      <c r="U71" s="195">
        <f t="shared" si="5"/>
        <v>13699247</v>
      </c>
      <c r="V71" s="195">
        <f t="shared" si="5"/>
        <v>737547</v>
      </c>
      <c r="W71" s="195">
        <f t="shared" si="5"/>
        <v>2114756</v>
      </c>
      <c r="X71" s="195">
        <f t="shared" si="5"/>
        <v>1731608</v>
      </c>
      <c r="Y71" s="195">
        <f t="shared" si="5"/>
        <v>15710832</v>
      </c>
      <c r="Z71" s="195">
        <f t="shared" si="5"/>
        <v>-101555</v>
      </c>
      <c r="AA71" s="195">
        <f t="shared" si="5"/>
        <v>516887</v>
      </c>
      <c r="AB71" s="195">
        <f t="shared" si="5"/>
        <v>16093061</v>
      </c>
      <c r="AC71" s="195">
        <f t="shared" si="5"/>
        <v>2175264</v>
      </c>
      <c r="AD71" s="195">
        <f t="shared" si="5"/>
        <v>0</v>
      </c>
      <c r="AE71" s="195">
        <f t="shared" si="5"/>
        <v>3851239</v>
      </c>
      <c r="AF71" s="195">
        <f t="shared" si="5"/>
        <v>0</v>
      </c>
      <c r="AG71" s="195">
        <f t="shared" si="5"/>
        <v>7581562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86530333</v>
      </c>
      <c r="AK71" s="195">
        <f t="shared" si="6"/>
        <v>1718909</v>
      </c>
      <c r="AL71" s="195">
        <f t="shared" si="6"/>
        <v>570071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11904532</v>
      </c>
      <c r="AW71" s="195">
        <f t="shared" si="6"/>
        <v>0</v>
      </c>
      <c r="AX71" s="195">
        <f t="shared" si="6"/>
        <v>0</v>
      </c>
      <c r="AY71" s="195">
        <f t="shared" si="6"/>
        <v>1111808.7138041803</v>
      </c>
      <c r="AZ71" s="195">
        <f t="shared" si="6"/>
        <v>2361522.2861958211</v>
      </c>
      <c r="BA71" s="195">
        <f t="shared" si="6"/>
        <v>68965</v>
      </c>
      <c r="BB71" s="195">
        <f t="shared" si="6"/>
        <v>0</v>
      </c>
      <c r="BC71" s="195">
        <f t="shared" si="6"/>
        <v>0</v>
      </c>
      <c r="BD71" s="195">
        <f t="shared" si="6"/>
        <v>2165532</v>
      </c>
      <c r="BE71" s="195">
        <f t="shared" si="6"/>
        <v>8231983</v>
      </c>
      <c r="BF71" s="195">
        <f t="shared" si="6"/>
        <v>3770508</v>
      </c>
      <c r="BG71" s="195">
        <f t="shared" si="6"/>
        <v>0</v>
      </c>
      <c r="BH71" s="195">
        <f t="shared" si="6"/>
        <v>10356698</v>
      </c>
      <c r="BI71" s="195">
        <f t="shared" si="6"/>
        <v>0</v>
      </c>
      <c r="BJ71" s="195">
        <f t="shared" si="6"/>
        <v>1793448</v>
      </c>
      <c r="BK71" s="195">
        <f t="shared" si="6"/>
        <v>3271534</v>
      </c>
      <c r="BL71" s="195">
        <f t="shared" si="6"/>
        <v>4678585</v>
      </c>
      <c r="BM71" s="195">
        <f t="shared" si="6"/>
        <v>0</v>
      </c>
      <c r="BN71" s="195">
        <f t="shared" si="6"/>
        <v>31420777</v>
      </c>
      <c r="BO71" s="195">
        <f t="shared" si="6"/>
        <v>714918</v>
      </c>
      <c r="BP71" s="195">
        <f t="shared" ref="BP71:CC71" si="7">SUM(BP61:BP69)-BP70</f>
        <v>1692068</v>
      </c>
      <c r="BQ71" s="195">
        <f t="shared" si="7"/>
        <v>0</v>
      </c>
      <c r="BR71" s="195">
        <f t="shared" si="7"/>
        <v>4137163</v>
      </c>
      <c r="BS71" s="195">
        <f t="shared" si="7"/>
        <v>83545</v>
      </c>
      <c r="BT71" s="195">
        <f t="shared" si="7"/>
        <v>0</v>
      </c>
      <c r="BU71" s="195">
        <f t="shared" si="7"/>
        <v>0</v>
      </c>
      <c r="BV71" s="195">
        <f t="shared" si="7"/>
        <v>3453281</v>
      </c>
      <c r="BW71" s="195">
        <f t="shared" si="7"/>
        <v>1051988</v>
      </c>
      <c r="BX71" s="195">
        <f t="shared" si="7"/>
        <v>6161601</v>
      </c>
      <c r="BY71" s="195">
        <f t="shared" si="7"/>
        <v>2009119</v>
      </c>
      <c r="BZ71" s="195">
        <f t="shared" si="7"/>
        <v>0</v>
      </c>
      <c r="CA71" s="195">
        <f t="shared" si="7"/>
        <v>3982027</v>
      </c>
      <c r="CB71" s="195">
        <f t="shared" si="7"/>
        <v>0</v>
      </c>
      <c r="CC71" s="195">
        <f t="shared" si="7"/>
        <v>761407</v>
      </c>
      <c r="CD71" s="244">
        <f>CD69-CD70</f>
        <v>17061993</v>
      </c>
      <c r="CE71" s="195">
        <f>SUM(CE61:CE69)-CE70</f>
        <v>371601029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5">
      <c r="A73" s="171" t="s">
        <v>245</v>
      </c>
      <c r="B73" s="175"/>
      <c r="C73" s="184">
        <v>22988682</v>
      </c>
      <c r="D73" s="184">
        <v>21417199</v>
      </c>
      <c r="E73" s="185">
        <v>82346902</v>
      </c>
      <c r="F73" s="185">
        <v>19316656</v>
      </c>
      <c r="G73" s="184"/>
      <c r="H73" s="184">
        <v>27761842</v>
      </c>
      <c r="I73" s="185"/>
      <c r="J73" s="185"/>
      <c r="K73" s="185"/>
      <c r="L73" s="185"/>
      <c r="M73" s="184"/>
      <c r="N73" s="184"/>
      <c r="O73" s="184"/>
      <c r="P73" s="185">
        <v>110954702</v>
      </c>
      <c r="Q73" s="185">
        <v>5357183</v>
      </c>
      <c r="R73" s="185">
        <v>11862064</v>
      </c>
      <c r="S73" s="185">
        <v>1570895</v>
      </c>
      <c r="T73" s="185">
        <v>1289019</v>
      </c>
      <c r="U73" s="185">
        <v>31579596</v>
      </c>
      <c r="V73" s="185">
        <v>3301846</v>
      </c>
      <c r="W73" s="185">
        <v>7244184</v>
      </c>
      <c r="X73" s="185">
        <v>19652109</v>
      </c>
      <c r="Y73" s="185">
        <v>30120845</v>
      </c>
      <c r="Z73" s="185">
        <v>114645</v>
      </c>
      <c r="AA73" s="185">
        <v>414040</v>
      </c>
      <c r="AB73" s="185">
        <v>46502899</v>
      </c>
      <c r="AC73" s="185">
        <v>8722030</v>
      </c>
      <c r="AD73" s="185"/>
      <c r="AE73" s="185">
        <v>4530400</v>
      </c>
      <c r="AF73" s="185"/>
      <c r="AG73" s="185">
        <v>25500864</v>
      </c>
      <c r="AH73" s="185"/>
      <c r="AI73" s="185"/>
      <c r="AJ73" s="185"/>
      <c r="AK73" s="185">
        <v>3152306</v>
      </c>
      <c r="AL73" s="185">
        <v>1093604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9991102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496785614</v>
      </c>
      <c r="CF73" s="251"/>
    </row>
    <row r="74" spans="1:84" ht="12.6" customHeight="1" x14ac:dyDescent="0.25">
      <c r="A74" s="171" t="s">
        <v>246</v>
      </c>
      <c r="B74" s="175"/>
      <c r="C74" s="184">
        <v>87855</v>
      </c>
      <c r="D74" s="184">
        <v>933688</v>
      </c>
      <c r="E74" s="185">
        <v>4868350</v>
      </c>
      <c r="F74" s="185">
        <v>1371569</v>
      </c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154473729</v>
      </c>
      <c r="Q74" s="185">
        <v>9069608</v>
      </c>
      <c r="R74" s="185">
        <v>17086123</v>
      </c>
      <c r="S74" s="185">
        <v>-7876</v>
      </c>
      <c r="T74" s="185">
        <v>35801</v>
      </c>
      <c r="U74" s="185">
        <v>38477670</v>
      </c>
      <c r="V74" s="185">
        <v>4826345</v>
      </c>
      <c r="W74" s="185">
        <v>24206730</v>
      </c>
      <c r="X74" s="185">
        <v>36736866</v>
      </c>
      <c r="Y74" s="185">
        <v>69237284</v>
      </c>
      <c r="Z74" s="185"/>
      <c r="AA74" s="185">
        <v>1704609</v>
      </c>
      <c r="AB74" s="185">
        <v>31549035</v>
      </c>
      <c r="AC74" s="185">
        <v>1239649</v>
      </c>
      <c r="AD74" s="185"/>
      <c r="AE74" s="185">
        <v>6014521</v>
      </c>
      <c r="AF74" s="185"/>
      <c r="AG74" s="185">
        <v>57023328</v>
      </c>
      <c r="AH74" s="185"/>
      <c r="AI74" s="185"/>
      <c r="AJ74" s="185">
        <v>100868094</v>
      </c>
      <c r="AK74" s="185">
        <v>2847249</v>
      </c>
      <c r="AL74" s="185">
        <v>652116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45458031+63643+1</f>
        <v>45521675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608824018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23076537</v>
      </c>
      <c r="D75" s="195">
        <f t="shared" si="9"/>
        <v>22350887</v>
      </c>
      <c r="E75" s="195">
        <f t="shared" si="9"/>
        <v>87215252</v>
      </c>
      <c r="F75" s="195">
        <f t="shared" si="9"/>
        <v>20688225</v>
      </c>
      <c r="G75" s="195">
        <f t="shared" si="9"/>
        <v>0</v>
      </c>
      <c r="H75" s="195">
        <f t="shared" si="9"/>
        <v>27761842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265428431</v>
      </c>
      <c r="Q75" s="195">
        <f t="shared" si="9"/>
        <v>14426791</v>
      </c>
      <c r="R75" s="195">
        <f t="shared" si="9"/>
        <v>28948187</v>
      </c>
      <c r="S75" s="195">
        <f t="shared" si="9"/>
        <v>1563019</v>
      </c>
      <c r="T75" s="195">
        <f t="shared" si="9"/>
        <v>1324820</v>
      </c>
      <c r="U75" s="195">
        <f t="shared" si="9"/>
        <v>70057266</v>
      </c>
      <c r="V75" s="195">
        <f t="shared" si="9"/>
        <v>8128191</v>
      </c>
      <c r="W75" s="195">
        <f t="shared" si="9"/>
        <v>31450914</v>
      </c>
      <c r="X75" s="195">
        <f t="shared" si="9"/>
        <v>56388975</v>
      </c>
      <c r="Y75" s="195">
        <f t="shared" si="9"/>
        <v>99358129</v>
      </c>
      <c r="Z75" s="195">
        <f t="shared" si="9"/>
        <v>114645</v>
      </c>
      <c r="AA75" s="195">
        <f t="shared" si="9"/>
        <v>2118649</v>
      </c>
      <c r="AB75" s="195">
        <f t="shared" si="9"/>
        <v>78051934</v>
      </c>
      <c r="AC75" s="195">
        <f t="shared" si="9"/>
        <v>9961679</v>
      </c>
      <c r="AD75" s="195">
        <f t="shared" si="9"/>
        <v>0</v>
      </c>
      <c r="AE75" s="195">
        <f t="shared" si="9"/>
        <v>10544921</v>
      </c>
      <c r="AF75" s="195">
        <f t="shared" si="9"/>
        <v>0</v>
      </c>
      <c r="AG75" s="195">
        <f t="shared" si="9"/>
        <v>82524192</v>
      </c>
      <c r="AH75" s="195">
        <f t="shared" si="9"/>
        <v>0</v>
      </c>
      <c r="AI75" s="195">
        <f t="shared" si="9"/>
        <v>0</v>
      </c>
      <c r="AJ75" s="195">
        <f t="shared" si="9"/>
        <v>100868094</v>
      </c>
      <c r="AK75" s="195">
        <f t="shared" si="9"/>
        <v>5999555</v>
      </c>
      <c r="AL75" s="195">
        <f t="shared" si="9"/>
        <v>1745720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55512777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1105609632</v>
      </c>
      <c r="CF75" s="251"/>
    </row>
    <row r="76" spans="1:84" ht="12.6" customHeight="1" x14ac:dyDescent="0.25">
      <c r="A76" s="171" t="s">
        <v>248</v>
      </c>
      <c r="B76" s="175"/>
      <c r="C76" s="184">
        <v>8019</v>
      </c>
      <c r="D76" s="184">
        <v>8222</v>
      </c>
      <c r="E76" s="185">
        <v>47741</v>
      </c>
      <c r="F76" s="185">
        <v>13745</v>
      </c>
      <c r="G76" s="184"/>
      <c r="H76" s="184">
        <v>14924</v>
      </c>
      <c r="I76" s="185"/>
      <c r="J76" s="185"/>
      <c r="K76" s="185"/>
      <c r="L76" s="185"/>
      <c r="M76" s="185"/>
      <c r="N76" s="185"/>
      <c r="O76" s="185"/>
      <c r="P76" s="185">
        <v>53579</v>
      </c>
      <c r="Q76" s="185">
        <v>3494</v>
      </c>
      <c r="R76" s="185">
        <v>971</v>
      </c>
      <c r="S76" s="185"/>
      <c r="T76" s="185"/>
      <c r="U76" s="185">
        <v>13550</v>
      </c>
      <c r="V76" s="185">
        <v>523</v>
      </c>
      <c r="W76" s="185">
        <v>4306</v>
      </c>
      <c r="X76" s="185">
        <v>1417</v>
      </c>
      <c r="Y76" s="185">
        <v>31547</v>
      </c>
      <c r="Z76" s="185"/>
      <c r="AA76" s="185">
        <v>859</v>
      </c>
      <c r="AB76" s="185">
        <v>2571</v>
      </c>
      <c r="AC76" s="185">
        <v>1098</v>
      </c>
      <c r="AD76" s="185"/>
      <c r="AE76" s="185">
        <v>17191</v>
      </c>
      <c r="AF76" s="185"/>
      <c r="AG76" s="185">
        <v>12046</v>
      </c>
      <c r="AH76" s="185"/>
      <c r="AI76" s="185"/>
      <c r="AJ76" s="185">
        <v>77819</v>
      </c>
      <c r="AK76" s="185">
        <v>3224</v>
      </c>
      <c r="AL76" s="185">
        <v>1299</v>
      </c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30230</v>
      </c>
      <c r="AW76" s="185"/>
      <c r="AX76" s="185"/>
      <c r="AY76" s="185">
        <f>14448*(AY59/(AY59+AZ59))</f>
        <v>4626.1201368612719</v>
      </c>
      <c r="AZ76" s="185">
        <f>14448-AY76</f>
        <v>9821.879863138729</v>
      </c>
      <c r="BA76" s="185"/>
      <c r="BB76" s="185"/>
      <c r="BC76" s="185"/>
      <c r="BD76" s="185">
        <v>4643</v>
      </c>
      <c r="BE76" s="185">
        <v>7617</v>
      </c>
      <c r="BF76" s="185">
        <v>4126</v>
      </c>
      <c r="BG76" s="185"/>
      <c r="BH76" s="185">
        <v>16263</v>
      </c>
      <c r="BI76" s="185"/>
      <c r="BJ76" s="185">
        <v>3306</v>
      </c>
      <c r="BK76" s="185">
        <v>5123</v>
      </c>
      <c r="BL76" s="185">
        <v>4513</v>
      </c>
      <c r="BM76" s="185"/>
      <c r="BN76" s="185">
        <v>1475</v>
      </c>
      <c r="BO76" s="185">
        <v>965</v>
      </c>
      <c r="BP76" s="185">
        <v>2679</v>
      </c>
      <c r="BQ76" s="185"/>
      <c r="BR76" s="185">
        <v>2898</v>
      </c>
      <c r="BS76" s="185"/>
      <c r="BT76" s="185"/>
      <c r="BU76" s="185"/>
      <c r="BV76" s="185">
        <v>5499</v>
      </c>
      <c r="BW76" s="185">
        <v>2275</v>
      </c>
      <c r="BX76" s="185">
        <v>2532</v>
      </c>
      <c r="BY76" s="185">
        <v>984</v>
      </c>
      <c r="BZ76" s="185"/>
      <c r="CA76" s="185">
        <v>5894</v>
      </c>
      <c r="CB76" s="185"/>
      <c r="CC76" s="185">
        <v>1697</v>
      </c>
      <c r="CD76" s="248" t="s">
        <v>221</v>
      </c>
      <c r="CE76" s="195">
        <f t="shared" si="8"/>
        <v>435312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15906</v>
      </c>
      <c r="D77" s="184">
        <v>18761</v>
      </c>
      <c r="E77" s="184">
        <f>45578+51494+7436+7165+3106</f>
        <v>114779</v>
      </c>
      <c r="F77" s="184">
        <v>19247</v>
      </c>
      <c r="G77" s="184"/>
      <c r="H77" s="184">
        <v>39338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208031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3875</v>
      </c>
      <c r="D78" s="184">
        <v>3973</v>
      </c>
      <c r="E78" s="184">
        <v>23069</v>
      </c>
      <c r="F78" s="184">
        <v>6642</v>
      </c>
      <c r="G78" s="184"/>
      <c r="H78" s="184">
        <v>7211</v>
      </c>
      <c r="I78" s="184"/>
      <c r="J78" s="184"/>
      <c r="K78" s="184"/>
      <c r="L78" s="184"/>
      <c r="M78" s="184"/>
      <c r="N78" s="184"/>
      <c r="O78" s="184"/>
      <c r="P78" s="184">
        <v>18717</v>
      </c>
      <c r="Q78" s="184">
        <v>1688</v>
      </c>
      <c r="R78" s="184">
        <v>469</v>
      </c>
      <c r="S78" s="184"/>
      <c r="T78" s="184"/>
      <c r="U78" s="184">
        <v>3619</v>
      </c>
      <c r="V78" s="184">
        <v>253</v>
      </c>
      <c r="W78" s="184">
        <v>885</v>
      </c>
      <c r="X78" s="184">
        <v>685</v>
      </c>
      <c r="Y78" s="184">
        <v>6740</v>
      </c>
      <c r="Z78" s="184"/>
      <c r="AA78" s="184">
        <v>415</v>
      </c>
      <c r="AB78" s="184">
        <v>1242</v>
      </c>
      <c r="AC78" s="184">
        <v>531</v>
      </c>
      <c r="AD78" s="184"/>
      <c r="AE78" s="184">
        <v>2007</v>
      </c>
      <c r="AF78" s="184"/>
      <c r="AG78" s="184">
        <v>5821</v>
      </c>
      <c r="AH78" s="184"/>
      <c r="AI78" s="184"/>
      <c r="AJ78" s="184"/>
      <c r="AK78" s="184">
        <v>1558</v>
      </c>
      <c r="AL78" s="184">
        <v>628</v>
      </c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f>6706+2</f>
        <v>6708</v>
      </c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>
        <v>1796</v>
      </c>
      <c r="BI78" s="184"/>
      <c r="BJ78" s="248" t="s">
        <v>221</v>
      </c>
      <c r="BK78" s="184"/>
      <c r="BL78" s="184">
        <v>1886</v>
      </c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>
        <v>2657</v>
      </c>
      <c r="BW78" s="184">
        <v>1099</v>
      </c>
      <c r="BX78" s="184">
        <v>1223</v>
      </c>
      <c r="BY78" s="184">
        <v>475</v>
      </c>
      <c r="BZ78" s="184"/>
      <c r="CA78" s="184">
        <v>2848</v>
      </c>
      <c r="CB78" s="184"/>
      <c r="CC78" s="248" t="s">
        <v>221</v>
      </c>
      <c r="CD78" s="248" t="s">
        <v>221</v>
      </c>
      <c r="CE78" s="195">
        <f t="shared" si="8"/>
        <v>108720</v>
      </c>
      <c r="CF78" s="195"/>
    </row>
    <row r="79" spans="1:84" ht="12.6" customHeight="1" x14ac:dyDescent="0.25">
      <c r="A79" s="171" t="s">
        <v>251</v>
      </c>
      <c r="B79" s="175"/>
      <c r="C79" s="225">
        <v>169045.61</v>
      </c>
      <c r="D79" s="225"/>
      <c r="E79" s="184">
        <v>420803.51</v>
      </c>
      <c r="F79" s="184">
        <v>120782.46</v>
      </c>
      <c r="G79" s="184"/>
      <c r="H79" s="184">
        <v>63280.7</v>
      </c>
      <c r="I79" s="184"/>
      <c r="J79" s="184"/>
      <c r="K79" s="184"/>
      <c r="L79" s="184"/>
      <c r="M79" s="184"/>
      <c r="N79" s="184"/>
      <c r="O79" s="184"/>
      <c r="P79" s="184">
        <v>464387.72</v>
      </c>
      <c r="Q79" s="184">
        <v>29728.07</v>
      </c>
      <c r="R79" s="184"/>
      <c r="S79" s="184">
        <v>453173.68</v>
      </c>
      <c r="T79" s="184"/>
      <c r="U79" s="184">
        <v>19822.810000000001</v>
      </c>
      <c r="V79" s="184">
        <v>3908.77</v>
      </c>
      <c r="W79" s="184">
        <v>12101.75</v>
      </c>
      <c r="X79" s="184"/>
      <c r="Y79" s="184">
        <v>197957.89</v>
      </c>
      <c r="Z79" s="184"/>
      <c r="AA79" s="184"/>
      <c r="AB79" s="184">
        <v>4521.05</v>
      </c>
      <c r="AC79" s="184"/>
      <c r="AD79" s="184"/>
      <c r="AE79" s="184">
        <v>2870.18</v>
      </c>
      <c r="AF79" s="184"/>
      <c r="AG79" s="184">
        <v>218535.09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86345.61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2267264.9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40.89</v>
      </c>
      <c r="D80" s="187">
        <v>33.82</v>
      </c>
      <c r="E80" s="187">
        <v>191.83</v>
      </c>
      <c r="F80" s="187">
        <v>41.67</v>
      </c>
      <c r="G80" s="187"/>
      <c r="H80" s="187">
        <v>46.84</v>
      </c>
      <c r="I80" s="187"/>
      <c r="J80" s="187"/>
      <c r="K80" s="187"/>
      <c r="L80" s="187"/>
      <c r="M80" s="187"/>
      <c r="N80" s="187"/>
      <c r="O80" s="187"/>
      <c r="P80" s="187">
        <v>68.290000000000006</v>
      </c>
      <c r="Q80" s="187">
        <v>16.16</v>
      </c>
      <c r="R80" s="187"/>
      <c r="S80" s="187"/>
      <c r="T80" s="187">
        <v>1.65</v>
      </c>
      <c r="U80" s="187"/>
      <c r="V80" s="187"/>
      <c r="W80" s="187"/>
      <c r="X80" s="187"/>
      <c r="Y80" s="187">
        <v>10.52</v>
      </c>
      <c r="Z80" s="187"/>
      <c r="AA80" s="187"/>
      <c r="AB80" s="187"/>
      <c r="AC80" s="187"/>
      <c r="AD80" s="187"/>
      <c r="AE80" s="187"/>
      <c r="AF80" s="187"/>
      <c r="AG80" s="187">
        <v>33.380000000000003</v>
      </c>
      <c r="AH80" s="187"/>
      <c r="AI80" s="187"/>
      <c r="AJ80" s="187">
        <v>48.03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15.21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548.29000000000008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0" t="s">
        <v>1266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1269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69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69" t="s">
        <v>1272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84" t="s">
        <v>1278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9945</v>
      </c>
      <c r="D111" s="174">
        <v>49375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1166</v>
      </c>
      <c r="D114" s="174">
        <v>1880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15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17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127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18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27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204</v>
      </c>
    </row>
    <row r="128" spans="1:5" ht="12.6" customHeight="1" x14ac:dyDescent="0.25">
      <c r="A128" s="173" t="s">
        <v>292</v>
      </c>
      <c r="B128" s="172" t="s">
        <v>256</v>
      </c>
      <c r="C128" s="189">
        <v>281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8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5366</v>
      </c>
      <c r="C138" s="189">
        <v>1345</v>
      </c>
      <c r="D138" s="174">
        <v>3234</v>
      </c>
      <c r="E138" s="175">
        <f>SUM(B138:D138)</f>
        <v>9945</v>
      </c>
    </row>
    <row r="139" spans="1:6" ht="12.6" customHeight="1" x14ac:dyDescent="0.25">
      <c r="A139" s="173" t="s">
        <v>215</v>
      </c>
      <c r="B139" s="174">
        <v>31157</v>
      </c>
      <c r="C139" s="189">
        <v>8030</v>
      </c>
      <c r="D139" s="174">
        <v>10188</v>
      </c>
      <c r="E139" s="175">
        <f>SUM(B139:D139)</f>
        <v>49375</v>
      </c>
    </row>
    <row r="140" spans="1:6" ht="12.6" customHeight="1" x14ac:dyDescent="0.25">
      <c r="A140" s="173" t="s">
        <v>298</v>
      </c>
      <c r="B140" s="174">
        <v>229687</v>
      </c>
      <c r="C140" s="174">
        <v>73216</v>
      </c>
      <c r="D140" s="174">
        <v>202576</v>
      </c>
      <c r="E140" s="175">
        <f>SUM(B140:D140)</f>
        <v>505479</v>
      </c>
    </row>
    <row r="141" spans="1:6" ht="12.6" customHeight="1" x14ac:dyDescent="0.25">
      <c r="A141" s="173" t="s">
        <v>245</v>
      </c>
      <c r="B141" s="174">
        <v>237025008</v>
      </c>
      <c r="C141" s="189">
        <v>69448912</v>
      </c>
      <c r="D141" s="174">
        <f>190311693+1</f>
        <v>190311694</v>
      </c>
      <c r="E141" s="175">
        <f>SUM(B141:D141)</f>
        <v>496785614</v>
      </c>
      <c r="F141" s="199"/>
    </row>
    <row r="142" spans="1:6" ht="12.6" customHeight="1" x14ac:dyDescent="0.25">
      <c r="A142" s="173" t="s">
        <v>246</v>
      </c>
      <c r="B142" s="174">
        <v>276645828</v>
      </c>
      <c r="C142" s="189">
        <v>88185406</v>
      </c>
      <c r="D142" s="174">
        <v>243992784</v>
      </c>
      <c r="E142" s="175">
        <f>SUM(B142:D142)</f>
        <v>608824018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10991244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144419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1352861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15581417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64497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4924690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2687580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35746708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4673742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1004600+2951665</f>
        <v>3956265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8630007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1305760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1270702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2576462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165677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10494559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10660236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3825296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3825296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10816822</v>
      </c>
      <c r="C195" s="189"/>
      <c r="D195" s="174"/>
      <c r="E195" s="175">
        <f t="shared" ref="E195:E203" si="10">SUM(B195:C195)-D195</f>
        <v>10816822</v>
      </c>
    </row>
    <row r="196" spans="1:8" ht="12.6" customHeight="1" x14ac:dyDescent="0.25">
      <c r="A196" s="173" t="s">
        <v>333</v>
      </c>
      <c r="B196" s="174">
        <v>5984429</v>
      </c>
      <c r="C196" s="189"/>
      <c r="D196" s="174"/>
      <c r="E196" s="175">
        <f t="shared" si="10"/>
        <v>5984429</v>
      </c>
    </row>
    <row r="197" spans="1:8" ht="12.6" customHeight="1" x14ac:dyDescent="0.25">
      <c r="A197" s="173" t="s">
        <v>334</v>
      </c>
      <c r="B197" s="174">
        <v>134497495</v>
      </c>
      <c r="C197" s="189">
        <v>7693600</v>
      </c>
      <c r="D197" s="174"/>
      <c r="E197" s="175">
        <f t="shared" si="10"/>
        <v>142191095</v>
      </c>
    </row>
    <row r="198" spans="1:8" ht="12.6" customHeight="1" x14ac:dyDescent="0.25">
      <c r="A198" s="173" t="s">
        <v>335</v>
      </c>
      <c r="B198" s="174">
        <v>46637015</v>
      </c>
      <c r="C198" s="189">
        <v>40126</v>
      </c>
      <c r="D198" s="174"/>
      <c r="E198" s="175">
        <f t="shared" si="10"/>
        <v>46677141</v>
      </c>
    </row>
    <row r="199" spans="1:8" ht="12.6" customHeight="1" x14ac:dyDescent="0.25">
      <c r="A199" s="173" t="s">
        <v>336</v>
      </c>
      <c r="B199" s="174"/>
      <c r="C199" s="189">
        <v>105250</v>
      </c>
      <c r="D199" s="174"/>
      <c r="E199" s="175">
        <f t="shared" si="10"/>
        <v>105250</v>
      </c>
    </row>
    <row r="200" spans="1:8" ht="12.6" customHeight="1" x14ac:dyDescent="0.25">
      <c r="A200" s="173" t="s">
        <v>337</v>
      </c>
      <c r="B200" s="174">
        <v>170229961</v>
      </c>
      <c r="C200" s="189">
        <v>7471726</v>
      </c>
      <c r="D200" s="174">
        <v>740571</v>
      </c>
      <c r="E200" s="175">
        <f t="shared" si="10"/>
        <v>176961116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20352667</v>
      </c>
      <c r="C202" s="189">
        <v>255678</v>
      </c>
      <c r="D202" s="174">
        <f>-20858+2475387</f>
        <v>2454529</v>
      </c>
      <c r="E202" s="175">
        <f t="shared" si="10"/>
        <v>18153816</v>
      </c>
    </row>
    <row r="203" spans="1:8" ht="12.6" customHeight="1" x14ac:dyDescent="0.25">
      <c r="A203" s="173" t="s">
        <v>340</v>
      </c>
      <c r="B203" s="174">
        <v>4011880</v>
      </c>
      <c r="C203" s="189">
        <v>14033676</v>
      </c>
      <c r="D203" s="174">
        <f>15326812+246584</f>
        <v>15573396</v>
      </c>
      <c r="E203" s="175">
        <f t="shared" si="10"/>
        <v>2472160</v>
      </c>
    </row>
    <row r="204" spans="1:8" ht="12.6" customHeight="1" x14ac:dyDescent="0.25">
      <c r="A204" s="173" t="s">
        <v>203</v>
      </c>
      <c r="B204" s="175">
        <f>SUM(B195:B203)</f>
        <v>392530269</v>
      </c>
      <c r="C204" s="191">
        <f>SUM(C195:C203)</f>
        <v>29600056</v>
      </c>
      <c r="D204" s="175">
        <f>SUM(D195:D203)</f>
        <v>18768496</v>
      </c>
      <c r="E204" s="175">
        <f>SUM(E195:E203)</f>
        <v>403361829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5142430</v>
      </c>
      <c r="C209" s="189">
        <v>175579</v>
      </c>
      <c r="D209" s="174"/>
      <c r="E209" s="175">
        <f t="shared" ref="E209:E216" si="11">SUM(B209:C209)-D209</f>
        <v>5318009</v>
      </c>
      <c r="H209" s="258"/>
    </row>
    <row r="210" spans="1:8" ht="12.6" customHeight="1" x14ac:dyDescent="0.25">
      <c r="A210" s="173" t="s">
        <v>334</v>
      </c>
      <c r="B210" s="174">
        <v>82160593</v>
      </c>
      <c r="C210" s="189">
        <v>5623063</v>
      </c>
      <c r="D210" s="174"/>
      <c r="E210" s="175">
        <f t="shared" si="11"/>
        <v>87783656</v>
      </c>
      <c r="H210" s="258"/>
    </row>
    <row r="211" spans="1:8" ht="12.6" customHeight="1" x14ac:dyDescent="0.25">
      <c r="A211" s="173" t="s">
        <v>335</v>
      </c>
      <c r="B211" s="174">
        <v>36996609</v>
      </c>
      <c r="C211" s="189">
        <v>653761</v>
      </c>
      <c r="D211" s="174"/>
      <c r="E211" s="175">
        <f t="shared" si="11"/>
        <v>37650370</v>
      </c>
      <c r="H211" s="258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8"/>
    </row>
    <row r="213" spans="1:8" ht="12.6" customHeight="1" x14ac:dyDescent="0.25">
      <c r="A213" s="173" t="s">
        <v>337</v>
      </c>
      <c r="B213" s="174">
        <v>144212636</v>
      </c>
      <c r="C213" s="189">
        <v>8833787</v>
      </c>
      <c r="D213" s="174">
        <v>311824</v>
      </c>
      <c r="E213" s="175">
        <f t="shared" si="11"/>
        <v>152734599</v>
      </c>
      <c r="H213" s="258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>
        <v>12459476</v>
      </c>
      <c r="C215" s="189">
        <f>1160667.5</f>
        <v>1160667.5</v>
      </c>
      <c r="D215" s="174">
        <v>2265867</v>
      </c>
      <c r="E215" s="175">
        <f t="shared" si="11"/>
        <v>11354276.5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280971744</v>
      </c>
      <c r="C217" s="191">
        <f>SUM(C208:C216)</f>
        <v>16446857.5</v>
      </c>
      <c r="D217" s="175">
        <f>SUM(D208:D216)</f>
        <v>2577691</v>
      </c>
      <c r="E217" s="175">
        <f>SUM(E208:E216)</f>
        <v>294840910.5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5" t="s">
        <v>1255</v>
      </c>
      <c r="C220" s="285"/>
      <c r="D220" s="208"/>
      <c r="E220" s="208"/>
    </row>
    <row r="221" spans="1:8" ht="12.6" customHeight="1" x14ac:dyDescent="0.25">
      <c r="A221" s="270" t="s">
        <v>1255</v>
      </c>
      <c r="B221" s="208"/>
      <c r="C221" s="189">
        <v>8243193</v>
      </c>
      <c r="D221" s="172">
        <f>C221</f>
        <v>8243193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367958242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117767746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-122667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14002491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200521871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41879286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742006969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2061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6090306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6752960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12843266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v>2234528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2234528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765327956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1787513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123993498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88639885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5016370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4676713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4264497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51098706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>
        <v>4671401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42042605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5696245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52410251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10816822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5984429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142191095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46677141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105250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176961116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18153816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2472160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403361829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294840911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108520918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5370613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2041481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7412094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219441969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10843757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19769283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4756777.5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9622649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4048310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49040776.5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>
        <v>7313835.0999999996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1363635.05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62694865.350000001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f>35449721+4048310.6</f>
        <v>39498031.600000001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110870367.09999999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4048310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106822057.09999999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63579135.399999999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219441969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219441969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496785614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608824018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1105609632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8243193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f>344907501+399333996</f>
        <v>744241497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12843266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765327956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340281676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14098048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14098048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354379724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160124891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35746706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10901564+4027629</f>
        <v>14929193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65667980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3519114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60204983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16940287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8630007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2576461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10660236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3825296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2873923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385699077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-31319353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3001046+2743414-737256+1</f>
        <v>5007205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-26312148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-26312148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UW Medicine/Northwest Hospital   H-0     FYE 06/30/2017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9945</v>
      </c>
      <c r="C414" s="194">
        <f>E138</f>
        <v>9945</v>
      </c>
      <c r="D414" s="179"/>
    </row>
    <row r="415" spans="1:5" ht="12.6" customHeight="1" x14ac:dyDescent="0.25">
      <c r="A415" s="179" t="s">
        <v>464</v>
      </c>
      <c r="B415" s="179">
        <f>D111</f>
        <v>49375</v>
      </c>
      <c r="C415" s="179">
        <f>E139</f>
        <v>49375</v>
      </c>
      <c r="D415" s="194">
        <f>SUM(C59:H59)+N59</f>
        <v>50492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1166</v>
      </c>
    </row>
    <row r="424" spans="1:7" ht="12.6" customHeight="1" x14ac:dyDescent="0.25">
      <c r="A424" s="179" t="s">
        <v>1244</v>
      </c>
      <c r="B424" s="179">
        <f>D114</f>
        <v>1880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160124891</v>
      </c>
      <c r="C427" s="179">
        <f t="shared" ref="C427:C434" si="13">CE61</f>
        <v>160124891</v>
      </c>
      <c r="D427" s="179"/>
    </row>
    <row r="428" spans="1:7" ht="12.6" customHeight="1" x14ac:dyDescent="0.25">
      <c r="A428" s="179" t="s">
        <v>3</v>
      </c>
      <c r="B428" s="179">
        <f t="shared" si="12"/>
        <v>35746706</v>
      </c>
      <c r="C428" s="179">
        <f t="shared" si="13"/>
        <v>35746706</v>
      </c>
      <c r="D428" s="179">
        <f>D173</f>
        <v>35746708</v>
      </c>
    </row>
    <row r="429" spans="1:7" ht="12.6" customHeight="1" x14ac:dyDescent="0.25">
      <c r="A429" s="179" t="s">
        <v>236</v>
      </c>
      <c r="B429" s="179">
        <f t="shared" si="12"/>
        <v>14929193</v>
      </c>
      <c r="C429" s="179">
        <f t="shared" si="13"/>
        <v>14929193</v>
      </c>
      <c r="D429" s="179"/>
    </row>
    <row r="430" spans="1:7" ht="12.6" customHeight="1" x14ac:dyDescent="0.25">
      <c r="A430" s="179" t="s">
        <v>237</v>
      </c>
      <c r="B430" s="179">
        <f t="shared" si="12"/>
        <v>65667980</v>
      </c>
      <c r="C430" s="179">
        <f t="shared" si="13"/>
        <v>65667980</v>
      </c>
      <c r="D430" s="179"/>
    </row>
    <row r="431" spans="1:7" ht="12.6" customHeight="1" x14ac:dyDescent="0.25">
      <c r="A431" s="179" t="s">
        <v>444</v>
      </c>
      <c r="B431" s="179">
        <f t="shared" si="12"/>
        <v>3519114</v>
      </c>
      <c r="C431" s="179">
        <f t="shared" si="13"/>
        <v>3519114</v>
      </c>
      <c r="D431" s="179"/>
    </row>
    <row r="432" spans="1:7" ht="12.6" customHeight="1" x14ac:dyDescent="0.25">
      <c r="A432" s="179" t="s">
        <v>445</v>
      </c>
      <c r="B432" s="179">
        <f t="shared" si="12"/>
        <v>60204983</v>
      </c>
      <c r="C432" s="179">
        <f t="shared" si="13"/>
        <v>60204983</v>
      </c>
      <c r="D432" s="179"/>
    </row>
    <row r="433" spans="1:7" ht="12.6" customHeight="1" x14ac:dyDescent="0.25">
      <c r="A433" s="179" t="s">
        <v>6</v>
      </c>
      <c r="B433" s="179">
        <f t="shared" si="12"/>
        <v>16940287</v>
      </c>
      <c r="C433" s="179">
        <f t="shared" si="13"/>
        <v>16940287</v>
      </c>
      <c r="D433" s="179">
        <f>C217</f>
        <v>16446857.5</v>
      </c>
    </row>
    <row r="434" spans="1:7" ht="12.6" customHeight="1" x14ac:dyDescent="0.25">
      <c r="A434" s="179" t="s">
        <v>474</v>
      </c>
      <c r="B434" s="179">
        <f t="shared" si="12"/>
        <v>8630007</v>
      </c>
      <c r="C434" s="179">
        <f t="shared" si="13"/>
        <v>8630007</v>
      </c>
      <c r="D434" s="179">
        <f>D177</f>
        <v>8630007</v>
      </c>
    </row>
    <row r="435" spans="1:7" ht="12.6" customHeight="1" x14ac:dyDescent="0.25">
      <c r="A435" s="179" t="s">
        <v>447</v>
      </c>
      <c r="B435" s="179">
        <f t="shared" si="12"/>
        <v>2576461</v>
      </c>
      <c r="C435" s="179"/>
      <c r="D435" s="179">
        <f>D181</f>
        <v>2576462</v>
      </c>
    </row>
    <row r="436" spans="1:7" ht="12.6" customHeight="1" x14ac:dyDescent="0.25">
      <c r="A436" s="179" t="s">
        <v>475</v>
      </c>
      <c r="B436" s="179">
        <f t="shared" si="12"/>
        <v>10660236</v>
      </c>
      <c r="C436" s="179"/>
      <c r="D436" s="179">
        <f>D186</f>
        <v>10660236</v>
      </c>
    </row>
    <row r="437" spans="1:7" ht="12.6" customHeight="1" x14ac:dyDescent="0.25">
      <c r="A437" s="194" t="s">
        <v>449</v>
      </c>
      <c r="B437" s="194">
        <f t="shared" si="12"/>
        <v>3825296</v>
      </c>
      <c r="C437" s="194"/>
      <c r="D437" s="194">
        <f>D190</f>
        <v>3825296</v>
      </c>
    </row>
    <row r="438" spans="1:7" ht="12.6" customHeight="1" x14ac:dyDescent="0.25">
      <c r="A438" s="194" t="s">
        <v>476</v>
      </c>
      <c r="B438" s="194">
        <f>C386+C387+C388</f>
        <v>17061993</v>
      </c>
      <c r="C438" s="194">
        <f>CD69</f>
        <v>17061993</v>
      </c>
      <c r="D438" s="194">
        <f>D181+D186+D190</f>
        <v>17061994</v>
      </c>
    </row>
    <row r="439" spans="1:7" ht="12.6" customHeight="1" x14ac:dyDescent="0.25">
      <c r="A439" s="179" t="s">
        <v>451</v>
      </c>
      <c r="B439" s="194">
        <f>C389</f>
        <v>2873923</v>
      </c>
      <c r="C439" s="194">
        <f>SUM(C69:CC69)</f>
        <v>2873923</v>
      </c>
      <c r="D439" s="179"/>
    </row>
    <row r="440" spans="1:7" ht="12.6" customHeight="1" x14ac:dyDescent="0.25">
      <c r="A440" s="179" t="s">
        <v>477</v>
      </c>
      <c r="B440" s="194">
        <f>B438+B439</f>
        <v>19935916</v>
      </c>
      <c r="C440" s="194">
        <f>CE69</f>
        <v>19935916</v>
      </c>
      <c r="D440" s="179"/>
    </row>
    <row r="441" spans="1:7" ht="12.6" customHeight="1" x14ac:dyDescent="0.25">
      <c r="A441" s="179" t="s">
        <v>478</v>
      </c>
      <c r="B441" s="179">
        <f>D390</f>
        <v>385699077</v>
      </c>
      <c r="C441" s="179">
        <f>SUM(C427:C437)+C440</f>
        <v>385699077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8243193</v>
      </c>
      <c r="C444" s="179">
        <f>C363</f>
        <v>8243193</v>
      </c>
      <c r="D444" s="179"/>
    </row>
    <row r="445" spans="1:7" ht="12.6" customHeight="1" x14ac:dyDescent="0.25">
      <c r="A445" s="179" t="s">
        <v>343</v>
      </c>
      <c r="B445" s="179">
        <f>D229</f>
        <v>742006969</v>
      </c>
      <c r="C445" s="179">
        <f>C364</f>
        <v>744241497</v>
      </c>
      <c r="D445" s="179"/>
    </row>
    <row r="446" spans="1:7" ht="12.6" customHeight="1" x14ac:dyDescent="0.25">
      <c r="A446" s="179" t="s">
        <v>351</v>
      </c>
      <c r="B446" s="179">
        <f>D236</f>
        <v>12843266</v>
      </c>
      <c r="C446" s="179">
        <f>C365</f>
        <v>12843266</v>
      </c>
      <c r="D446" s="179"/>
    </row>
    <row r="447" spans="1:7" ht="12.6" customHeight="1" x14ac:dyDescent="0.25">
      <c r="A447" s="179" t="s">
        <v>356</v>
      </c>
      <c r="B447" s="179">
        <f>D240</f>
        <v>2234528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765327956</v>
      </c>
      <c r="C448" s="179">
        <f>D367</f>
        <v>765327956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2061</v>
      </c>
    </row>
    <row r="454" spans="1:7" ht="12.6" customHeight="1" x14ac:dyDescent="0.25">
      <c r="A454" s="179" t="s">
        <v>168</v>
      </c>
      <c r="B454" s="179">
        <f>C233</f>
        <v>6090306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6752960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14098048</v>
      </c>
      <c r="C458" s="194">
        <f>CE70</f>
        <v>14098048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496785614</v>
      </c>
      <c r="C463" s="194">
        <f>CE73</f>
        <v>496785614</v>
      </c>
      <c r="D463" s="194">
        <f>E141+E147+E153</f>
        <v>496785614</v>
      </c>
    </row>
    <row r="464" spans="1:7" ht="12.6" customHeight="1" x14ac:dyDescent="0.25">
      <c r="A464" s="179" t="s">
        <v>246</v>
      </c>
      <c r="B464" s="194">
        <f>C360</f>
        <v>608824018</v>
      </c>
      <c r="C464" s="194">
        <f>CE74</f>
        <v>608824018</v>
      </c>
      <c r="D464" s="194">
        <f>E142+E148+E154</f>
        <v>608824018</v>
      </c>
    </row>
    <row r="465" spans="1:7" ht="12.6" customHeight="1" x14ac:dyDescent="0.25">
      <c r="A465" s="179" t="s">
        <v>247</v>
      </c>
      <c r="B465" s="194">
        <f>D361</f>
        <v>1105609632</v>
      </c>
      <c r="C465" s="194">
        <f>CE75</f>
        <v>1105609632</v>
      </c>
      <c r="D465" s="194">
        <f>D463+D464</f>
        <v>1105609632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10816822</v>
      </c>
      <c r="C468" s="179">
        <f>E195</f>
        <v>10816822</v>
      </c>
      <c r="D468" s="179"/>
    </row>
    <row r="469" spans="1:7" ht="12.6" customHeight="1" x14ac:dyDescent="0.25">
      <c r="A469" s="179" t="s">
        <v>333</v>
      </c>
      <c r="B469" s="179">
        <f t="shared" si="14"/>
        <v>5984429</v>
      </c>
      <c r="C469" s="179">
        <f>E196</f>
        <v>5984429</v>
      </c>
      <c r="D469" s="179"/>
    </row>
    <row r="470" spans="1:7" ht="12.6" customHeight="1" x14ac:dyDescent="0.25">
      <c r="A470" s="179" t="s">
        <v>334</v>
      </c>
      <c r="B470" s="179">
        <f t="shared" si="14"/>
        <v>142191095</v>
      </c>
      <c r="C470" s="179">
        <f>E197</f>
        <v>142191095</v>
      </c>
      <c r="D470" s="179"/>
    </row>
    <row r="471" spans="1:7" ht="12.6" customHeight="1" x14ac:dyDescent="0.25">
      <c r="A471" s="179" t="s">
        <v>494</v>
      </c>
      <c r="B471" s="179">
        <f t="shared" si="14"/>
        <v>46677141</v>
      </c>
      <c r="C471" s="179">
        <f>E198</f>
        <v>46677141</v>
      </c>
      <c r="D471" s="179"/>
    </row>
    <row r="472" spans="1:7" ht="12.6" customHeight="1" x14ac:dyDescent="0.25">
      <c r="A472" s="179" t="s">
        <v>377</v>
      </c>
      <c r="B472" s="179">
        <f t="shared" si="14"/>
        <v>105250</v>
      </c>
      <c r="C472" s="179">
        <f>E199</f>
        <v>105250</v>
      </c>
      <c r="D472" s="179"/>
    </row>
    <row r="473" spans="1:7" ht="12.6" customHeight="1" x14ac:dyDescent="0.25">
      <c r="A473" s="179" t="s">
        <v>495</v>
      </c>
      <c r="B473" s="179">
        <f t="shared" si="14"/>
        <v>176961116</v>
      </c>
      <c r="C473" s="179">
        <f>SUM(E200:E201)</f>
        <v>176961116</v>
      </c>
      <c r="D473" s="179"/>
    </row>
    <row r="474" spans="1:7" ht="12.6" customHeight="1" x14ac:dyDescent="0.25">
      <c r="A474" s="179" t="s">
        <v>339</v>
      </c>
      <c r="B474" s="179">
        <f t="shared" si="14"/>
        <v>18153816</v>
      </c>
      <c r="C474" s="179">
        <f>E202</f>
        <v>18153816</v>
      </c>
      <c r="D474" s="179"/>
    </row>
    <row r="475" spans="1:7" ht="12.6" customHeight="1" x14ac:dyDescent="0.25">
      <c r="A475" s="179" t="s">
        <v>340</v>
      </c>
      <c r="B475" s="179">
        <f t="shared" si="14"/>
        <v>2472160</v>
      </c>
      <c r="C475" s="179">
        <f>E203</f>
        <v>2472160</v>
      </c>
      <c r="D475" s="179"/>
    </row>
    <row r="476" spans="1:7" ht="12.6" customHeight="1" x14ac:dyDescent="0.25">
      <c r="A476" s="179" t="s">
        <v>203</v>
      </c>
      <c r="B476" s="179">
        <f>D275</f>
        <v>403361829</v>
      </c>
      <c r="C476" s="179">
        <f>E204</f>
        <v>403361829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294840911</v>
      </c>
      <c r="C478" s="179">
        <f>E217</f>
        <v>294840910.5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219441969</v>
      </c>
    </row>
    <row r="482" spans="1:12" ht="12.6" customHeight="1" x14ac:dyDescent="0.25">
      <c r="A482" s="180" t="s">
        <v>499</v>
      </c>
      <c r="C482" s="180">
        <f>D339</f>
        <v>219441969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C84</f>
        <v>UW Medicine/Northwest Hospital</v>
      </c>
      <c r="B493" s="260" t="s">
        <v>1267</v>
      </c>
      <c r="C493" s="260" t="str">
        <f>RIGHT(C82,4)</f>
        <v>2017</v>
      </c>
      <c r="D493" s="260" t="s">
        <v>1267</v>
      </c>
      <c r="E493" s="260" t="str">
        <f>RIGHT(C82,4)</f>
        <v>2017</v>
      </c>
      <c r="F493" s="260" t="s">
        <v>1267</v>
      </c>
      <c r="G493" s="260" t="str">
        <f>RIGHT(C82,4)</f>
        <v>2017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v>6352378</v>
      </c>
      <c r="C496" s="239">
        <f>C71</f>
        <v>6712656</v>
      </c>
      <c r="D496" s="239">
        <v>3732</v>
      </c>
      <c r="E496" s="180">
        <f>C59</f>
        <v>3924</v>
      </c>
      <c r="F496" s="262">
        <f t="shared" ref="F496:G511" si="15">IF(B496=0,"",IF(D496=0,"",B496/D496))</f>
        <v>1702.1377277599142</v>
      </c>
      <c r="G496" s="263">
        <f t="shared" si="15"/>
        <v>1710.6666666666667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v>4663730</v>
      </c>
      <c r="C497" s="239">
        <f>D71</f>
        <v>4663172</v>
      </c>
      <c r="D497" s="239">
        <v>5661</v>
      </c>
      <c r="E497" s="180">
        <f>D59</f>
        <v>4624</v>
      </c>
      <c r="F497" s="262">
        <f t="shared" si="15"/>
        <v>823.83501148207029</v>
      </c>
      <c r="G497" s="262">
        <f t="shared" si="15"/>
        <v>1008.4714532871973</v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v>20022339</v>
      </c>
      <c r="C498" s="239">
        <f>E71</f>
        <v>23630696</v>
      </c>
      <c r="D498" s="239">
        <v>26872</v>
      </c>
      <c r="E498" s="180">
        <f>E59</f>
        <v>27526</v>
      </c>
      <c r="F498" s="262">
        <f t="shared" si="15"/>
        <v>745.1004391187854</v>
      </c>
      <c r="G498" s="262">
        <f t="shared" si="15"/>
        <v>858.48637651674778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v>7312592</v>
      </c>
      <c r="C499" s="239">
        <f>F71</f>
        <v>7883366</v>
      </c>
      <c r="D499" s="239">
        <v>4839</v>
      </c>
      <c r="E499" s="180">
        <f>F59</f>
        <v>4718</v>
      </c>
      <c r="F499" s="262">
        <f t="shared" si="15"/>
        <v>1511.1783426327754</v>
      </c>
      <c r="G499" s="262">
        <f t="shared" si="15"/>
        <v>1670.9126748622298</v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v>0</v>
      </c>
      <c r="C500" s="239">
        <f>G71</f>
        <v>0</v>
      </c>
      <c r="D500" s="239"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v>6131440</v>
      </c>
      <c r="C501" s="239">
        <f>H71</f>
        <v>6094603</v>
      </c>
      <c r="D501" s="239">
        <v>9776</v>
      </c>
      <c r="E501" s="180">
        <f>H59</f>
        <v>9700</v>
      </c>
      <c r="F501" s="262">
        <f t="shared" si="15"/>
        <v>627.19312602291325</v>
      </c>
      <c r="G501" s="262">
        <f t="shared" si="15"/>
        <v>628.30958762886598</v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v>0</v>
      </c>
      <c r="C502" s="239">
        <f>I71</f>
        <v>0</v>
      </c>
      <c r="D502" s="239"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v>0</v>
      </c>
      <c r="C503" s="239">
        <f>J71</f>
        <v>0</v>
      </c>
      <c r="D503" s="239">
        <v>0</v>
      </c>
      <c r="E503" s="180">
        <f>J59</f>
        <v>0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v>0</v>
      </c>
      <c r="C504" s="239">
        <f>K71</f>
        <v>0</v>
      </c>
      <c r="D504" s="239"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v>0</v>
      </c>
      <c r="C505" s="239">
        <f>L71</f>
        <v>0</v>
      </c>
      <c r="D505" s="239"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v>0</v>
      </c>
      <c r="C506" s="239">
        <f>M71</f>
        <v>0</v>
      </c>
      <c r="D506" s="239"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v>0</v>
      </c>
      <c r="C507" s="239">
        <f>N71</f>
        <v>0</v>
      </c>
      <c r="D507" s="239"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v>0</v>
      </c>
      <c r="C508" s="239">
        <f>O71</f>
        <v>0</v>
      </c>
      <c r="D508" s="239">
        <v>0</v>
      </c>
      <c r="E508" s="180">
        <f>O59</f>
        <v>0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v>38285427</v>
      </c>
      <c r="C509" s="239">
        <f>P71</f>
        <v>40119687</v>
      </c>
      <c r="D509" s="239">
        <v>2152277</v>
      </c>
      <c r="E509" s="180">
        <f>P59</f>
        <v>2203743</v>
      </c>
      <c r="F509" s="262">
        <f t="shared" si="15"/>
        <v>17.78833625969148</v>
      </c>
      <c r="G509" s="262">
        <f t="shared" si="15"/>
        <v>18.205247617349212</v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v>2198646</v>
      </c>
      <c r="C510" s="239">
        <f>Q71</f>
        <v>2499717</v>
      </c>
      <c r="D510" s="239">
        <v>568241</v>
      </c>
      <c r="E510" s="180">
        <f>Q59</f>
        <v>927131</v>
      </c>
      <c r="F510" s="262">
        <f t="shared" si="15"/>
        <v>3.869213942675731</v>
      </c>
      <c r="G510" s="262">
        <f t="shared" si="15"/>
        <v>2.6961853287183795</v>
      </c>
      <c r="H510" s="264">
        <f t="shared" si="16"/>
        <v>-0.30316974748265046</v>
      </c>
      <c r="I510" s="266" t="s">
        <v>1279</v>
      </c>
      <c r="K510" s="260"/>
      <c r="L510" s="260"/>
    </row>
    <row r="511" spans="1:12" ht="12.6" customHeight="1" x14ac:dyDescent="0.25">
      <c r="A511" s="180" t="s">
        <v>527</v>
      </c>
      <c r="B511" s="239">
        <v>1547465</v>
      </c>
      <c r="C511" s="239">
        <f>R71</f>
        <v>1496488</v>
      </c>
      <c r="D511" s="239">
        <v>976333</v>
      </c>
      <c r="E511" s="180">
        <f>R59</f>
        <v>1084113</v>
      </c>
      <c r="F511" s="262">
        <f t="shared" si="15"/>
        <v>1.5849766421907279</v>
      </c>
      <c r="G511" s="262">
        <f t="shared" si="15"/>
        <v>1.3803800895294125</v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v>2061607</v>
      </c>
      <c r="C512" s="239">
        <f>S71</f>
        <v>2134033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v>1315160</v>
      </c>
      <c r="C513" s="239">
        <f>T71</f>
        <v>1191847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v>14720470</v>
      </c>
      <c r="C514" s="239">
        <f>U71</f>
        <v>13699247</v>
      </c>
      <c r="D514" s="239">
        <v>886190</v>
      </c>
      <c r="E514" s="180">
        <f>U59</f>
        <v>859418</v>
      </c>
      <c r="F514" s="262">
        <f t="shared" si="17"/>
        <v>16.610963788803755</v>
      </c>
      <c r="G514" s="262">
        <f t="shared" si="17"/>
        <v>15.940144376775912</v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v>709030</v>
      </c>
      <c r="C515" s="239">
        <f>V71</f>
        <v>737547</v>
      </c>
      <c r="D515" s="239">
        <v>20779</v>
      </c>
      <c r="E515" s="180">
        <f>V59</f>
        <v>21780</v>
      </c>
      <c r="F515" s="262">
        <f t="shared" si="17"/>
        <v>34.122431300832574</v>
      </c>
      <c r="G515" s="262">
        <f t="shared" si="17"/>
        <v>33.863498622589532</v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v>2488861</v>
      </c>
      <c r="C516" s="239">
        <f>W71</f>
        <v>2114756</v>
      </c>
      <c r="D516" s="239">
        <v>7599</v>
      </c>
      <c r="E516" s="180">
        <f>W59</f>
        <v>7483</v>
      </c>
      <c r="F516" s="262">
        <f t="shared" si="17"/>
        <v>327.52480589551254</v>
      </c>
      <c r="G516" s="262">
        <f t="shared" si="17"/>
        <v>282.60804490177736</v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v>1693017</v>
      </c>
      <c r="C517" s="239">
        <f>X71</f>
        <v>1731608</v>
      </c>
      <c r="D517" s="239">
        <v>17645</v>
      </c>
      <c r="E517" s="180">
        <f>X59</f>
        <v>18577</v>
      </c>
      <c r="F517" s="262">
        <f t="shared" si="17"/>
        <v>95.948824029470103</v>
      </c>
      <c r="G517" s="262">
        <f t="shared" si="17"/>
        <v>93.212467029122038</v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v>15994268</v>
      </c>
      <c r="C518" s="239">
        <f>Y71</f>
        <v>15710832</v>
      </c>
      <c r="D518" s="239">
        <v>79828</v>
      </c>
      <c r="E518" s="180">
        <f>Y59</f>
        <v>77345</v>
      </c>
      <c r="F518" s="262">
        <f t="shared" si="17"/>
        <v>200.35912211254197</v>
      </c>
      <c r="G518" s="262">
        <f t="shared" si="17"/>
        <v>203.1266662356972</v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v>342104</v>
      </c>
      <c r="C519" s="239">
        <f>Z71</f>
        <v>-101555</v>
      </c>
      <c r="D519" s="239"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v>461150</v>
      </c>
      <c r="C520" s="239">
        <f>AA71</f>
        <v>516887</v>
      </c>
      <c r="D520" s="239">
        <v>794</v>
      </c>
      <c r="E520" s="180">
        <f>AA59</f>
        <v>849</v>
      </c>
      <c r="F520" s="262">
        <f t="shared" si="17"/>
        <v>580.7934508816121</v>
      </c>
      <c r="G520" s="262">
        <f t="shared" si="17"/>
        <v>608.81861012956415</v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v>14896271</v>
      </c>
      <c r="C521" s="239">
        <f>AB71</f>
        <v>16093061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v>2014695</v>
      </c>
      <c r="C522" s="239">
        <f>AC71</f>
        <v>2175264</v>
      </c>
      <c r="D522" s="239">
        <v>22532</v>
      </c>
      <c r="E522" s="180">
        <f>AC59</f>
        <v>25617</v>
      </c>
      <c r="F522" s="262">
        <f t="shared" si="17"/>
        <v>89.414832238594002</v>
      </c>
      <c r="G522" s="262">
        <f t="shared" si="17"/>
        <v>84.914861224967794</v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v>0</v>
      </c>
      <c r="C523" s="239">
        <f>AD71</f>
        <v>0</v>
      </c>
      <c r="D523" s="239"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v>3643106</v>
      </c>
      <c r="C524" s="239">
        <f>AE71</f>
        <v>3851239</v>
      </c>
      <c r="D524" s="239">
        <v>85562</v>
      </c>
      <c r="E524" s="180">
        <f>AE59</f>
        <v>77568</v>
      </c>
      <c r="F524" s="262">
        <f t="shared" si="17"/>
        <v>42.578551226011548</v>
      </c>
      <c r="G524" s="262">
        <f t="shared" si="17"/>
        <v>49.649842718646866</v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v>0</v>
      </c>
      <c r="C525" s="239">
        <f>AF71</f>
        <v>0</v>
      </c>
      <c r="D525" s="239"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v>11385275</v>
      </c>
      <c r="C526" s="239">
        <f>AG71</f>
        <v>7581562</v>
      </c>
      <c r="D526" s="239">
        <v>35520</v>
      </c>
      <c r="E526" s="180">
        <f>AG59</f>
        <v>34150</v>
      </c>
      <c r="F526" s="262">
        <f t="shared" si="17"/>
        <v>320.53139076576576</v>
      </c>
      <c r="G526" s="262">
        <f t="shared" si="17"/>
        <v>222.00767203513908</v>
      </c>
      <c r="H526" s="264">
        <f t="shared" si="16"/>
        <v>-0.30737619331213872</v>
      </c>
      <c r="I526" s="266" t="s">
        <v>1279</v>
      </c>
      <c r="K526" s="260"/>
      <c r="L526" s="260"/>
    </row>
    <row r="527" spans="1:12" ht="12.6" customHeight="1" x14ac:dyDescent="0.25">
      <c r="A527" s="180" t="s">
        <v>543</v>
      </c>
      <c r="B527" s="239">
        <v>0</v>
      </c>
      <c r="C527" s="239">
        <f>AH71</f>
        <v>0</v>
      </c>
      <c r="D527" s="239"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v>0</v>
      </c>
      <c r="C528" s="239">
        <f>AI71</f>
        <v>0</v>
      </c>
      <c r="D528" s="239"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v>76504548</v>
      </c>
      <c r="C529" s="239">
        <f>AJ71</f>
        <v>86530333</v>
      </c>
      <c r="D529" s="239">
        <v>136695</v>
      </c>
      <c r="E529" s="180">
        <f>AJ59</f>
        <v>187592</v>
      </c>
      <c r="F529" s="262">
        <f t="shared" si="18"/>
        <v>559.67334576977942</v>
      </c>
      <c r="G529" s="262">
        <f t="shared" si="18"/>
        <v>461.26878011855518</v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v>1570926</v>
      </c>
      <c r="C530" s="239">
        <f>AK71</f>
        <v>1718909</v>
      </c>
      <c r="D530" s="239">
        <v>40140</v>
      </c>
      <c r="E530" s="180">
        <f>AK59</f>
        <v>40090</v>
      </c>
      <c r="F530" s="262">
        <f t="shared" si="18"/>
        <v>39.136173393124068</v>
      </c>
      <c r="G530" s="262">
        <f t="shared" si="18"/>
        <v>42.876253429782992</v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v>572656</v>
      </c>
      <c r="C531" s="239">
        <f>AL71</f>
        <v>570071</v>
      </c>
      <c r="D531" s="239">
        <v>13978</v>
      </c>
      <c r="E531" s="180">
        <f>AL59</f>
        <v>13108</v>
      </c>
      <c r="F531" s="262">
        <f t="shared" si="18"/>
        <v>40.968378881098872</v>
      </c>
      <c r="G531" s="262">
        <f t="shared" si="18"/>
        <v>43.490311260299052</v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v>0</v>
      </c>
      <c r="C532" s="239">
        <f>AM71</f>
        <v>0</v>
      </c>
      <c r="D532" s="239"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v>0</v>
      </c>
      <c r="C533" s="239">
        <f>AN71</f>
        <v>0</v>
      </c>
      <c r="D533" s="239"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v>0</v>
      </c>
      <c r="C534" s="239">
        <f>AO71</f>
        <v>0</v>
      </c>
      <c r="D534" s="239"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v>0</v>
      </c>
      <c r="C535" s="239">
        <f>AP71</f>
        <v>0</v>
      </c>
      <c r="D535" s="239"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v>0</v>
      </c>
      <c r="C536" s="239">
        <f>AQ71</f>
        <v>0</v>
      </c>
      <c r="D536" s="239"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v>0</v>
      </c>
      <c r="C537" s="239">
        <f>AR71</f>
        <v>0</v>
      </c>
      <c r="D537" s="239"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v>0</v>
      </c>
      <c r="C538" s="239">
        <f>AS71</f>
        <v>0</v>
      </c>
      <c r="D538" s="239"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v>0</v>
      </c>
      <c r="C539" s="239">
        <f>AT71</f>
        <v>0</v>
      </c>
      <c r="D539" s="239"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v>0</v>
      </c>
      <c r="C540" s="239">
        <f>AU71</f>
        <v>0</v>
      </c>
      <c r="D540" s="239"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v>12625885</v>
      </c>
      <c r="C541" s="239">
        <f>AV71</f>
        <v>11904532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v>943315.78424966522</v>
      </c>
      <c r="C544" s="239">
        <f>AY71</f>
        <v>1111808.7138041803</v>
      </c>
      <c r="D544" s="239">
        <v>176664</v>
      </c>
      <c r="E544" s="180">
        <f>AY59</f>
        <v>208031</v>
      </c>
      <c r="F544" s="262">
        <f t="shared" ref="F544:G550" si="19">IF(B544=0,"",IF(D544=0,"",B544/D544))</f>
        <v>5.3396039048683672</v>
      </c>
      <c r="G544" s="262">
        <f t="shared" si="19"/>
        <v>5.344437674212883</v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v>2430022.2157503343</v>
      </c>
      <c r="C545" s="239">
        <f>AZ71</f>
        <v>2361522.2861958211</v>
      </c>
      <c r="D545" s="239">
        <v>455094</v>
      </c>
      <c r="E545" s="180">
        <f>AZ59</f>
        <v>441678</v>
      </c>
      <c r="F545" s="262">
        <f t="shared" si="19"/>
        <v>5.3396050392893208</v>
      </c>
      <c r="G545" s="262">
        <f t="shared" si="19"/>
        <v>5.3467057136552443</v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v>59411</v>
      </c>
      <c r="C546" s="239">
        <f>BA71</f>
        <v>68965</v>
      </c>
      <c r="D546" s="239"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v>1515544</v>
      </c>
      <c r="C549" s="239">
        <f>BD71</f>
        <v>2165532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v>8366693</v>
      </c>
      <c r="C550" s="239">
        <f>BE71</f>
        <v>8231983</v>
      </c>
      <c r="D550" s="239">
        <v>439040</v>
      </c>
      <c r="E550" s="180">
        <f>BE59</f>
        <v>435312</v>
      </c>
      <c r="F550" s="262">
        <f t="shared" si="19"/>
        <v>19.056789814139943</v>
      </c>
      <c r="G550" s="262">
        <f t="shared" si="19"/>
        <v>18.910535432057927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v>3496760</v>
      </c>
      <c r="C551" s="239">
        <f>BF71</f>
        <v>3770508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v>0</v>
      </c>
      <c r="C552" s="239">
        <f>BG71</f>
        <v>0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v>17561794</v>
      </c>
      <c r="C553" s="239">
        <f>BH71</f>
        <v>10356698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v>1806321</v>
      </c>
      <c r="C555" s="239">
        <f>BJ71</f>
        <v>1793448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v>3516534</v>
      </c>
      <c r="C556" s="239">
        <f>BK71</f>
        <v>3271534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v>4541942</v>
      </c>
      <c r="C557" s="239">
        <f>BL71</f>
        <v>4678585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v>28263655</v>
      </c>
      <c r="C559" s="239">
        <f>BN71</f>
        <v>31420777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v>658464</v>
      </c>
      <c r="C560" s="239">
        <f>BO71</f>
        <v>714918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v>242510</v>
      </c>
      <c r="C561" s="239">
        <f>BP71</f>
        <v>1692068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v>3617653</v>
      </c>
      <c r="C563" s="239">
        <f>BR71</f>
        <v>4137163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v>82159</v>
      </c>
      <c r="C564" s="239">
        <f>BS71</f>
        <v>83545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v>3295037</v>
      </c>
      <c r="C567" s="239">
        <f>BV71</f>
        <v>3453281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v>1459516</v>
      </c>
      <c r="C568" s="239">
        <f>BW71</f>
        <v>1051988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v>4903043</v>
      </c>
      <c r="C569" s="239">
        <f>BX71</f>
        <v>6161601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v>3382689</v>
      </c>
      <c r="C570" s="239">
        <f>BY71</f>
        <v>2009119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v>3642631</v>
      </c>
      <c r="C572" s="239">
        <f>CA71</f>
        <v>3982027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v>4022272</v>
      </c>
      <c r="C574" s="239">
        <f>CC71</f>
        <v>761407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v>16664283.149999999</v>
      </c>
      <c r="C575" s="239">
        <f>CD71</f>
        <v>17061993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427695</v>
      </c>
      <c r="E612" s="180">
        <f>SUM(C624:D647)+SUM(C668:D713)</f>
        <v>335391782.01387209</v>
      </c>
      <c r="F612" s="180">
        <f>CE64-(AX64+BD64+BE64+BG64+BJ64+BN64+BP64+BQ64+CB64+CC64+CD64)</f>
        <v>64716518</v>
      </c>
      <c r="G612" s="180">
        <f>CE77-(AX77+AY77+BD77+BE77+BG77+BJ77+BN77+BP77+BQ77+CB77+CC77+CD77)</f>
        <v>208031</v>
      </c>
      <c r="H612" s="197">
        <f>CE60-(AX60+AY60+AZ60+BD60+BE60+BG60+BJ60+BN60+BO60+BP60+BQ60+BR60+CB60+CC60+CD60)</f>
        <v>1719.3400000000001</v>
      </c>
      <c r="I612" s="180">
        <f>CE78-(AX78+AY78+AZ78+BD78+BE78+BF78+BG78+BJ78+BN78+BO78+BP78+BQ78+BR78+CB78+CC78+CD78)</f>
        <v>108720</v>
      </c>
      <c r="J612" s="180">
        <f>CE79-(AX79+AY79+AZ79+BA79+BD79+BE79+BF79+BG79+BJ79+BN79+BO79+BP79+BQ79+BR79+CB79+CC79+CD79)</f>
        <v>2267264.9</v>
      </c>
      <c r="K612" s="180">
        <f>CE75-(AW75+AX75+AY75+AZ75+BA75+BB75+BC75+BD75+BE75+BF75+BG75+BH75+BI75+BJ75+BK75+BL75+BM75+BN75+BO75+BP75+BQ75+BR75+BS75+BT75+BU75+BV75+BW75+BX75+CB75+CC75+CD75)</f>
        <v>1105609632</v>
      </c>
      <c r="L612" s="197">
        <f>CE80-(AW80+AX80+AY80+AZ80+BA80+BB80+BC80+BD80+BE80+BF80+BG80+BH80+BI80+BJ80+BK80+BL80+BM80+BN80+BO80+BP80+BQ80+BR80+BS80+BT80+BU80+BV80+BW80+BX80+BY80+BZ80+CA80+CB80+CC80+CD80)</f>
        <v>548.29000000000008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8231983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1">
        <f>CD69-CD70</f>
        <v>17061993</v>
      </c>
      <c r="D615" s="265">
        <f>SUM(C614:C615)</f>
        <v>25293976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1793448</v>
      </c>
      <c r="D617" s="180">
        <f>(D615/D612)*BJ76</f>
        <v>195517.56428295863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31420777</v>
      </c>
      <c r="D619" s="180">
        <f>(D615/D612)*BN76</f>
        <v>87231.823144998183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761407</v>
      </c>
      <c r="D620" s="180">
        <f>(D615/D612)*CC76</f>
        <v>100360.95178105893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1692068</v>
      </c>
      <c r="D621" s="180">
        <f>(D615/D612)*BP76</f>
        <v>158436.64691894923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36209246.986127965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2165532</v>
      </c>
      <c r="D624" s="180">
        <f>(D615/D612)*BD76</f>
        <v>274588.0371947299</v>
      </c>
      <c r="E624" s="180">
        <f>(E623/E612)*SUM(C624:D624)</f>
        <v>263437.90707110794</v>
      </c>
      <c r="F624" s="180">
        <f>SUM(C624:E624)</f>
        <v>2703557.9442658378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1111808.7138041803</v>
      </c>
      <c r="D625" s="180">
        <f>(D615/D612)*AY76</f>
        <v>273589.75839064224</v>
      </c>
      <c r="E625" s="180">
        <f>(E623/E612)*SUM(C625:D625)</f>
        <v>149569.06562436829</v>
      </c>
      <c r="F625" s="180">
        <f>(F624/F612)*AY64</f>
        <v>16249.133495907337</v>
      </c>
      <c r="G625" s="180">
        <f>SUM(C625:F625)</f>
        <v>1551216.6713150982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4137163</v>
      </c>
      <c r="D626" s="180">
        <f>(D615/D612)*BR76</f>
        <v>171388.35489776594</v>
      </c>
      <c r="E626" s="180">
        <f>(E623/E612)*SUM(C626:D626)</f>
        <v>465155.70305612561</v>
      </c>
      <c r="F626" s="180">
        <f>(F624/F612)*BR64</f>
        <v>546.12970687618417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714918</v>
      </c>
      <c r="D627" s="180">
        <f>(D615/D612)*BO76</f>
        <v>57070.311413507283</v>
      </c>
      <c r="E627" s="180">
        <f>(E623/E612)*SUM(C627:D627)</f>
        <v>83344.664173135257</v>
      </c>
      <c r="F627" s="180">
        <f>(F624/F612)*BO64</f>
        <v>2585.0612913255013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2361522.2861958211</v>
      </c>
      <c r="D628" s="180">
        <f>(D615/D612)*AZ76</f>
        <v>580868.12689677055</v>
      </c>
      <c r="E628" s="180">
        <f>(E623/E612)*SUM(C628:D628)</f>
        <v>317663.54129952443</v>
      </c>
      <c r="F628" s="180">
        <f>(F624/F612)*AZ64</f>
        <v>34499.112075629884</v>
      </c>
      <c r="G628" s="180">
        <f>(G625/G612)*AZ77</f>
        <v>0</v>
      </c>
      <c r="H628" s="180">
        <f>SUM(C626:G628)</f>
        <v>8926724.2910064831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3770508</v>
      </c>
      <c r="D629" s="180">
        <f>(D615/D612)*BF76</f>
        <v>244012.54392966948</v>
      </c>
      <c r="E629" s="180">
        <f>(E623/E612)*SUM(C629:D629)</f>
        <v>433411.82969122916</v>
      </c>
      <c r="F629" s="180">
        <f>(F624/F612)*BF64</f>
        <v>12558.100756065916</v>
      </c>
      <c r="G629" s="180">
        <f>(G625/G612)*BF77</f>
        <v>0</v>
      </c>
      <c r="H629" s="180">
        <f>(H628/H612)*BF60</f>
        <v>314060.9491799075</v>
      </c>
      <c r="I629" s="180">
        <f>SUM(C629:H629)</f>
        <v>4774551.4235568717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68965</v>
      </c>
      <c r="D630" s="180">
        <f>(D615/D612)*BA76</f>
        <v>0</v>
      </c>
      <c r="E630" s="180">
        <f>(E623/E612)*SUM(C630:D630)</f>
        <v>7445.5334099242473</v>
      </c>
      <c r="F630" s="180">
        <f>(F624/F612)*BA64</f>
        <v>0</v>
      </c>
      <c r="G630" s="180">
        <f>(G625/G612)*BA77</f>
        <v>0</v>
      </c>
      <c r="H630" s="180">
        <f>(H628/H612)*BA60</f>
        <v>9760.8626956228472</v>
      </c>
      <c r="I630" s="180">
        <f>(I629/I612)*BA78</f>
        <v>0</v>
      </c>
      <c r="J630" s="180">
        <f>SUM(C630:I630)</f>
        <v>86171.396105547086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3271534</v>
      </c>
      <c r="D635" s="180">
        <f>(D615/D612)*BK76</f>
        <v>302975.34235378011</v>
      </c>
      <c r="E635" s="180">
        <f>(E623/E612)*SUM(C635:D635)</f>
        <v>385907.7609306376</v>
      </c>
      <c r="F635" s="180">
        <f>(F624/F612)*BK64</f>
        <v>2621.9071875593263</v>
      </c>
      <c r="G635" s="180">
        <f>(G625/G612)*BK77</f>
        <v>0</v>
      </c>
      <c r="H635" s="180">
        <f>(H628/H612)*BK60</f>
        <v>171801.56733944686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10356698</v>
      </c>
      <c r="D636" s="180">
        <f>(D615/D612)*BH76</f>
        <v>961797.38292007148</v>
      </c>
      <c r="E636" s="180">
        <f>(E623/E612)*SUM(C636:D636)</f>
        <v>1221956.5797666169</v>
      </c>
      <c r="F636" s="180">
        <f>(F624/F612)*BH64</f>
        <v>6818.2035943523979</v>
      </c>
      <c r="G636" s="180">
        <f>(G625/G612)*BH77</f>
        <v>0</v>
      </c>
      <c r="H636" s="180">
        <f>(H628/H612)*BH60</f>
        <v>54100.100685313868</v>
      </c>
      <c r="I636" s="180">
        <f>(I629/I612)*BH78</f>
        <v>78873.200484806308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4678585</v>
      </c>
      <c r="D637" s="180">
        <f>(D615/D612)*BL76</f>
        <v>266899.80871415377</v>
      </c>
      <c r="E637" s="180">
        <f>(E623/E612)*SUM(C637:D637)</f>
        <v>533919.70378531225</v>
      </c>
      <c r="F637" s="180">
        <f>(F624/F612)*BL64</f>
        <v>4030.2809967780822</v>
      </c>
      <c r="G637" s="180">
        <f>(G625/G612)*BL77</f>
        <v>0</v>
      </c>
      <c r="H637" s="180">
        <f>(H628/H612)*BL60</f>
        <v>402687.50567686604</v>
      </c>
      <c r="I637" s="180">
        <f>(I629/I612)*BL78</f>
        <v>82825.643716227554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83545</v>
      </c>
      <c r="D639" s="180">
        <f>(D615/D612)*BS76</f>
        <v>0</v>
      </c>
      <c r="E639" s="180">
        <f>(E623/E612)*SUM(C639:D639)</f>
        <v>9019.6054336565103</v>
      </c>
      <c r="F639" s="180">
        <f>(F624/F612)*BS64</f>
        <v>76.824946909301829</v>
      </c>
      <c r="G639" s="180">
        <f>(G625/G612)*BS77</f>
        <v>0</v>
      </c>
      <c r="H639" s="180">
        <f>(H628/H612)*BS60</f>
        <v>5140.0287599290532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3453281</v>
      </c>
      <c r="D642" s="180">
        <f>(D615/D612)*BV76</f>
        <v>325212.06472836953</v>
      </c>
      <c r="E642" s="180">
        <f>(E623/E612)*SUM(C642:D642)</f>
        <v>407930.05658815539</v>
      </c>
      <c r="F642" s="180">
        <f>(F624/F612)*BV64</f>
        <v>700.28090540545213</v>
      </c>
      <c r="G642" s="180">
        <f>(G625/G612)*BV77</f>
        <v>0</v>
      </c>
      <c r="H642" s="180">
        <f>(H628/H612)*BV60</f>
        <v>194178.86426398644</v>
      </c>
      <c r="I642" s="180">
        <f>(I629/I612)*BV78</f>
        <v>116684.90739873628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1051988</v>
      </c>
      <c r="D643" s="180">
        <f>(D615/D612)*BW76</f>
        <v>134543.99841008196</v>
      </c>
      <c r="E643" s="180">
        <f>(E623/E612)*SUM(C643:D643)</f>
        <v>128099.23346779453</v>
      </c>
      <c r="F643" s="180">
        <f>(F624/F612)*BW64</f>
        <v>491.44571802122169</v>
      </c>
      <c r="G643" s="180">
        <f>(G625/G612)*BW77</f>
        <v>0</v>
      </c>
      <c r="H643" s="180">
        <f>(H628/H612)*BW60</f>
        <v>31099.769971691949</v>
      </c>
      <c r="I643" s="180">
        <f>(I629/I612)*BW78</f>
        <v>48263.723459243949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6161601</v>
      </c>
      <c r="D644" s="180">
        <f>(D615/D612)*BX76</f>
        <v>149743.03471399011</v>
      </c>
      <c r="E644" s="180">
        <f>(E623/E612)*SUM(C644:D644)</f>
        <v>681379.29198853206</v>
      </c>
      <c r="F644" s="180">
        <f>(F624/F612)*BX64</f>
        <v>663.30968299396102</v>
      </c>
      <c r="G644" s="180">
        <f>(G625/G612)*BX77</f>
        <v>0</v>
      </c>
      <c r="H644" s="180">
        <f>(H628/H612)*BX60</f>
        <v>243969.64790814769</v>
      </c>
      <c r="I644" s="180">
        <f>(I629/I612)*BX78</f>
        <v>53709.311911424338</v>
      </c>
      <c r="J644" s="180">
        <f>(J630/J612)*BX79</f>
        <v>0</v>
      </c>
      <c r="K644" s="180">
        <f>SUM(C631:J644)</f>
        <v>36065352.388408996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2009119</v>
      </c>
      <c r="D645" s="180">
        <f>(D615/D612)*BY76</f>
        <v>58193.975576053024</v>
      </c>
      <c r="E645" s="180">
        <f>(E623/E612)*SUM(C645:D645)</f>
        <v>223189.2674316162</v>
      </c>
      <c r="F645" s="180">
        <f>(F624/F612)*BY64</f>
        <v>627.04864225591109</v>
      </c>
      <c r="G645" s="180">
        <f>(G625/G612)*BY77</f>
        <v>0</v>
      </c>
      <c r="H645" s="180">
        <f>(H628/H612)*BY60</f>
        <v>33280.388233480029</v>
      </c>
      <c r="I645" s="180">
        <f>(I629/I612)*BY78</f>
        <v>20860.117054723272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3982027</v>
      </c>
      <c r="D647" s="180">
        <f>(D615/D612)*CA76</f>
        <v>348572.45126550458</v>
      </c>
      <c r="E647" s="180">
        <f>(E623/E612)*SUM(C647:D647)</f>
        <v>467536.03856154467</v>
      </c>
      <c r="F647" s="180">
        <f>(F624/F612)*CA64</f>
        <v>1675.0261398996008</v>
      </c>
      <c r="G647" s="180">
        <f>(G625/G612)*CA77</f>
        <v>0</v>
      </c>
      <c r="H647" s="180">
        <f>(H628/H612)*CA60</f>
        <v>171282.37251521158</v>
      </c>
      <c r="I647" s="180">
        <f>(I629/I612)*CA78</f>
        <v>125072.87025653027</v>
      </c>
      <c r="J647" s="180">
        <f>(J630/J612)*CA79</f>
        <v>0</v>
      </c>
      <c r="K647" s="180">
        <v>0</v>
      </c>
      <c r="L647" s="180">
        <f>SUM(C645:K647)</f>
        <v>7441435.5556768188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110340471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6712656</v>
      </c>
      <c r="D668" s="180">
        <f>(D615/D612)*C76</f>
        <v>474245.41681338334</v>
      </c>
      <c r="E668" s="180">
        <f>(E623/E612)*SUM(C668:D668)</f>
        <v>775905.38117474015</v>
      </c>
      <c r="F668" s="180">
        <f>(F624/F612)*C64</f>
        <v>17657.8735776537</v>
      </c>
      <c r="G668" s="180">
        <f>(G625/G612)*C77</f>
        <v>118605.65191696407</v>
      </c>
      <c r="H668" s="180">
        <f>(H628/H612)*C60</f>
        <v>270240.9060144517</v>
      </c>
      <c r="I668" s="180">
        <f>(I629/I612)*C78</f>
        <v>170174.6391306372</v>
      </c>
      <c r="J668" s="180">
        <f>(J630/J612)*C79</f>
        <v>6424.8761665272687</v>
      </c>
      <c r="K668" s="180">
        <f>(K644/K612)*C75</f>
        <v>752764.28019501781</v>
      </c>
      <c r="L668" s="180">
        <f>(L647/L612)*C80</f>
        <v>554962.33721502323</v>
      </c>
      <c r="M668" s="180">
        <f t="shared" ref="M668:M713" si="20">ROUND(SUM(D668:L668),0)</f>
        <v>3140981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4663172</v>
      </c>
      <c r="D669" s="180">
        <f>(D615/D612)*D76</f>
        <v>486250.88128689834</v>
      </c>
      <c r="E669" s="180">
        <f>(E623/E612)*SUM(C669:D669)</f>
        <v>555937.0710425576</v>
      </c>
      <c r="F669" s="180">
        <f>(F624/F612)*D64</f>
        <v>6267.7710220430117</v>
      </c>
      <c r="G669" s="180">
        <f>(G625/G612)*D77</f>
        <v>139894.41944009575</v>
      </c>
      <c r="H669" s="180">
        <f>(H628/H612)*D60</f>
        <v>233429.99297617195</v>
      </c>
      <c r="I669" s="180">
        <f>(I629/I612)*D78</f>
        <v>174478.4106492959</v>
      </c>
      <c r="J669" s="180">
        <f>(J630/J612)*D79</f>
        <v>0</v>
      </c>
      <c r="K669" s="180">
        <f>(K644/K612)*D75</f>
        <v>729093.33685011661</v>
      </c>
      <c r="L669" s="180">
        <f>(L647/L612)*D80</f>
        <v>459007.73403306637</v>
      </c>
      <c r="M669" s="180">
        <f t="shared" si="20"/>
        <v>2784360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23630696</v>
      </c>
      <c r="D670" s="180">
        <f>(D615/D612)*E76</f>
        <v>2823413.1991629549</v>
      </c>
      <c r="E670" s="180">
        <f>(E623/E612)*SUM(C670:D670)</f>
        <v>2856013.2512455909</v>
      </c>
      <c r="F670" s="180">
        <f>(F624/F612)*E64</f>
        <v>37949.769206707773</v>
      </c>
      <c r="G670" s="180">
        <f>(G625/G612)*E77</f>
        <v>855868.10771892488</v>
      </c>
      <c r="H670" s="180">
        <f>(H628/H612)*E60</f>
        <v>1146537.93035872</v>
      </c>
      <c r="I670" s="180">
        <f>(I629/I612)*E78</f>
        <v>1013099.0322850761</v>
      </c>
      <c r="J670" s="180">
        <f>(J630/J612)*E79</f>
        <v>15993.37860468556</v>
      </c>
      <c r="K670" s="180">
        <f>(K644/K612)*E75</f>
        <v>2844990.4070878178</v>
      </c>
      <c r="L670" s="180">
        <f>(L647/L612)*E80</f>
        <v>2603532.0407913406</v>
      </c>
      <c r="M670" s="180">
        <f t="shared" si="20"/>
        <v>14197397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7883366</v>
      </c>
      <c r="D671" s="180">
        <f>(D615/D612)*F76</f>
        <v>812882.31127322034</v>
      </c>
      <c r="E671" s="180">
        <f>(E623/E612)*SUM(C671:D671)</f>
        <v>938856.04788779945</v>
      </c>
      <c r="F671" s="180">
        <f>(F624/F612)*F64</f>
        <v>16636.632331245437</v>
      </c>
      <c r="G671" s="180">
        <f>(G625/G612)*F77</f>
        <v>143518.35674876193</v>
      </c>
      <c r="H671" s="180">
        <f>(H628/H612)*F60</f>
        <v>297498.63428680273</v>
      </c>
      <c r="I671" s="180">
        <f>(I629/I612)*F78</f>
        <v>291690.31047888834</v>
      </c>
      <c r="J671" s="180">
        <f>(J630/J612)*F79</f>
        <v>4590.5501396252366</v>
      </c>
      <c r="K671" s="180">
        <f>(K644/K612)*F75</f>
        <v>674856.75171441759</v>
      </c>
      <c r="L671" s="180">
        <f>(L647/L612)*F80</f>
        <v>565548.5593482519</v>
      </c>
      <c r="M671" s="180">
        <f t="shared" si="20"/>
        <v>3746078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6094603</v>
      </c>
      <c r="D673" s="180">
        <f>(D615/D612)*H76</f>
        <v>882608.62957013759</v>
      </c>
      <c r="E673" s="180">
        <f>(E623/E612)*SUM(C673:D673)</f>
        <v>753267.05279600469</v>
      </c>
      <c r="F673" s="180">
        <f>(F624/F612)*H64</f>
        <v>4639.9093003384096</v>
      </c>
      <c r="G673" s="180">
        <f>(G625/G612)*H77</f>
        <v>293330.13549035159</v>
      </c>
      <c r="H673" s="180">
        <f>(H628/H612)*H60</f>
        <v>337009.36041110585</v>
      </c>
      <c r="I673" s="180">
        <f>(I629/I612)*H78</f>
        <v>316678.53490865161</v>
      </c>
      <c r="J673" s="180">
        <f>(J630/J612)*H79</f>
        <v>2405.0944667013955</v>
      </c>
      <c r="K673" s="180">
        <f>(K644/K612)*H75</f>
        <v>905600.48113015457</v>
      </c>
      <c r="L673" s="180">
        <f>(L647/L612)*H80</f>
        <v>635716.21118003642</v>
      </c>
      <c r="M673" s="180">
        <f t="shared" si="20"/>
        <v>4131255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40119687</v>
      </c>
      <c r="D681" s="180">
        <f>(D615/D612)*P76</f>
        <v>3168673.7981599034</v>
      </c>
      <c r="E681" s="180">
        <f>(E623/E612)*SUM(C681:D681)</f>
        <v>4673456.6313862782</v>
      </c>
      <c r="F681" s="180">
        <f>(F624/F612)*P64</f>
        <v>927716.54454956285</v>
      </c>
      <c r="G681" s="180">
        <f>(G625/G612)*P77</f>
        <v>0</v>
      </c>
      <c r="H681" s="180">
        <f>(H628/H612)*P60</f>
        <v>627446.94508830912</v>
      </c>
      <c r="I681" s="180">
        <f>(I629/I612)*P78</f>
        <v>821976.44402790617</v>
      </c>
      <c r="J681" s="180">
        <f>(J630/J612)*P79</f>
        <v>17649.873275360056</v>
      </c>
      <c r="K681" s="180">
        <f>(K644/K612)*P75</f>
        <v>8658363.3326355666</v>
      </c>
      <c r="L681" s="180">
        <f>(L647/L612)*P80</f>
        <v>926837.31984382344</v>
      </c>
      <c r="M681" s="180">
        <f t="shared" si="20"/>
        <v>19822121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2499717</v>
      </c>
      <c r="D682" s="180">
        <f>(D615/D612)*Q76</f>
        <v>206635.92547025334</v>
      </c>
      <c r="E682" s="180">
        <f>(E623/E612)*SUM(C682:D682)</f>
        <v>292180.68767686508</v>
      </c>
      <c r="F682" s="180">
        <f>(F624/F612)*Q64</f>
        <v>3209.4363084578695</v>
      </c>
      <c r="G682" s="180">
        <f>(G625/G612)*Q77</f>
        <v>0</v>
      </c>
      <c r="H682" s="180">
        <f>(H628/H612)*Q60</f>
        <v>95324.169729593341</v>
      </c>
      <c r="I682" s="180">
        <f>(I629/I612)*Q78</f>
        <v>74130.268607100807</v>
      </c>
      <c r="J682" s="180">
        <f>(J630/J612)*Q79</f>
        <v>1129.8676636432872</v>
      </c>
      <c r="K682" s="180">
        <f>(K644/K612)*Q75</f>
        <v>470606.70076445874</v>
      </c>
      <c r="L682" s="180">
        <f>(L647/L612)*Q80</f>
        <v>219324.80727304413</v>
      </c>
      <c r="M682" s="180">
        <f t="shared" si="20"/>
        <v>1362542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1496488</v>
      </c>
      <c r="D683" s="180">
        <f>(D615/D612)*R76</f>
        <v>57425.152727995417</v>
      </c>
      <c r="E683" s="180">
        <f>(E623/E612)*SUM(C683:D683)</f>
        <v>167762.08648962533</v>
      </c>
      <c r="F683" s="180">
        <f>(F624/F612)*R64</f>
        <v>20496.929255715771</v>
      </c>
      <c r="G683" s="180">
        <f>(G625/G612)*R77</f>
        <v>0</v>
      </c>
      <c r="H683" s="180">
        <f>(H628/H612)*R60</f>
        <v>41172.149561855949</v>
      </c>
      <c r="I683" s="180">
        <f>(I629/I612)*R78</f>
        <v>20596.620839295188</v>
      </c>
      <c r="J683" s="180">
        <f>(J630/J612)*R79</f>
        <v>0</v>
      </c>
      <c r="K683" s="180">
        <f>(K644/K612)*R75</f>
        <v>944299.44796334789</v>
      </c>
      <c r="L683" s="180">
        <f>(L647/L612)*R80</f>
        <v>0</v>
      </c>
      <c r="M683" s="180">
        <f t="shared" si="20"/>
        <v>1251752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2134033</v>
      </c>
      <c r="D684" s="180">
        <f>(D615/D612)*S76</f>
        <v>0</v>
      </c>
      <c r="E684" s="180">
        <f>(E623/E612)*SUM(C684:D684)</f>
        <v>230392.43093425466</v>
      </c>
      <c r="F684" s="180">
        <f>(F624/F612)*S64</f>
        <v>16128.518231594628</v>
      </c>
      <c r="G684" s="180">
        <f>(G625/G612)*S77</f>
        <v>0</v>
      </c>
      <c r="H684" s="180">
        <f>(H628/H612)*S60</f>
        <v>78502.257424370982</v>
      </c>
      <c r="I684" s="180">
        <f>(I629/I612)*S78</f>
        <v>0</v>
      </c>
      <c r="J684" s="180">
        <f>(J630/J612)*S79</f>
        <v>17223.663932647854</v>
      </c>
      <c r="K684" s="180">
        <f>(K644/K612)*S75</f>
        <v>50986.197472616303</v>
      </c>
      <c r="L684" s="180">
        <f>(L647/L612)*S80</f>
        <v>0</v>
      </c>
      <c r="M684" s="180">
        <f t="shared" si="20"/>
        <v>393233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1191847</v>
      </c>
      <c r="D685" s="180">
        <f>(D615/D612)*T76</f>
        <v>0</v>
      </c>
      <c r="E685" s="180">
        <f>(E623/E612)*SUM(C685:D685)</f>
        <v>128673.04658911019</v>
      </c>
      <c r="F685" s="180">
        <f>(F624/F612)*T64</f>
        <v>33042.998698725743</v>
      </c>
      <c r="G685" s="180">
        <f>(G625/G612)*T77</f>
        <v>0</v>
      </c>
      <c r="H685" s="180">
        <f>(H628/H612)*T60</f>
        <v>8670.553564728807</v>
      </c>
      <c r="I685" s="180">
        <f>(I629/I612)*T78</f>
        <v>0</v>
      </c>
      <c r="J685" s="180">
        <f>(J630/J612)*T79</f>
        <v>0</v>
      </c>
      <c r="K685" s="180">
        <f>(K644/K612)*T75</f>
        <v>43216.067197949305</v>
      </c>
      <c r="L685" s="180">
        <f>(L647/L612)*T80</f>
        <v>22393.931435675917</v>
      </c>
      <c r="M685" s="180">
        <f t="shared" si="20"/>
        <v>235997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13699247</v>
      </c>
      <c r="D686" s="180">
        <f>(D615/D612)*U76</f>
        <v>801349.96855235624</v>
      </c>
      <c r="E686" s="180">
        <f>(E623/E612)*SUM(C686:D686)</f>
        <v>1565499.5895483627</v>
      </c>
      <c r="F686" s="180">
        <f>(F624/F612)*U64</f>
        <v>82396.906992942808</v>
      </c>
      <c r="G686" s="180">
        <f>(G625/G612)*U77</f>
        <v>0</v>
      </c>
      <c r="H686" s="180">
        <f>(H628/H612)*U60</f>
        <v>482124.31378486048</v>
      </c>
      <c r="I686" s="180">
        <f>(I629/I612)*U78</f>
        <v>158932.13393903899</v>
      </c>
      <c r="J686" s="180">
        <f>(J630/J612)*U79</f>
        <v>753.40081012809753</v>
      </c>
      <c r="K686" s="180">
        <f>(K644/K612)*U75</f>
        <v>2285291.2208153629</v>
      </c>
      <c r="L686" s="180">
        <f>(L647/L612)*U80</f>
        <v>0</v>
      </c>
      <c r="M686" s="180">
        <f t="shared" si="20"/>
        <v>5376348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737547</v>
      </c>
      <c r="D687" s="180">
        <f>(D615/D612)*V76</f>
        <v>30930.334579548507</v>
      </c>
      <c r="E687" s="180">
        <f>(E623/E612)*SUM(C687:D687)</f>
        <v>82965.615448148528</v>
      </c>
      <c r="F687" s="180">
        <f>(F624/F612)*V64</f>
        <v>575.41425705748964</v>
      </c>
      <c r="G687" s="180">
        <f>(G625/G612)*V77</f>
        <v>0</v>
      </c>
      <c r="H687" s="180">
        <f>(H628/H612)*V60</f>
        <v>36758.993555856257</v>
      </c>
      <c r="I687" s="180">
        <f>(I629/I612)*V78</f>
        <v>11110.757083884184</v>
      </c>
      <c r="J687" s="180">
        <f>(J630/J612)*V79</f>
        <v>148.55968879308247</v>
      </c>
      <c r="K687" s="180">
        <f>(K644/K612)*V75</f>
        <v>265144.28258462792</v>
      </c>
      <c r="L687" s="180">
        <f>(L647/L612)*V80</f>
        <v>0</v>
      </c>
      <c r="M687" s="180">
        <f t="shared" si="20"/>
        <v>427634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2114756</v>
      </c>
      <c r="D688" s="180">
        <f>(D615/D612)*W76</f>
        <v>254657.78336431333</v>
      </c>
      <c r="E688" s="180">
        <f>(E623/E612)*SUM(C688:D688)</f>
        <v>255804.38607951871</v>
      </c>
      <c r="F688" s="180">
        <f>(F624/F612)*W64</f>
        <v>7644.7715114526954</v>
      </c>
      <c r="G688" s="180">
        <f>(G625/G612)*W77</f>
        <v>0</v>
      </c>
      <c r="H688" s="180">
        <f>(H628/H612)*W60</f>
        <v>51036.851222325851</v>
      </c>
      <c r="I688" s="180">
        <f>(I629/I612)*W78</f>
        <v>38865.691775642306</v>
      </c>
      <c r="J688" s="180">
        <f>(J630/J612)*W79</f>
        <v>459.94832488268327</v>
      </c>
      <c r="K688" s="180">
        <f>(K644/K612)*W75</f>
        <v>1025939.231639713</v>
      </c>
      <c r="L688" s="180">
        <f>(L647/L612)*W80</f>
        <v>0</v>
      </c>
      <c r="M688" s="180">
        <f t="shared" si="20"/>
        <v>1634409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1731608</v>
      </c>
      <c r="D689" s="180">
        <f>(D615/D612)*X76</f>
        <v>83801.690438279606</v>
      </c>
      <c r="E689" s="180">
        <f>(E623/E612)*SUM(C689:D689)</f>
        <v>195993.52574289055</v>
      </c>
      <c r="F689" s="180">
        <f>(F624/F612)*X64</f>
        <v>7618.9543188534844</v>
      </c>
      <c r="G689" s="180">
        <f>(G625/G612)*X77</f>
        <v>0</v>
      </c>
      <c r="H689" s="180">
        <f>(H628/H612)*X60</f>
        <v>51607.965528984627</v>
      </c>
      <c r="I689" s="180">
        <f>(I629/I612)*X78</f>
        <v>30082.484594706191</v>
      </c>
      <c r="J689" s="180">
        <f>(J630/J612)*X79</f>
        <v>0</v>
      </c>
      <c r="K689" s="180">
        <f>(K644/K612)*X75</f>
        <v>1839427.0412761609</v>
      </c>
      <c r="L689" s="180">
        <f>(L647/L612)*X80</f>
        <v>0</v>
      </c>
      <c r="M689" s="180">
        <f t="shared" si="20"/>
        <v>2208532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15710832</v>
      </c>
      <c r="D690" s="180">
        <f>(D615/D612)*Y76</f>
        <v>1865696.4913594967</v>
      </c>
      <c r="E690" s="180">
        <f>(E623/E612)*SUM(C690:D690)</f>
        <v>1897580.368489851</v>
      </c>
      <c r="F690" s="180">
        <f>(F624/F612)*Y64</f>
        <v>149311.39397555214</v>
      </c>
      <c r="G690" s="180">
        <f>(G625/G612)*Y77</f>
        <v>0</v>
      </c>
      <c r="H690" s="180">
        <f>(H628/H612)*Y60</f>
        <v>394120.79107698426</v>
      </c>
      <c r="I690" s="180">
        <f>(I629/I612)*Y78</f>
        <v>295994.08199754707</v>
      </c>
      <c r="J690" s="180">
        <f>(J630/J612)*Y79</f>
        <v>7523.7382942806198</v>
      </c>
      <c r="K690" s="180">
        <f>(K644/K612)*Y75</f>
        <v>3241095.0767096779</v>
      </c>
      <c r="L690" s="180">
        <f>(L647/L612)*Y80</f>
        <v>142778.27800200647</v>
      </c>
      <c r="M690" s="180">
        <f t="shared" si="20"/>
        <v>7994100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-101555</v>
      </c>
      <c r="D691" s="180">
        <f>(D615/D612)*Z76</f>
        <v>0</v>
      </c>
      <c r="E691" s="180">
        <f>(E623/E612)*SUM(C691:D691)</f>
        <v>-10963.983838829217</v>
      </c>
      <c r="F691" s="180">
        <f>(F624/F612)*Z64</f>
        <v>225.50356901381798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3739.7578719440362</v>
      </c>
      <c r="L691" s="180">
        <f>(L647/L612)*Z80</f>
        <v>0</v>
      </c>
      <c r="M691" s="180">
        <f t="shared" si="20"/>
        <v>-6999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516887</v>
      </c>
      <c r="D692" s="180">
        <f>(D615/D612)*AA76</f>
        <v>50801.44819088369</v>
      </c>
      <c r="E692" s="180">
        <f>(E623/E612)*SUM(C692:D692)</f>
        <v>61288.237619564636</v>
      </c>
      <c r="F692" s="180">
        <f>(F624/F612)*AA64</f>
        <v>6817.7858404268445</v>
      </c>
      <c r="G692" s="180">
        <f>(G625/G612)*AA77</f>
        <v>0</v>
      </c>
      <c r="H692" s="180">
        <f>(H628/H612)*AA60</f>
        <v>11681.883545293302</v>
      </c>
      <c r="I692" s="180">
        <f>(I629/I612)*AA78</f>
        <v>18225.154900442438</v>
      </c>
      <c r="J692" s="180">
        <f>(J630/J612)*AA79</f>
        <v>0</v>
      </c>
      <c r="K692" s="180">
        <f>(K644/K612)*AA75</f>
        <v>69111.032104639191</v>
      </c>
      <c r="L692" s="180">
        <f>(L647/L612)*AA80</f>
        <v>0</v>
      </c>
      <c r="M692" s="180">
        <f t="shared" si="20"/>
        <v>217926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16093061</v>
      </c>
      <c r="D693" s="180">
        <f>(D615/D612)*AB76</f>
        <v>152049.50325816293</v>
      </c>
      <c r="E693" s="180">
        <f>(E623/E612)*SUM(C693:D693)</f>
        <v>1753839.0922920317</v>
      </c>
      <c r="F693" s="180">
        <f>(F624/F612)*AB64</f>
        <v>446654.8940804337</v>
      </c>
      <c r="G693" s="180">
        <f>(G625/G612)*AB77</f>
        <v>0</v>
      </c>
      <c r="H693" s="180">
        <f>(H628/H612)*AB60</f>
        <v>178862.61694904635</v>
      </c>
      <c r="I693" s="180">
        <f>(I629/I612)*AB78</f>
        <v>54543.716593613266</v>
      </c>
      <c r="J693" s="180">
        <f>(J630/J612)*AB79</f>
        <v>171.83046866865166</v>
      </c>
      <c r="K693" s="180">
        <f>(K644/K612)*AB75</f>
        <v>2546079.9389154031</v>
      </c>
      <c r="L693" s="180">
        <f>(L647/L612)*AB80</f>
        <v>0</v>
      </c>
      <c r="M693" s="180">
        <f t="shared" si="20"/>
        <v>5132202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2175264</v>
      </c>
      <c r="D694" s="180">
        <f>(D615/D612)*AC76</f>
        <v>64935.960551327458</v>
      </c>
      <c r="E694" s="180">
        <f>(E623/E612)*SUM(C694:D694)</f>
        <v>241854.3268497918</v>
      </c>
      <c r="F694" s="180">
        <f>(F624/F612)*AC64</f>
        <v>10280.464578555289</v>
      </c>
      <c r="G694" s="180">
        <f>(G625/G612)*AC77</f>
        <v>0</v>
      </c>
      <c r="H694" s="180">
        <f>(H628/H612)*AC60</f>
        <v>93143.551467805271</v>
      </c>
      <c r="I694" s="180">
        <f>(I629/I612)*AC78</f>
        <v>23319.415065385383</v>
      </c>
      <c r="J694" s="180">
        <f>(J630/J612)*AC79</f>
        <v>0</v>
      </c>
      <c r="K694" s="180">
        <f>(K644/K612)*AC75</f>
        <v>324953.26842016308</v>
      </c>
      <c r="L694" s="180">
        <f>(L647/L612)*AC80</f>
        <v>0</v>
      </c>
      <c r="M694" s="180">
        <f t="shared" si="20"/>
        <v>758487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3851239</v>
      </c>
      <c r="D696" s="180">
        <f>(D615/D612)*AE76</f>
        <v>1016679.5062275686</v>
      </c>
      <c r="E696" s="180">
        <f>(E623/E612)*SUM(C696:D696)</f>
        <v>525545.56477787136</v>
      </c>
      <c r="F696" s="180">
        <f>(F624/F612)*AE64</f>
        <v>1432.1857829753096</v>
      </c>
      <c r="G696" s="180">
        <f>(G625/G612)*AE77</f>
        <v>0</v>
      </c>
      <c r="H696" s="180">
        <f>(H628/H612)*AE60</f>
        <v>198592.02026998613</v>
      </c>
      <c r="I696" s="180">
        <f>(I629/I612)*AE78</f>
        <v>88139.484060693896</v>
      </c>
      <c r="J696" s="180">
        <f>(J630/J612)*AE79</f>
        <v>109.0862464611961</v>
      </c>
      <c r="K696" s="180">
        <f>(K644/K612)*AE75</f>
        <v>343978.81563764648</v>
      </c>
      <c r="L696" s="180">
        <f>(L647/L612)*AE80</f>
        <v>0</v>
      </c>
      <c r="M696" s="180">
        <f t="shared" si="20"/>
        <v>2174477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7581562</v>
      </c>
      <c r="D698" s="180">
        <f>(D615/D612)*AG76</f>
        <v>712403.07905399869</v>
      </c>
      <c r="E698" s="180">
        <f>(E623/E612)*SUM(C698:D698)</f>
        <v>895425.13009267824</v>
      </c>
      <c r="F698" s="180">
        <f>(F624/F612)*AG64</f>
        <v>23406.961325729397</v>
      </c>
      <c r="G698" s="180">
        <f>(G625/G612)*AG77</f>
        <v>0</v>
      </c>
      <c r="H698" s="180">
        <f>(H628/H612)*AG60</f>
        <v>348691.24395639915</v>
      </c>
      <c r="I698" s="180">
        <f>(I629/I612)*AG78</f>
        <v>255635.24500114561</v>
      </c>
      <c r="J698" s="180">
        <f>(J630/J612)*AG79</f>
        <v>8305.8110251481339</v>
      </c>
      <c r="K698" s="180">
        <f>(K644/K612)*AG75</f>
        <v>2691966.4761465485</v>
      </c>
      <c r="L698" s="180">
        <f>(L647/L612)*AG80</f>
        <v>453036.01898355287</v>
      </c>
      <c r="M698" s="180">
        <f t="shared" si="20"/>
        <v>5388870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86530333</v>
      </c>
      <c r="D701" s="180">
        <f>(D615/D612)*AJ76</f>
        <v>4602232.7086919416</v>
      </c>
      <c r="E701" s="180">
        <f>(E623/E612)*SUM(C701:D701)</f>
        <v>9838766.9501367752</v>
      </c>
      <c r="F701" s="180">
        <f>(F624/F612)*AJ64</f>
        <v>636540.30387223605</v>
      </c>
      <c r="G701" s="180">
        <f>(G625/G612)*AJ77</f>
        <v>0</v>
      </c>
      <c r="H701" s="180">
        <f>(H628/H612)*AJ60</f>
        <v>2060995.7742842794</v>
      </c>
      <c r="I701" s="180">
        <f>(I629/I612)*AJ78</f>
        <v>0</v>
      </c>
      <c r="J701" s="180">
        <f>(J630/J612)*AJ79</f>
        <v>0</v>
      </c>
      <c r="K701" s="180">
        <f>(K644/K612)*AJ75</f>
        <v>3290350.635130106</v>
      </c>
      <c r="L701" s="180">
        <f>(L647/L612)*AJ80</f>
        <v>651866.98597303906</v>
      </c>
      <c r="M701" s="180">
        <f t="shared" si="20"/>
        <v>21080753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1718909</v>
      </c>
      <c r="D702" s="180">
        <f>(D615/D612)*AK76</f>
        <v>190668.06631828754</v>
      </c>
      <c r="E702" s="180">
        <f>(E623/E612)*SUM(C702:D702)</f>
        <v>206159.93396792491</v>
      </c>
      <c r="F702" s="180">
        <f>(F624/F612)*AK64</f>
        <v>1201.3349637144061</v>
      </c>
      <c r="G702" s="180">
        <f>(G625/G612)*AK77</f>
        <v>0</v>
      </c>
      <c r="H702" s="180">
        <f>(H628/H612)*AK60</f>
        <v>80994.392580700223</v>
      </c>
      <c r="I702" s="180">
        <f>(I629/I612)*AK78</f>
        <v>68421.18393949233</v>
      </c>
      <c r="J702" s="180">
        <f>(J630/J612)*AK79</f>
        <v>0</v>
      </c>
      <c r="K702" s="180">
        <f>(K644/K612)*AK75</f>
        <v>195707.47123216192</v>
      </c>
      <c r="L702" s="180">
        <f>(L647/L612)*AK80</f>
        <v>0</v>
      </c>
      <c r="M702" s="180">
        <f t="shared" si="20"/>
        <v>743152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570071</v>
      </c>
      <c r="D703" s="180">
        <f>(D615/D612)*AL76</f>
        <v>76823.144586679759</v>
      </c>
      <c r="E703" s="180">
        <f>(E623/E612)*SUM(C703:D703)</f>
        <v>69839.367305219916</v>
      </c>
      <c r="F703" s="180">
        <f>(F624/F612)*AL64</f>
        <v>165.93185922987865</v>
      </c>
      <c r="G703" s="180">
        <f>(G625/G612)*AL77</f>
        <v>0</v>
      </c>
      <c r="H703" s="180">
        <f>(H628/H612)*AL60</f>
        <v>27361.567237198087</v>
      </c>
      <c r="I703" s="180">
        <f>(I629/I612)*AL78</f>
        <v>27579.270548139397</v>
      </c>
      <c r="J703" s="180">
        <f>(J630/J612)*AL79</f>
        <v>0</v>
      </c>
      <c r="K703" s="180">
        <f>(K644/K612)*AL75</f>
        <v>56945.964605609865</v>
      </c>
      <c r="L703" s="180">
        <f>(L647/L612)*AL80</f>
        <v>0</v>
      </c>
      <c r="M703" s="180">
        <f t="shared" si="20"/>
        <v>258715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11904532</v>
      </c>
      <c r="D713" s="180">
        <f>(D615/D612)*AV76</f>
        <v>1787808.8228293527</v>
      </c>
      <c r="E713" s="180">
        <f>(E623/E612)*SUM(C713:D713)</f>
        <v>1478239.4121140521</v>
      </c>
      <c r="F713" s="180">
        <f>(F624/F612)*AV64</f>
        <v>161396.88971563929</v>
      </c>
      <c r="G713" s="180">
        <f>(G625/G612)*AV77</f>
        <v>0</v>
      </c>
      <c r="H713" s="180">
        <f>(H628/H612)*AV60</f>
        <v>143557.36890104879</v>
      </c>
      <c r="I713" s="180">
        <f>(I629/I612)*AV78</f>
        <v>294588.76884859725</v>
      </c>
      <c r="J713" s="180">
        <f>(J630/J612)*AV79</f>
        <v>3281.7169979939649</v>
      </c>
      <c r="K713" s="180">
        <f>(K644/K612)*AV75</f>
        <v>1810845.172307766</v>
      </c>
      <c r="L713" s="180">
        <f>(L647/L612)*AV80</f>
        <v>206431.33159795802</v>
      </c>
      <c r="M713" s="180">
        <f t="shared" si="20"/>
        <v>5886149</v>
      </c>
      <c r="N713" s="199" t="s">
        <v>741</v>
      </c>
    </row>
    <row r="715" spans="1:83" ht="12.6" customHeight="1" x14ac:dyDescent="0.25">
      <c r="C715" s="180">
        <f>SUM(C614:C647)+SUM(C668:C713)</f>
        <v>371601029</v>
      </c>
      <c r="D715" s="180">
        <f>SUM(D616:D647)+SUM(D668:D713)</f>
        <v>25293975.999999996</v>
      </c>
      <c r="E715" s="180">
        <f>SUM(E624:E647)+SUM(E668:E713)</f>
        <v>36209246.986127958</v>
      </c>
      <c r="F715" s="180">
        <f>SUM(F625:F648)+SUM(F668:F713)</f>
        <v>2703557.9442658378</v>
      </c>
      <c r="G715" s="180">
        <f>SUM(G626:G647)+SUM(G668:G713)</f>
        <v>1551216.6713150982</v>
      </c>
      <c r="H715" s="180">
        <f>SUM(H629:H647)+SUM(H668:H713)</f>
        <v>8926724.2910064831</v>
      </c>
      <c r="I715" s="180">
        <f>SUM(I630:I647)+SUM(I668:I713)</f>
        <v>4774551.4235568708</v>
      </c>
      <c r="J715" s="180">
        <f>SUM(J631:J647)+SUM(J668:J713)</f>
        <v>86171.396105547086</v>
      </c>
      <c r="K715" s="180">
        <f>SUM(K668:K713)</f>
        <v>36065352.388408989</v>
      </c>
      <c r="L715" s="180">
        <f>SUM(L668:L713)</f>
        <v>7441435.5556768179</v>
      </c>
      <c r="M715" s="180">
        <f>SUM(M668:M713)</f>
        <v>110340471</v>
      </c>
      <c r="N715" s="198" t="s">
        <v>742</v>
      </c>
    </row>
    <row r="716" spans="1:83" ht="12.6" customHeight="1" x14ac:dyDescent="0.25">
      <c r="C716" s="180">
        <f>CE71</f>
        <v>371601029</v>
      </c>
      <c r="D716" s="180">
        <f>D615</f>
        <v>25293976</v>
      </c>
      <c r="E716" s="180">
        <f>E623</f>
        <v>36209246.986127965</v>
      </c>
      <c r="F716" s="180">
        <f>F624</f>
        <v>2703557.9442658378</v>
      </c>
      <c r="G716" s="180">
        <f>G625</f>
        <v>1551216.6713150982</v>
      </c>
      <c r="H716" s="180">
        <f>H628</f>
        <v>8926724.2910064831</v>
      </c>
      <c r="I716" s="180">
        <f>I629</f>
        <v>4774551.4235568717</v>
      </c>
      <c r="J716" s="180">
        <f>J630</f>
        <v>86171.396105547086</v>
      </c>
      <c r="K716" s="180">
        <f>K644</f>
        <v>36065352.388408996</v>
      </c>
      <c r="L716" s="180">
        <f>L647</f>
        <v>7441435.5556768188</v>
      </c>
      <c r="M716" s="180">
        <f>C648</f>
        <v>110340471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4"/>
      <c r="C720" s="274"/>
      <c r="D720" s="274"/>
      <c r="E720" s="274"/>
      <c r="F720" s="274"/>
      <c r="G720" s="274"/>
      <c r="H720" s="274"/>
      <c r="I720" s="274"/>
      <c r="J720" s="274"/>
      <c r="K720" s="274"/>
      <c r="L720" s="274"/>
      <c r="M720" s="274"/>
      <c r="N720" s="274"/>
      <c r="O720" s="274"/>
      <c r="P720" s="274"/>
      <c r="Q720" s="274"/>
      <c r="R720" s="274"/>
      <c r="S720" s="274"/>
      <c r="T720" s="274"/>
      <c r="U720" s="274"/>
      <c r="V720" s="274"/>
      <c r="W720" s="274"/>
      <c r="X720" s="274"/>
      <c r="Y720" s="274"/>
      <c r="Z720" s="274"/>
      <c r="AA720" s="274"/>
      <c r="AB720" s="274"/>
      <c r="AC720" s="274"/>
      <c r="AD720" s="274"/>
      <c r="AE720" s="274"/>
      <c r="AF720" s="274"/>
      <c r="AG720" s="274"/>
      <c r="AH720" s="274"/>
      <c r="AI720" s="274"/>
      <c r="AJ720" s="274"/>
      <c r="AK720" s="274"/>
      <c r="AL720" s="274"/>
      <c r="AM720" s="274"/>
      <c r="AN720" s="274"/>
      <c r="AO720" s="274"/>
      <c r="AP720" s="274"/>
      <c r="AQ720" s="274"/>
      <c r="AR720" s="274"/>
      <c r="AS720" s="274"/>
      <c r="AT720" s="274"/>
      <c r="AU720" s="274"/>
      <c r="AV720" s="274"/>
      <c r="AW720" s="274"/>
      <c r="AX720" s="274"/>
      <c r="AY720" s="274"/>
      <c r="AZ720" s="274"/>
      <c r="BA720" s="274"/>
      <c r="BB720" s="274"/>
      <c r="BC720" s="274"/>
      <c r="BD720" s="274"/>
      <c r="BE720" s="274"/>
      <c r="BF720" s="274"/>
      <c r="BG720" s="274"/>
      <c r="BH720" s="274"/>
      <c r="BI720" s="274"/>
      <c r="BJ720" s="274"/>
      <c r="BK720" s="274"/>
      <c r="BL720" s="274"/>
      <c r="BM720" s="274"/>
      <c r="BN720" s="274"/>
      <c r="BO720" s="274"/>
      <c r="BP720" s="274"/>
      <c r="BQ720" s="274"/>
      <c r="BR720" s="274"/>
      <c r="BS720" s="274"/>
      <c r="BT720" s="274"/>
      <c r="BU720" s="274"/>
      <c r="BV720" s="274"/>
      <c r="BW720" s="274"/>
      <c r="BX720" s="274"/>
      <c r="BY720" s="274"/>
      <c r="BZ720" s="274"/>
      <c r="CA720" s="274"/>
      <c r="CB720" s="274"/>
      <c r="CC720" s="274"/>
      <c r="CD720" s="274"/>
      <c r="CE720" s="274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130*2017*A</v>
      </c>
      <c r="B722" s="274">
        <f>ROUND(C165,0)</f>
        <v>10991244</v>
      </c>
      <c r="C722" s="274">
        <f>ROUND(C166,0)</f>
        <v>144419</v>
      </c>
      <c r="D722" s="274">
        <f>ROUND(C167,0)</f>
        <v>1352861</v>
      </c>
      <c r="E722" s="274">
        <f>ROUND(C168,0)</f>
        <v>15581417</v>
      </c>
      <c r="F722" s="274">
        <f>ROUND(C169,0)</f>
        <v>64497</v>
      </c>
      <c r="G722" s="274">
        <f>ROUND(C170,0)</f>
        <v>4924690</v>
      </c>
      <c r="H722" s="274">
        <f>ROUND(C171+C172,0)</f>
        <v>2687580</v>
      </c>
      <c r="I722" s="274">
        <f>ROUND(C175,0)</f>
        <v>4673742</v>
      </c>
      <c r="J722" s="274">
        <f>ROUND(C176,0)</f>
        <v>3956265</v>
      </c>
      <c r="K722" s="274">
        <f>ROUND(C179,0)</f>
        <v>1305760</v>
      </c>
      <c r="L722" s="274">
        <f>ROUND(C180,0)</f>
        <v>1270702</v>
      </c>
      <c r="M722" s="274">
        <f>ROUND(C183,0)</f>
        <v>165677</v>
      </c>
      <c r="N722" s="274">
        <f>ROUND(C184,0)</f>
        <v>10494559</v>
      </c>
      <c r="O722" s="274">
        <f>ROUND(C185,0)</f>
        <v>0</v>
      </c>
      <c r="P722" s="274">
        <f>ROUND(C188,0)</f>
        <v>0</v>
      </c>
      <c r="Q722" s="274">
        <f>ROUND(C189,0)</f>
        <v>3825296</v>
      </c>
      <c r="R722" s="274">
        <f>ROUND(B195,0)</f>
        <v>10816822</v>
      </c>
      <c r="S722" s="274">
        <f>ROUND(C195,0)</f>
        <v>0</v>
      </c>
      <c r="T722" s="274">
        <f>ROUND(D195,0)</f>
        <v>0</v>
      </c>
      <c r="U722" s="274">
        <f>ROUND(B196,0)</f>
        <v>5984429</v>
      </c>
      <c r="V722" s="274">
        <f>ROUND(C196,0)</f>
        <v>0</v>
      </c>
      <c r="W722" s="274">
        <f>ROUND(D196,0)</f>
        <v>0</v>
      </c>
      <c r="X722" s="274">
        <f>ROUND(B197,0)</f>
        <v>134497495</v>
      </c>
      <c r="Y722" s="274">
        <f>ROUND(C197,0)</f>
        <v>7693600</v>
      </c>
      <c r="Z722" s="274">
        <f>ROUND(D197,0)</f>
        <v>0</v>
      </c>
      <c r="AA722" s="274">
        <f>ROUND(B198,0)</f>
        <v>46637015</v>
      </c>
      <c r="AB722" s="274">
        <f>ROUND(C198,0)</f>
        <v>40126</v>
      </c>
      <c r="AC722" s="274">
        <f>ROUND(D198,0)</f>
        <v>0</v>
      </c>
      <c r="AD722" s="274">
        <f>ROUND(B199,0)</f>
        <v>0</v>
      </c>
      <c r="AE722" s="274">
        <f>ROUND(C199,0)</f>
        <v>105250</v>
      </c>
      <c r="AF722" s="274">
        <f>ROUND(D199,0)</f>
        <v>0</v>
      </c>
      <c r="AG722" s="274">
        <f>ROUND(B200,0)</f>
        <v>170229961</v>
      </c>
      <c r="AH722" s="274">
        <f>ROUND(C200,0)</f>
        <v>7471726</v>
      </c>
      <c r="AI722" s="274">
        <f>ROUND(D200,0)</f>
        <v>740571</v>
      </c>
      <c r="AJ722" s="274">
        <f>ROUND(B201,0)</f>
        <v>0</v>
      </c>
      <c r="AK722" s="274">
        <f>ROUND(C201,0)</f>
        <v>0</v>
      </c>
      <c r="AL722" s="274">
        <f>ROUND(D201,0)</f>
        <v>0</v>
      </c>
      <c r="AM722" s="274">
        <f>ROUND(B202,0)</f>
        <v>20352667</v>
      </c>
      <c r="AN722" s="274">
        <f>ROUND(C202,0)</f>
        <v>255678</v>
      </c>
      <c r="AO722" s="274">
        <f>ROUND(D202,0)</f>
        <v>2454529</v>
      </c>
      <c r="AP722" s="274">
        <f>ROUND(B203,0)</f>
        <v>4011880</v>
      </c>
      <c r="AQ722" s="274">
        <f>ROUND(C203,0)</f>
        <v>14033676</v>
      </c>
      <c r="AR722" s="274">
        <f>ROUND(D203,0)</f>
        <v>15573396</v>
      </c>
      <c r="AS722" s="274"/>
      <c r="AT722" s="274"/>
      <c r="AU722" s="274"/>
      <c r="AV722" s="274">
        <f>ROUND(B209,0)</f>
        <v>5142430</v>
      </c>
      <c r="AW722" s="274">
        <f>ROUND(C209,0)</f>
        <v>175579</v>
      </c>
      <c r="AX722" s="274">
        <f>ROUND(D209,0)</f>
        <v>0</v>
      </c>
      <c r="AY722" s="274">
        <f>ROUND(B210,0)</f>
        <v>82160593</v>
      </c>
      <c r="AZ722" s="274">
        <f>ROUND(C210,0)</f>
        <v>5623063</v>
      </c>
      <c r="BA722" s="274">
        <f>ROUND(D210,0)</f>
        <v>0</v>
      </c>
      <c r="BB722" s="274">
        <f>ROUND(B211,0)</f>
        <v>36996609</v>
      </c>
      <c r="BC722" s="274">
        <f>ROUND(C211,0)</f>
        <v>653761</v>
      </c>
      <c r="BD722" s="274">
        <f>ROUND(D211,0)</f>
        <v>0</v>
      </c>
      <c r="BE722" s="274">
        <f>ROUND(B212,0)</f>
        <v>0</v>
      </c>
      <c r="BF722" s="274">
        <f>ROUND(C212,0)</f>
        <v>0</v>
      </c>
      <c r="BG722" s="274">
        <f>ROUND(D212,0)</f>
        <v>0</v>
      </c>
      <c r="BH722" s="274">
        <f>ROUND(B213,0)</f>
        <v>144212636</v>
      </c>
      <c r="BI722" s="274">
        <f>ROUND(C213,0)</f>
        <v>8833787</v>
      </c>
      <c r="BJ722" s="274">
        <f>ROUND(D213,0)</f>
        <v>311824</v>
      </c>
      <c r="BK722" s="274">
        <f>ROUND(B214,0)</f>
        <v>0</v>
      </c>
      <c r="BL722" s="274">
        <f>ROUND(C214,0)</f>
        <v>0</v>
      </c>
      <c r="BM722" s="274">
        <f>ROUND(D214,0)</f>
        <v>0</v>
      </c>
      <c r="BN722" s="274">
        <f>ROUND(B215,0)</f>
        <v>12459476</v>
      </c>
      <c r="BO722" s="274">
        <f>ROUND(C215,0)</f>
        <v>1160668</v>
      </c>
      <c r="BP722" s="274">
        <f>ROUND(D215,0)</f>
        <v>2265867</v>
      </c>
      <c r="BQ722" s="274">
        <f>ROUND(B216,0)</f>
        <v>0</v>
      </c>
      <c r="BR722" s="274">
        <f>ROUND(C216,0)</f>
        <v>0</v>
      </c>
      <c r="BS722" s="274">
        <f>ROUND(D216,0)</f>
        <v>0</v>
      </c>
      <c r="BT722" s="274">
        <f>ROUND(C223,0)</f>
        <v>367958242</v>
      </c>
      <c r="BU722" s="274">
        <f>ROUND(C224,0)</f>
        <v>117767746</v>
      </c>
      <c r="BV722" s="274">
        <f>ROUND(C225,0)</f>
        <v>-122667</v>
      </c>
      <c r="BW722" s="274">
        <f>ROUND(C226,0)</f>
        <v>14002491</v>
      </c>
      <c r="BX722" s="274">
        <f>ROUND(C227,0)</f>
        <v>200521871</v>
      </c>
      <c r="BY722" s="274">
        <f>ROUND(C228,0)</f>
        <v>41879286</v>
      </c>
      <c r="BZ722" s="274">
        <f>ROUND(C231,0)</f>
        <v>2061</v>
      </c>
      <c r="CA722" s="274">
        <f>ROUND(C233,0)</f>
        <v>6090306</v>
      </c>
      <c r="CB722" s="274">
        <f>ROUND(C234,0)</f>
        <v>6752960</v>
      </c>
      <c r="CC722" s="274">
        <f>ROUND(C238+C239,0)</f>
        <v>2234528</v>
      </c>
      <c r="CD722" s="274">
        <f>D221</f>
        <v>8243193</v>
      </c>
      <c r="CE722" s="274"/>
    </row>
    <row r="723" spans="1:84" ht="12.6" customHeight="1" x14ac:dyDescent="0.25">
      <c r="B723" s="275"/>
      <c r="C723" s="275"/>
      <c r="D723" s="275"/>
      <c r="E723" s="275"/>
      <c r="F723" s="275"/>
      <c r="G723" s="275"/>
      <c r="H723" s="275"/>
      <c r="I723" s="275"/>
      <c r="J723" s="275"/>
      <c r="K723" s="275"/>
      <c r="L723" s="275"/>
      <c r="M723" s="275"/>
      <c r="N723" s="275"/>
      <c r="O723" s="275"/>
      <c r="P723" s="275"/>
      <c r="Q723" s="275"/>
      <c r="R723" s="275"/>
      <c r="S723" s="275"/>
      <c r="T723" s="275"/>
      <c r="U723" s="275"/>
      <c r="V723" s="275"/>
      <c r="W723" s="275"/>
      <c r="X723" s="275"/>
      <c r="Y723" s="275"/>
      <c r="Z723" s="275"/>
      <c r="AA723" s="275"/>
      <c r="AB723" s="275"/>
      <c r="AC723" s="275"/>
      <c r="AD723" s="275"/>
      <c r="AE723" s="275"/>
      <c r="AF723" s="275"/>
      <c r="AG723" s="275"/>
      <c r="AH723" s="275"/>
      <c r="AI723" s="275"/>
      <c r="AJ723" s="275"/>
      <c r="AK723" s="275"/>
      <c r="AL723" s="275"/>
      <c r="AM723" s="275"/>
      <c r="AN723" s="275"/>
      <c r="AO723" s="275"/>
      <c r="AP723" s="275"/>
      <c r="AQ723" s="275"/>
      <c r="AR723" s="275"/>
      <c r="AS723" s="275"/>
      <c r="AT723" s="275"/>
      <c r="AU723" s="275"/>
      <c r="AV723" s="275"/>
      <c r="AW723" s="275"/>
      <c r="AX723" s="275"/>
      <c r="AY723" s="275"/>
      <c r="AZ723" s="275"/>
      <c r="BA723" s="275"/>
      <c r="BB723" s="275"/>
      <c r="BC723" s="275"/>
      <c r="BD723" s="275"/>
      <c r="BE723" s="275"/>
      <c r="BF723" s="275"/>
      <c r="BG723" s="275"/>
      <c r="BH723" s="275"/>
      <c r="BI723" s="275"/>
      <c r="BJ723" s="275"/>
      <c r="BK723" s="275"/>
      <c r="BL723" s="275"/>
      <c r="BM723" s="275"/>
      <c r="BN723" s="275"/>
      <c r="BO723" s="275"/>
      <c r="BP723" s="275"/>
      <c r="BQ723" s="275"/>
      <c r="BR723" s="275"/>
      <c r="BS723" s="275"/>
      <c r="BT723" s="275"/>
      <c r="BU723" s="275"/>
      <c r="BV723" s="275"/>
      <c r="BW723" s="275"/>
      <c r="BX723" s="275"/>
      <c r="BY723" s="275"/>
      <c r="BZ723" s="275"/>
      <c r="CA723" s="275"/>
      <c r="CB723" s="275"/>
      <c r="CC723" s="275"/>
      <c r="CD723" s="275"/>
      <c r="CE723" s="275"/>
    </row>
    <row r="724" spans="1:84" s="201" customFormat="1" ht="12.6" customHeight="1" x14ac:dyDescent="0.25">
      <c r="A724" s="201" t="s">
        <v>148</v>
      </c>
      <c r="B724" s="274"/>
      <c r="C724" s="274"/>
      <c r="D724" s="274"/>
      <c r="E724" s="274"/>
      <c r="F724" s="274"/>
      <c r="G724" s="274"/>
      <c r="H724" s="274"/>
      <c r="I724" s="274"/>
      <c r="J724" s="274"/>
      <c r="K724" s="274"/>
      <c r="L724" s="274"/>
      <c r="M724" s="274"/>
      <c r="N724" s="274"/>
      <c r="O724" s="274"/>
      <c r="P724" s="274"/>
      <c r="Q724" s="274"/>
      <c r="R724" s="274"/>
      <c r="S724" s="274"/>
      <c r="T724" s="274"/>
      <c r="U724" s="274"/>
      <c r="V724" s="274"/>
      <c r="W724" s="274"/>
      <c r="X724" s="274"/>
      <c r="Y724" s="274"/>
      <c r="Z724" s="274"/>
      <c r="AA724" s="274"/>
      <c r="AB724" s="274"/>
      <c r="AC724" s="274"/>
      <c r="AD724" s="274"/>
      <c r="AE724" s="274"/>
      <c r="AF724" s="274"/>
      <c r="AG724" s="274"/>
      <c r="AH724" s="274"/>
      <c r="AI724" s="274"/>
      <c r="AJ724" s="274"/>
      <c r="AK724" s="274"/>
      <c r="AL724" s="274"/>
      <c r="AM724" s="274"/>
      <c r="AN724" s="274"/>
      <c r="AO724" s="274"/>
      <c r="AP724" s="274"/>
      <c r="AQ724" s="274"/>
      <c r="AR724" s="274"/>
      <c r="AS724" s="274"/>
      <c r="AT724" s="274"/>
      <c r="AU724" s="274"/>
      <c r="AV724" s="274"/>
      <c r="AW724" s="274"/>
      <c r="AX724" s="274"/>
      <c r="AY724" s="274"/>
      <c r="AZ724" s="274"/>
      <c r="BA724" s="274"/>
      <c r="BB724" s="274"/>
      <c r="BC724" s="274"/>
      <c r="BD724" s="274"/>
      <c r="BE724" s="274"/>
      <c r="BF724" s="274"/>
      <c r="BG724" s="274"/>
      <c r="BH724" s="274"/>
      <c r="BI724" s="274"/>
      <c r="BJ724" s="274"/>
      <c r="BK724" s="274"/>
      <c r="BL724" s="274"/>
      <c r="BM724" s="274"/>
      <c r="BN724" s="274"/>
      <c r="BO724" s="274"/>
      <c r="BP724" s="274"/>
      <c r="BQ724" s="274"/>
      <c r="BR724" s="274"/>
      <c r="BS724" s="274"/>
      <c r="BT724" s="274"/>
      <c r="BU724" s="274"/>
      <c r="BV724" s="274"/>
      <c r="BW724" s="274"/>
      <c r="BX724" s="274"/>
      <c r="BY724" s="274"/>
      <c r="BZ724" s="274"/>
      <c r="CA724" s="274"/>
      <c r="CB724" s="274"/>
      <c r="CC724" s="274"/>
      <c r="CD724" s="274"/>
      <c r="CE724" s="274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130*2017*A</v>
      </c>
      <c r="B726" s="274">
        <f>ROUND(C111,0)</f>
        <v>9945</v>
      </c>
      <c r="C726" s="274">
        <f>ROUND(C112,0)</f>
        <v>0</v>
      </c>
      <c r="D726" s="274">
        <f>ROUND(C113,0)</f>
        <v>0</v>
      </c>
      <c r="E726" s="274">
        <f>ROUND(C114,0)</f>
        <v>1166</v>
      </c>
      <c r="F726" s="274">
        <f>ROUND(D111,0)</f>
        <v>49375</v>
      </c>
      <c r="G726" s="274">
        <f>ROUND(D112,0)</f>
        <v>0</v>
      </c>
      <c r="H726" s="274">
        <f>ROUND(D113,0)</f>
        <v>0</v>
      </c>
      <c r="I726" s="274">
        <f>ROUND(D114,0)</f>
        <v>1880</v>
      </c>
      <c r="J726" s="274">
        <f>ROUND(C116,0)</f>
        <v>15</v>
      </c>
      <c r="K726" s="274">
        <f>ROUND(C117,0)</f>
        <v>17</v>
      </c>
      <c r="L726" s="274">
        <f>ROUND(C118,0)</f>
        <v>127</v>
      </c>
      <c r="M726" s="274">
        <f>ROUND(C119,0)</f>
        <v>0</v>
      </c>
      <c r="N726" s="274">
        <f>ROUND(C120,0)</f>
        <v>18</v>
      </c>
      <c r="O726" s="274">
        <f>ROUND(C121,0)</f>
        <v>0</v>
      </c>
      <c r="P726" s="274">
        <f>ROUND(C122,0)</f>
        <v>27</v>
      </c>
      <c r="Q726" s="274">
        <f>ROUND(C123,0)</f>
        <v>0</v>
      </c>
      <c r="R726" s="274">
        <f>ROUND(C124,0)</f>
        <v>0</v>
      </c>
      <c r="S726" s="274">
        <f>ROUND(C125,0)</f>
        <v>0</v>
      </c>
      <c r="T726" s="274"/>
      <c r="U726" s="274">
        <f>ROUND(C126,0)</f>
        <v>0</v>
      </c>
      <c r="V726" s="274">
        <f>ROUND(C128,0)</f>
        <v>281</v>
      </c>
      <c r="W726" s="274">
        <f>ROUND(C129,0)</f>
        <v>8</v>
      </c>
      <c r="X726" s="274">
        <f>ROUND(B138,0)</f>
        <v>5366</v>
      </c>
      <c r="Y726" s="274">
        <f>ROUND(B139,0)</f>
        <v>31157</v>
      </c>
      <c r="Z726" s="274">
        <f>ROUND(B140,0)</f>
        <v>229687</v>
      </c>
      <c r="AA726" s="274">
        <f>ROUND(B141,0)</f>
        <v>237025008</v>
      </c>
      <c r="AB726" s="274">
        <f>ROUND(B142,0)</f>
        <v>276645828</v>
      </c>
      <c r="AC726" s="274">
        <f>ROUND(C138,0)</f>
        <v>1345</v>
      </c>
      <c r="AD726" s="274">
        <f>ROUND(C139,0)</f>
        <v>8030</v>
      </c>
      <c r="AE726" s="274">
        <f>ROUND(C140,0)</f>
        <v>73216</v>
      </c>
      <c r="AF726" s="274">
        <f>ROUND(C141,0)</f>
        <v>69448912</v>
      </c>
      <c r="AG726" s="274">
        <f>ROUND(C142,0)</f>
        <v>88185406</v>
      </c>
      <c r="AH726" s="274">
        <f>ROUND(D138,0)</f>
        <v>3234</v>
      </c>
      <c r="AI726" s="274">
        <f>ROUND(D139,0)</f>
        <v>10188</v>
      </c>
      <c r="AJ726" s="274">
        <f>ROUND(D140,0)</f>
        <v>202576</v>
      </c>
      <c r="AK726" s="274">
        <f>ROUND(D141,0)</f>
        <v>190311694</v>
      </c>
      <c r="AL726" s="274">
        <f>ROUND(D142,0)</f>
        <v>243992784</v>
      </c>
      <c r="AM726" s="274">
        <f>ROUND(B144,0)</f>
        <v>0</v>
      </c>
      <c r="AN726" s="274">
        <f>ROUND(B145,0)</f>
        <v>0</v>
      </c>
      <c r="AO726" s="274">
        <f>ROUND(B146,0)</f>
        <v>0</v>
      </c>
      <c r="AP726" s="274">
        <f>ROUND(B147,0)</f>
        <v>0</v>
      </c>
      <c r="AQ726" s="274">
        <f>ROUND(B148,0)</f>
        <v>0</v>
      </c>
      <c r="AR726" s="274">
        <f>ROUND(C144,0)</f>
        <v>0</v>
      </c>
      <c r="AS726" s="274">
        <f>ROUND(C145,0)</f>
        <v>0</v>
      </c>
      <c r="AT726" s="274">
        <f>ROUND(C146,0)</f>
        <v>0</v>
      </c>
      <c r="AU726" s="274">
        <f>ROUND(C147,0)</f>
        <v>0</v>
      </c>
      <c r="AV726" s="274">
        <f>ROUND(C148,0)</f>
        <v>0</v>
      </c>
      <c r="AW726" s="274">
        <f>ROUND(D144,0)</f>
        <v>0</v>
      </c>
      <c r="AX726" s="274">
        <f>ROUND(D145,0)</f>
        <v>0</v>
      </c>
      <c r="AY726" s="274">
        <f>ROUND(D146,0)</f>
        <v>0</v>
      </c>
      <c r="AZ726" s="274">
        <f>ROUND(D147,0)</f>
        <v>0</v>
      </c>
      <c r="BA726" s="274">
        <f>ROUND(D148,0)</f>
        <v>0</v>
      </c>
      <c r="BB726" s="274">
        <f>ROUND(B150,0)</f>
        <v>0</v>
      </c>
      <c r="BC726" s="274">
        <f>ROUND(B151,0)</f>
        <v>0</v>
      </c>
      <c r="BD726" s="274">
        <f>ROUND(B152,0)</f>
        <v>0</v>
      </c>
      <c r="BE726" s="274">
        <f>ROUND(B153,0)</f>
        <v>0</v>
      </c>
      <c r="BF726" s="274">
        <f>ROUND(B154,0)</f>
        <v>0</v>
      </c>
      <c r="BG726" s="274">
        <f>ROUND(C150,0)</f>
        <v>0</v>
      </c>
      <c r="BH726" s="274">
        <f>ROUND(C151,0)</f>
        <v>0</v>
      </c>
      <c r="BI726" s="274">
        <f>ROUND(C152,0)</f>
        <v>0</v>
      </c>
      <c r="BJ726" s="274">
        <f>ROUND(C153,0)</f>
        <v>0</v>
      </c>
      <c r="BK726" s="274">
        <f>ROUND(C154,0)</f>
        <v>0</v>
      </c>
      <c r="BL726" s="274">
        <f>ROUND(D150,0)</f>
        <v>0</v>
      </c>
      <c r="BM726" s="274">
        <f>ROUND(D151,0)</f>
        <v>0</v>
      </c>
      <c r="BN726" s="274">
        <f>ROUND(D152,0)</f>
        <v>0</v>
      </c>
      <c r="BO726" s="274">
        <f>ROUND(D153,0)</f>
        <v>0</v>
      </c>
      <c r="BP726" s="274">
        <f>ROUND(D154,0)</f>
        <v>0</v>
      </c>
      <c r="BQ726" s="274">
        <f>ROUND(B157,0)</f>
        <v>0</v>
      </c>
      <c r="BR726" s="274">
        <f>ROUND(C157,0)</f>
        <v>0</v>
      </c>
      <c r="BS726" s="274"/>
      <c r="BT726" s="274"/>
      <c r="BU726" s="274"/>
      <c r="BV726" s="274"/>
      <c r="BW726" s="274"/>
      <c r="BX726" s="274"/>
      <c r="BY726" s="274"/>
      <c r="BZ726" s="274"/>
      <c r="CA726" s="274"/>
      <c r="CB726" s="274"/>
      <c r="CC726" s="274"/>
      <c r="CD726" s="274"/>
      <c r="CE726" s="274"/>
    </row>
    <row r="727" spans="1:84" ht="12.6" customHeight="1" x14ac:dyDescent="0.25">
      <c r="B727" s="275"/>
      <c r="C727" s="275"/>
      <c r="D727" s="275"/>
      <c r="E727" s="275"/>
      <c r="F727" s="275"/>
      <c r="G727" s="275"/>
      <c r="H727" s="275"/>
      <c r="I727" s="275"/>
      <c r="J727" s="275"/>
      <c r="K727" s="275"/>
      <c r="L727" s="275"/>
      <c r="M727" s="275"/>
      <c r="N727" s="275"/>
      <c r="O727" s="275"/>
      <c r="P727" s="275"/>
      <c r="Q727" s="275"/>
      <c r="R727" s="275"/>
      <c r="S727" s="275"/>
      <c r="T727" s="275"/>
      <c r="U727" s="275"/>
      <c r="V727" s="275"/>
      <c r="W727" s="275"/>
      <c r="X727" s="275"/>
      <c r="Y727" s="275"/>
      <c r="Z727" s="275"/>
      <c r="AA727" s="275"/>
      <c r="AB727" s="275"/>
      <c r="AC727" s="275"/>
      <c r="AD727" s="275"/>
      <c r="AE727" s="275"/>
      <c r="AF727" s="275"/>
      <c r="AG727" s="275"/>
      <c r="AH727" s="275"/>
      <c r="AI727" s="275"/>
      <c r="AJ727" s="275"/>
      <c r="AK727" s="275"/>
      <c r="AL727" s="275"/>
      <c r="AM727" s="275"/>
      <c r="AN727" s="275"/>
      <c r="AO727" s="275"/>
      <c r="AP727" s="275"/>
      <c r="AQ727" s="275"/>
      <c r="AR727" s="275"/>
      <c r="AS727" s="275"/>
      <c r="AT727" s="275"/>
      <c r="AU727" s="275"/>
      <c r="AV727" s="275"/>
      <c r="AW727" s="275"/>
      <c r="AX727" s="275"/>
      <c r="AY727" s="275"/>
      <c r="AZ727" s="275"/>
      <c r="BA727" s="275"/>
      <c r="BB727" s="275"/>
      <c r="BC727" s="275"/>
      <c r="BD727" s="275"/>
      <c r="BE727" s="275"/>
      <c r="BF727" s="275"/>
      <c r="BG727" s="275"/>
      <c r="BH727" s="275"/>
      <c r="BI727" s="275"/>
      <c r="BJ727" s="275"/>
      <c r="BK727" s="275"/>
      <c r="BL727" s="275"/>
      <c r="BM727" s="275"/>
      <c r="BN727" s="275"/>
      <c r="BO727" s="275"/>
      <c r="BP727" s="275"/>
      <c r="BQ727" s="275"/>
      <c r="BR727" s="275"/>
      <c r="BS727" s="275"/>
      <c r="BT727" s="275"/>
      <c r="BU727" s="275"/>
      <c r="BV727" s="275"/>
      <c r="BW727" s="275"/>
      <c r="BX727" s="275"/>
      <c r="BY727" s="275"/>
      <c r="BZ727" s="275"/>
      <c r="CA727" s="275"/>
      <c r="CB727" s="275"/>
      <c r="CC727" s="275"/>
      <c r="CD727" s="275"/>
      <c r="CE727" s="275"/>
    </row>
    <row r="728" spans="1:84" s="201" customFormat="1" ht="12.6" customHeight="1" x14ac:dyDescent="0.25">
      <c r="A728" s="201" t="s">
        <v>895</v>
      </c>
      <c r="B728" s="274"/>
      <c r="C728" s="274"/>
      <c r="D728" s="274"/>
      <c r="E728" s="274"/>
      <c r="F728" s="274"/>
      <c r="G728" s="274"/>
      <c r="H728" s="274"/>
      <c r="I728" s="274"/>
      <c r="J728" s="274"/>
      <c r="K728" s="274"/>
      <c r="L728" s="274"/>
      <c r="M728" s="274"/>
      <c r="N728" s="274"/>
      <c r="O728" s="274"/>
      <c r="P728" s="274"/>
      <c r="Q728" s="274"/>
      <c r="R728" s="274"/>
      <c r="S728" s="274"/>
      <c r="T728" s="274"/>
      <c r="U728" s="274"/>
      <c r="V728" s="274"/>
      <c r="W728" s="274"/>
      <c r="X728" s="274"/>
      <c r="Y728" s="274"/>
      <c r="Z728" s="274"/>
      <c r="AA728" s="274"/>
      <c r="AB728" s="274"/>
      <c r="AC728" s="274"/>
      <c r="AD728" s="274"/>
      <c r="AE728" s="274"/>
      <c r="AF728" s="274"/>
      <c r="AG728" s="274"/>
      <c r="AH728" s="274"/>
      <c r="AI728" s="274"/>
      <c r="AJ728" s="274"/>
      <c r="AK728" s="274"/>
      <c r="AL728" s="274"/>
      <c r="AM728" s="274"/>
      <c r="AN728" s="274"/>
      <c r="AO728" s="274"/>
      <c r="AP728" s="274"/>
      <c r="AQ728" s="274"/>
      <c r="AR728" s="274"/>
      <c r="AS728" s="274"/>
      <c r="AT728" s="274"/>
      <c r="AU728" s="274"/>
      <c r="AV728" s="274"/>
      <c r="AW728" s="274"/>
      <c r="AX728" s="274"/>
      <c r="AY728" s="274"/>
      <c r="AZ728" s="274"/>
      <c r="BA728" s="274"/>
      <c r="BB728" s="274"/>
      <c r="BC728" s="274"/>
      <c r="BD728" s="274"/>
      <c r="BE728" s="274"/>
      <c r="BF728" s="274"/>
      <c r="BG728" s="274"/>
      <c r="BH728" s="274"/>
      <c r="BI728" s="274"/>
      <c r="BJ728" s="274"/>
      <c r="BK728" s="274"/>
      <c r="BL728" s="274"/>
      <c r="BM728" s="274"/>
      <c r="BN728" s="274"/>
      <c r="BO728" s="274"/>
      <c r="BP728" s="274"/>
      <c r="BQ728" s="274"/>
      <c r="BR728" s="274"/>
      <c r="BS728" s="274"/>
      <c r="BT728" s="274"/>
      <c r="BU728" s="274"/>
      <c r="BV728" s="274"/>
      <c r="BW728" s="274"/>
      <c r="BX728" s="274"/>
      <c r="BY728" s="274"/>
      <c r="BZ728" s="274"/>
      <c r="CA728" s="274"/>
      <c r="CB728" s="274"/>
      <c r="CC728" s="274"/>
      <c r="CD728" s="274"/>
      <c r="CE728" s="274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130*2017*A</v>
      </c>
      <c r="B730" s="274">
        <f>ROUND(C250,0)</f>
        <v>1787513</v>
      </c>
      <c r="C730" s="274">
        <f>ROUND(C251,0)</f>
        <v>0</v>
      </c>
      <c r="D730" s="274">
        <f>ROUND(C252,0)</f>
        <v>123993498</v>
      </c>
      <c r="E730" s="274">
        <f>ROUND(C253,0)</f>
        <v>88639885</v>
      </c>
      <c r="F730" s="274">
        <f>ROUND(C254,0)</f>
        <v>0</v>
      </c>
      <c r="G730" s="274">
        <f>ROUND(C255,0)</f>
        <v>5016370</v>
      </c>
      <c r="H730" s="274">
        <f>ROUND(C256,0)</f>
        <v>0</v>
      </c>
      <c r="I730" s="274">
        <f>ROUND(C257,0)</f>
        <v>4676713</v>
      </c>
      <c r="J730" s="274">
        <f>ROUND(C258,0)</f>
        <v>4264497</v>
      </c>
      <c r="K730" s="274">
        <f>ROUND(C259,0)</f>
        <v>0</v>
      </c>
      <c r="L730" s="274">
        <f>ROUND(C262,0)</f>
        <v>4671401</v>
      </c>
      <c r="M730" s="274">
        <f>ROUND(C263,0)</f>
        <v>42042605</v>
      </c>
      <c r="N730" s="274">
        <f>ROUND(C264,0)</f>
        <v>5696245</v>
      </c>
      <c r="O730" s="274">
        <f>ROUND(C267,0)</f>
        <v>10816822</v>
      </c>
      <c r="P730" s="274">
        <f>ROUND(C268,0)</f>
        <v>5984429</v>
      </c>
      <c r="Q730" s="274">
        <f>ROUND(C269,0)</f>
        <v>142191095</v>
      </c>
      <c r="R730" s="274">
        <f>ROUND(C270,0)</f>
        <v>46677141</v>
      </c>
      <c r="S730" s="274">
        <f>ROUND(C271,0)</f>
        <v>105250</v>
      </c>
      <c r="T730" s="274">
        <f>ROUND(C272,0)</f>
        <v>176961116</v>
      </c>
      <c r="U730" s="274">
        <f>ROUND(C273,0)</f>
        <v>18153816</v>
      </c>
      <c r="V730" s="274">
        <f>ROUND(C274,0)</f>
        <v>2472160</v>
      </c>
      <c r="W730" s="274">
        <f>ROUND(C275,0)</f>
        <v>0</v>
      </c>
      <c r="X730" s="274">
        <f>ROUND(C276,0)</f>
        <v>294840911</v>
      </c>
      <c r="Y730" s="274">
        <f>ROUND(C279,0)</f>
        <v>0</v>
      </c>
      <c r="Z730" s="274">
        <f>ROUND(C280,0)</f>
        <v>0</v>
      </c>
      <c r="AA730" s="274">
        <f>ROUND(C281,0)</f>
        <v>5370613</v>
      </c>
      <c r="AB730" s="274">
        <f>ROUND(C282,0)</f>
        <v>2041481</v>
      </c>
      <c r="AC730" s="274">
        <f>ROUND(C286,0)</f>
        <v>0</v>
      </c>
      <c r="AD730" s="274">
        <f>ROUND(C287,0)</f>
        <v>0</v>
      </c>
      <c r="AE730" s="274">
        <f>ROUND(C288,0)</f>
        <v>0</v>
      </c>
      <c r="AF730" s="274">
        <f>ROUND(C289,0)</f>
        <v>0</v>
      </c>
      <c r="AG730" s="274">
        <f>ROUND(C304,0)</f>
        <v>0</v>
      </c>
      <c r="AH730" s="274">
        <f>ROUND(C305,0)</f>
        <v>10843757</v>
      </c>
      <c r="AI730" s="274">
        <f>ROUND(C306,0)</f>
        <v>19769283</v>
      </c>
      <c r="AJ730" s="274">
        <f>ROUND(C307,0)</f>
        <v>4756778</v>
      </c>
      <c r="AK730" s="274">
        <f>ROUND(C308,0)</f>
        <v>9622649</v>
      </c>
      <c r="AL730" s="274">
        <f>ROUND(C309,0)</f>
        <v>0</v>
      </c>
      <c r="AM730" s="274">
        <f>ROUND(C310,0)</f>
        <v>0</v>
      </c>
      <c r="AN730" s="274">
        <f>ROUND(C311,0)</f>
        <v>0</v>
      </c>
      <c r="AO730" s="274">
        <f>ROUND(C312,0)</f>
        <v>0</v>
      </c>
      <c r="AP730" s="274">
        <f>ROUND(C313,0)</f>
        <v>4048310</v>
      </c>
      <c r="AQ730" s="274">
        <f>ROUND(C316,0)</f>
        <v>0</v>
      </c>
      <c r="AR730" s="274">
        <f>ROUND(C317,0)</f>
        <v>0</v>
      </c>
      <c r="AS730" s="274">
        <f>ROUND(C318,0)</f>
        <v>0</v>
      </c>
      <c r="AT730" s="274">
        <f>ROUND(C321,0)</f>
        <v>7313835</v>
      </c>
      <c r="AU730" s="274">
        <f>ROUND(C322,0)</f>
        <v>0</v>
      </c>
      <c r="AV730" s="274">
        <f>ROUND(C323,0)</f>
        <v>0</v>
      </c>
      <c r="AW730" s="274">
        <f>ROUND(C324,0)</f>
        <v>1363635</v>
      </c>
      <c r="AX730" s="274">
        <f>ROUND(C325,0)</f>
        <v>0</v>
      </c>
      <c r="AY730" s="274">
        <f>ROUND(C326,0)</f>
        <v>62694865</v>
      </c>
      <c r="AZ730" s="274">
        <f>ROUND(C327,0)</f>
        <v>39498032</v>
      </c>
      <c r="BA730" s="274">
        <f>ROUND(C328,0)</f>
        <v>0</v>
      </c>
      <c r="BB730" s="274">
        <f>ROUND(C332,0)</f>
        <v>63579135</v>
      </c>
      <c r="BC730" s="274"/>
      <c r="BD730" s="274"/>
      <c r="BE730" s="274">
        <f>ROUND(C337,0)</f>
        <v>0</v>
      </c>
      <c r="BF730" s="274">
        <f>ROUND(C336,0)</f>
        <v>0</v>
      </c>
      <c r="BG730" s="274"/>
      <c r="BH730" s="274"/>
      <c r="BI730" s="274">
        <f>ROUND(CE60,2)</f>
        <v>1950</v>
      </c>
      <c r="BJ730" s="274">
        <f>ROUND(C359,0)</f>
        <v>496785614</v>
      </c>
      <c r="BK730" s="274">
        <f>ROUND(C360,0)</f>
        <v>608824018</v>
      </c>
      <c r="BL730" s="274">
        <f>ROUND(C364,0)</f>
        <v>744241497</v>
      </c>
      <c r="BM730" s="274">
        <f>ROUND(C365,0)</f>
        <v>12843266</v>
      </c>
      <c r="BN730" s="274">
        <f>ROUND(C366,0)</f>
        <v>0</v>
      </c>
      <c r="BO730" s="274">
        <f>ROUND(C370,0)</f>
        <v>14098048</v>
      </c>
      <c r="BP730" s="274">
        <f>ROUND(C371,0)</f>
        <v>0</v>
      </c>
      <c r="BQ730" s="274">
        <f>ROUND(C378,0)</f>
        <v>160124891</v>
      </c>
      <c r="BR730" s="274">
        <f>ROUND(C379,0)</f>
        <v>35746706</v>
      </c>
      <c r="BS730" s="274">
        <f>ROUND(C380,0)</f>
        <v>14929193</v>
      </c>
      <c r="BT730" s="274">
        <f>ROUND(C381,0)</f>
        <v>65667980</v>
      </c>
      <c r="BU730" s="274">
        <f>ROUND(C382,0)</f>
        <v>3519114</v>
      </c>
      <c r="BV730" s="274">
        <f>ROUND(C383,0)</f>
        <v>60204983</v>
      </c>
      <c r="BW730" s="274">
        <f>ROUND(C384,0)</f>
        <v>16940287</v>
      </c>
      <c r="BX730" s="274">
        <f>ROUND(C385,0)</f>
        <v>8630007</v>
      </c>
      <c r="BY730" s="274">
        <f>ROUND(C386,0)</f>
        <v>2576461</v>
      </c>
      <c r="BZ730" s="274">
        <f>ROUND(C387,0)</f>
        <v>10660236</v>
      </c>
      <c r="CA730" s="274">
        <f>ROUND(C388,0)</f>
        <v>3825296</v>
      </c>
      <c r="CB730" s="274">
        <f>C363</f>
        <v>8243193</v>
      </c>
      <c r="CC730" s="274">
        <f>ROUND(C389,0)</f>
        <v>2873923</v>
      </c>
      <c r="CD730" s="274">
        <f>ROUND(C392,0)</f>
        <v>5007205</v>
      </c>
      <c r="CE730" s="274">
        <f>ROUND(C394,0)</f>
        <v>0</v>
      </c>
      <c r="CF730" s="201">
        <f>ROUND(C395,0)</f>
        <v>0</v>
      </c>
    </row>
    <row r="731" spans="1:84" ht="12.6" customHeight="1" x14ac:dyDescent="0.25">
      <c r="B731" s="275"/>
      <c r="C731" s="275"/>
      <c r="D731" s="275"/>
      <c r="E731" s="275"/>
      <c r="F731" s="275"/>
      <c r="G731" s="275"/>
      <c r="H731" s="275"/>
      <c r="I731" s="275"/>
      <c r="J731" s="275"/>
      <c r="K731" s="275"/>
      <c r="L731" s="275"/>
      <c r="M731" s="275"/>
      <c r="N731" s="275"/>
      <c r="O731" s="275"/>
      <c r="P731" s="275"/>
      <c r="Q731" s="275"/>
      <c r="R731" s="275"/>
      <c r="S731" s="275"/>
      <c r="T731" s="275"/>
      <c r="U731" s="275"/>
      <c r="V731" s="275"/>
      <c r="W731" s="275"/>
      <c r="X731" s="275"/>
      <c r="Y731" s="275"/>
      <c r="Z731" s="275"/>
      <c r="AA731" s="275"/>
      <c r="AB731" s="275"/>
      <c r="AC731" s="275"/>
      <c r="AD731" s="275"/>
      <c r="AE731" s="275"/>
      <c r="AF731" s="275"/>
      <c r="AG731" s="275"/>
      <c r="AH731" s="275"/>
      <c r="AI731" s="275"/>
      <c r="AJ731" s="275"/>
      <c r="AK731" s="275"/>
      <c r="AL731" s="275"/>
      <c r="AM731" s="275"/>
      <c r="AN731" s="275"/>
      <c r="AO731" s="275"/>
      <c r="AP731" s="275"/>
      <c r="AQ731" s="275"/>
      <c r="AR731" s="275"/>
      <c r="AS731" s="275"/>
      <c r="AT731" s="275"/>
      <c r="AU731" s="275"/>
      <c r="AV731" s="275"/>
      <c r="AW731" s="275"/>
      <c r="AX731" s="275"/>
      <c r="AY731" s="275"/>
      <c r="AZ731" s="275"/>
      <c r="BA731" s="275"/>
      <c r="BB731" s="275"/>
      <c r="BC731" s="275"/>
      <c r="BD731" s="275"/>
      <c r="BE731" s="275"/>
      <c r="BF731" s="275"/>
      <c r="BG731" s="275"/>
      <c r="BH731" s="275"/>
      <c r="BI731" s="275"/>
      <c r="BJ731" s="275"/>
      <c r="BK731" s="275"/>
      <c r="BL731" s="275"/>
      <c r="BM731" s="275"/>
      <c r="BN731" s="275"/>
      <c r="BO731" s="275"/>
      <c r="BP731" s="275"/>
      <c r="BQ731" s="275"/>
      <c r="BR731" s="275"/>
      <c r="BS731" s="275"/>
      <c r="BT731" s="275"/>
      <c r="BU731" s="275"/>
      <c r="BV731" s="275"/>
      <c r="BW731" s="275"/>
      <c r="BX731" s="275"/>
      <c r="BY731" s="275"/>
      <c r="BZ731" s="275"/>
      <c r="CA731" s="275"/>
      <c r="CB731" s="275"/>
      <c r="CC731" s="275"/>
      <c r="CD731" s="275"/>
      <c r="CE731" s="275"/>
    </row>
    <row r="732" spans="1:84" s="201" customFormat="1" ht="12.6" customHeight="1" x14ac:dyDescent="0.25">
      <c r="A732" s="201" t="s">
        <v>979</v>
      </c>
      <c r="B732" s="274"/>
      <c r="C732" s="274"/>
      <c r="D732" s="274"/>
      <c r="E732" s="274"/>
      <c r="F732" s="274"/>
      <c r="G732" s="274"/>
      <c r="H732" s="274"/>
      <c r="I732" s="274"/>
      <c r="J732" s="274"/>
      <c r="K732" s="274"/>
      <c r="L732" s="274"/>
      <c r="M732" s="274"/>
      <c r="N732" s="274"/>
      <c r="O732" s="274"/>
      <c r="P732" s="274"/>
      <c r="Q732" s="274"/>
      <c r="R732" s="274"/>
      <c r="S732" s="274"/>
      <c r="T732" s="274"/>
      <c r="U732" s="274"/>
      <c r="V732" s="274"/>
      <c r="W732" s="274"/>
      <c r="X732" s="274"/>
      <c r="Y732" s="274"/>
      <c r="Z732" s="274"/>
      <c r="AA732" s="274"/>
      <c r="AB732" s="274"/>
      <c r="AC732" s="274"/>
      <c r="AD732" s="274"/>
      <c r="AE732" s="274"/>
      <c r="AF732" s="274"/>
      <c r="AG732" s="274"/>
      <c r="AH732" s="274"/>
      <c r="AI732" s="274"/>
      <c r="AJ732" s="274"/>
      <c r="AK732" s="274"/>
      <c r="AL732" s="274"/>
      <c r="AM732" s="274"/>
      <c r="AN732" s="274"/>
      <c r="AO732" s="274"/>
      <c r="AP732" s="274"/>
      <c r="AQ732" s="274"/>
      <c r="AR732" s="274"/>
      <c r="AS732" s="274"/>
      <c r="AT732" s="274"/>
      <c r="AU732" s="274"/>
      <c r="AV732" s="274"/>
      <c r="AW732" s="274"/>
      <c r="AX732" s="274"/>
      <c r="AY732" s="274"/>
      <c r="AZ732" s="274"/>
      <c r="BA732" s="274"/>
      <c r="BB732" s="274"/>
      <c r="BC732" s="274"/>
      <c r="BD732" s="274"/>
      <c r="BE732" s="274"/>
      <c r="BF732" s="274"/>
      <c r="BG732" s="274"/>
      <c r="BH732" s="274"/>
      <c r="BI732" s="274"/>
      <c r="BJ732" s="274"/>
      <c r="BK732" s="274"/>
      <c r="BL732" s="274"/>
      <c r="BM732" s="274"/>
      <c r="BN732" s="274"/>
      <c r="BO732" s="274"/>
      <c r="BP732" s="274"/>
      <c r="BQ732" s="274"/>
      <c r="BR732" s="274"/>
      <c r="BS732" s="274"/>
      <c r="BT732" s="274"/>
      <c r="BU732" s="274"/>
      <c r="BV732" s="274"/>
      <c r="BW732" s="274"/>
      <c r="BX732" s="274"/>
      <c r="BY732" s="274"/>
      <c r="BZ732" s="274"/>
      <c r="CA732" s="274"/>
      <c r="CB732" s="274"/>
      <c r="CC732" s="274"/>
      <c r="CD732" s="274"/>
      <c r="CE732" s="274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130*2017*6010*A</v>
      </c>
      <c r="B734" s="274">
        <f>ROUND(C59,0)</f>
        <v>3924</v>
      </c>
      <c r="C734" s="274">
        <f>ROUND(C60,2)</f>
        <v>52.05</v>
      </c>
      <c r="D734" s="274">
        <f>ROUND(C61,0)</f>
        <v>4504427</v>
      </c>
      <c r="E734" s="274">
        <f>ROUND(C62,0)</f>
        <v>1134157</v>
      </c>
      <c r="F734" s="274">
        <f>ROUND(C63,0)</f>
        <v>203376</v>
      </c>
      <c r="G734" s="274">
        <f>ROUND(C64,0)</f>
        <v>422686</v>
      </c>
      <c r="H734" s="274">
        <f>ROUND(C65,0)</f>
        <v>0</v>
      </c>
      <c r="I734" s="274">
        <f>ROUND(C66,0)</f>
        <v>283071</v>
      </c>
      <c r="J734" s="274">
        <f>ROUND(C67,0)</f>
        <v>83133</v>
      </c>
      <c r="K734" s="274">
        <f>ROUND(C68,0)</f>
        <v>81664</v>
      </c>
      <c r="L734" s="274">
        <f>ROUND(C69,0)</f>
        <v>142</v>
      </c>
      <c r="M734" s="274">
        <f>ROUND(C70,0)</f>
        <v>0</v>
      </c>
      <c r="N734" s="274">
        <f>ROUND(C75,0)</f>
        <v>23076537</v>
      </c>
      <c r="O734" s="274">
        <f>ROUND(C73,0)</f>
        <v>22988682</v>
      </c>
      <c r="P734" s="274">
        <f>IF(C76&gt;0,ROUND(C76,0),0)</f>
        <v>8019</v>
      </c>
      <c r="Q734" s="274">
        <f>IF(C77&gt;0,ROUND(C77,0),0)</f>
        <v>15906</v>
      </c>
      <c r="R734" s="274">
        <f>IF(C78&gt;0,ROUND(C78,0),0)</f>
        <v>3875</v>
      </c>
      <c r="S734" s="274">
        <f>IF(C79&gt;0,ROUND(C79,0),0)</f>
        <v>169046</v>
      </c>
      <c r="T734" s="274">
        <f>IF(C80&gt;0,ROUND(C80,2),0)</f>
        <v>40.89</v>
      </c>
      <c r="U734" s="274"/>
      <c r="V734" s="274"/>
      <c r="W734" s="274"/>
      <c r="X734" s="274"/>
      <c r="Y734" s="274">
        <f>IF(M668&lt;&gt;0,ROUND(M668,0),0)</f>
        <v>3140981</v>
      </c>
      <c r="Z734" s="274"/>
      <c r="AA734" s="274"/>
      <c r="AB734" s="274"/>
      <c r="AC734" s="274"/>
      <c r="AD734" s="274"/>
      <c r="AE734" s="274"/>
      <c r="AF734" s="274"/>
      <c r="AG734" s="274"/>
      <c r="AH734" s="274"/>
      <c r="AI734" s="274"/>
      <c r="AJ734" s="274"/>
      <c r="AK734" s="274"/>
      <c r="AL734" s="274"/>
      <c r="AM734" s="274"/>
      <c r="AN734" s="274"/>
      <c r="AO734" s="274"/>
      <c r="AP734" s="274"/>
      <c r="AQ734" s="274"/>
      <c r="AR734" s="274"/>
      <c r="AS734" s="274"/>
      <c r="AT734" s="274"/>
      <c r="AU734" s="274"/>
      <c r="AV734" s="274"/>
      <c r="AW734" s="274"/>
      <c r="AX734" s="274"/>
      <c r="AY734" s="274"/>
      <c r="AZ734" s="274"/>
      <c r="BA734" s="274"/>
      <c r="BB734" s="274"/>
      <c r="BC734" s="274"/>
      <c r="BD734" s="274"/>
      <c r="BE734" s="274"/>
      <c r="BF734" s="274"/>
      <c r="BG734" s="274"/>
      <c r="BH734" s="274"/>
      <c r="BI734" s="274"/>
      <c r="BJ734" s="274"/>
      <c r="BK734" s="274"/>
      <c r="BL734" s="274"/>
      <c r="BM734" s="274"/>
      <c r="BN734" s="274"/>
      <c r="BO734" s="274"/>
      <c r="BP734" s="274"/>
      <c r="BQ734" s="274"/>
      <c r="BR734" s="274"/>
      <c r="BS734" s="274"/>
      <c r="BT734" s="274"/>
      <c r="BU734" s="274"/>
      <c r="BV734" s="274"/>
      <c r="BW734" s="274"/>
      <c r="BX734" s="274"/>
      <c r="BY734" s="274"/>
      <c r="BZ734" s="274"/>
      <c r="CA734" s="274"/>
      <c r="CB734" s="274"/>
      <c r="CC734" s="274"/>
      <c r="CD734" s="274"/>
      <c r="CE734" s="274"/>
    </row>
    <row r="735" spans="1:84" ht="12.6" customHeight="1" x14ac:dyDescent="0.25">
      <c r="A735" s="209" t="str">
        <f>RIGHT($C$83,3)&amp;"*"&amp;RIGHT($C$82,4)&amp;"*"&amp;D$55&amp;"*"&amp;"A"</f>
        <v>130*2017*6030*A</v>
      </c>
      <c r="B735" s="274">
        <f>ROUND(D59,0)</f>
        <v>4624</v>
      </c>
      <c r="C735" s="276">
        <f>ROUND(D60,2)</f>
        <v>44.96</v>
      </c>
      <c r="D735" s="274">
        <f>ROUND(D61,0)</f>
        <v>3418207</v>
      </c>
      <c r="E735" s="274">
        <f>ROUND(D62,0)</f>
        <v>859110</v>
      </c>
      <c r="F735" s="274">
        <f>ROUND(D63,0)</f>
        <v>90552</v>
      </c>
      <c r="G735" s="274">
        <f>ROUND(D64,0)</f>
        <v>150035</v>
      </c>
      <c r="H735" s="274">
        <f>ROUND(D65,0)</f>
        <v>0</v>
      </c>
      <c r="I735" s="274">
        <f>ROUND(D66,0)</f>
        <v>92696</v>
      </c>
      <c r="J735" s="274">
        <f>ROUND(D67,0)</f>
        <v>3583</v>
      </c>
      <c r="K735" s="274">
        <f>ROUND(D68,0)</f>
        <v>48989</v>
      </c>
      <c r="L735" s="274">
        <f>ROUND(D69,0)</f>
        <v>0</v>
      </c>
      <c r="M735" s="274">
        <f>ROUND(D70,0)</f>
        <v>0</v>
      </c>
      <c r="N735" s="274">
        <f>ROUND(D75,0)</f>
        <v>22350887</v>
      </c>
      <c r="O735" s="274">
        <f>ROUND(D73,0)</f>
        <v>21417199</v>
      </c>
      <c r="P735" s="274">
        <f>IF(D76&gt;0,ROUND(D76,0),0)</f>
        <v>8222</v>
      </c>
      <c r="Q735" s="274">
        <f>IF(D77&gt;0,ROUND(D77,0),0)</f>
        <v>18761</v>
      </c>
      <c r="R735" s="274">
        <f>IF(D78&gt;0,ROUND(D78,0),0)</f>
        <v>3973</v>
      </c>
      <c r="S735" s="274">
        <f>IF(D79&gt;0,ROUND(D79,0),0)</f>
        <v>0</v>
      </c>
      <c r="T735" s="276">
        <f>IF(D80&gt;0,ROUND(D80,2),0)</f>
        <v>33.82</v>
      </c>
      <c r="U735" s="274"/>
      <c r="V735" s="275"/>
      <c r="W735" s="274"/>
      <c r="X735" s="274"/>
      <c r="Y735" s="274">
        <f t="shared" ref="Y735:Y779" si="21">IF(M669&lt;&gt;0,ROUND(M669,0),0)</f>
        <v>2784360</v>
      </c>
      <c r="Z735" s="275"/>
      <c r="AA735" s="275"/>
      <c r="AB735" s="275"/>
      <c r="AC735" s="275"/>
      <c r="AD735" s="275"/>
      <c r="AE735" s="275"/>
      <c r="AF735" s="275"/>
      <c r="AG735" s="275"/>
      <c r="AH735" s="275"/>
      <c r="AI735" s="275"/>
      <c r="AJ735" s="275"/>
      <c r="AK735" s="275"/>
      <c r="AL735" s="275"/>
      <c r="AM735" s="275"/>
      <c r="AN735" s="275"/>
      <c r="AO735" s="275"/>
      <c r="AP735" s="275"/>
      <c r="AQ735" s="275"/>
      <c r="AR735" s="275"/>
      <c r="AS735" s="275"/>
      <c r="AT735" s="275"/>
      <c r="AU735" s="275"/>
      <c r="AV735" s="275"/>
      <c r="AW735" s="275"/>
      <c r="AX735" s="275"/>
      <c r="AY735" s="275"/>
      <c r="AZ735" s="275"/>
      <c r="BA735" s="275"/>
      <c r="BB735" s="275"/>
      <c r="BC735" s="275"/>
      <c r="BD735" s="275"/>
      <c r="BE735" s="275"/>
      <c r="BF735" s="275"/>
      <c r="BG735" s="275"/>
      <c r="BH735" s="275"/>
      <c r="BI735" s="275"/>
      <c r="BJ735" s="275"/>
      <c r="BK735" s="275"/>
      <c r="BL735" s="275"/>
      <c r="BM735" s="275"/>
      <c r="BN735" s="275"/>
      <c r="BO735" s="275"/>
      <c r="BP735" s="275"/>
      <c r="BQ735" s="275"/>
      <c r="BR735" s="275"/>
      <c r="BS735" s="275"/>
      <c r="BT735" s="275"/>
      <c r="BU735" s="275"/>
      <c r="BV735" s="275"/>
      <c r="BW735" s="275"/>
      <c r="BX735" s="275"/>
      <c r="BY735" s="275"/>
      <c r="BZ735" s="275"/>
      <c r="CA735" s="275"/>
      <c r="CB735" s="275"/>
      <c r="CC735" s="275"/>
      <c r="CD735" s="275"/>
      <c r="CE735" s="275"/>
    </row>
    <row r="736" spans="1:84" ht="12.6" customHeight="1" x14ac:dyDescent="0.25">
      <c r="A736" s="209" t="str">
        <f>RIGHT($C$83,3)&amp;"*"&amp;RIGHT($C$82,4)&amp;"*"&amp;E$55&amp;"*"&amp;"A"</f>
        <v>130*2017*6070*A</v>
      </c>
      <c r="B736" s="274">
        <f>ROUND(E59,0)</f>
        <v>27526</v>
      </c>
      <c r="C736" s="276">
        <f>ROUND(E60,2)</f>
        <v>220.83</v>
      </c>
      <c r="D736" s="274">
        <f>ROUND(E61,0)</f>
        <v>17330986</v>
      </c>
      <c r="E736" s="274">
        <f>ROUND(E62,0)</f>
        <v>4215374</v>
      </c>
      <c r="F736" s="274">
        <f>ROUND(E63,0)</f>
        <v>183589</v>
      </c>
      <c r="G736" s="274">
        <f>ROUND(E64,0)</f>
        <v>908424</v>
      </c>
      <c r="H736" s="274">
        <f>ROUND(E65,0)</f>
        <v>0</v>
      </c>
      <c r="I736" s="274">
        <f>ROUND(E66,0)</f>
        <v>660704</v>
      </c>
      <c r="J736" s="274">
        <f>ROUND(E67,0)</f>
        <v>197522</v>
      </c>
      <c r="K736" s="274">
        <f>ROUND(E68,0)</f>
        <v>126357</v>
      </c>
      <c r="L736" s="274">
        <f>ROUND(E69,0)</f>
        <v>7849</v>
      </c>
      <c r="M736" s="274">
        <f>ROUND(E70,0)</f>
        <v>109</v>
      </c>
      <c r="N736" s="274">
        <f>ROUND(E75,0)</f>
        <v>87215252</v>
      </c>
      <c r="O736" s="274">
        <f>ROUND(E73,0)</f>
        <v>82346902</v>
      </c>
      <c r="P736" s="274">
        <f>IF(E76&gt;0,ROUND(E76,0),0)</f>
        <v>47741</v>
      </c>
      <c r="Q736" s="274">
        <f>IF(E77&gt;0,ROUND(E77,0),0)</f>
        <v>114779</v>
      </c>
      <c r="R736" s="274">
        <f>IF(E78&gt;0,ROUND(E78,0),0)</f>
        <v>23069</v>
      </c>
      <c r="S736" s="274">
        <f>IF(E79&gt;0,ROUND(E79,0),0)</f>
        <v>420804</v>
      </c>
      <c r="T736" s="276">
        <f>IF(E80&gt;0,ROUND(E80,2),0)</f>
        <v>191.83</v>
      </c>
      <c r="U736" s="274"/>
      <c r="V736" s="275"/>
      <c r="W736" s="274"/>
      <c r="X736" s="274"/>
      <c r="Y736" s="274">
        <f t="shared" si="21"/>
        <v>14197397</v>
      </c>
      <c r="Z736" s="275"/>
      <c r="AA736" s="275"/>
      <c r="AB736" s="275"/>
      <c r="AC736" s="275"/>
      <c r="AD736" s="275"/>
      <c r="AE736" s="275"/>
      <c r="AF736" s="275"/>
      <c r="AG736" s="275"/>
      <c r="AH736" s="275"/>
      <c r="AI736" s="275"/>
      <c r="AJ736" s="275"/>
      <c r="AK736" s="275"/>
      <c r="AL736" s="275"/>
      <c r="AM736" s="275"/>
      <c r="AN736" s="275"/>
      <c r="AO736" s="275"/>
      <c r="AP736" s="275"/>
      <c r="AQ736" s="275"/>
      <c r="AR736" s="275"/>
      <c r="AS736" s="275"/>
      <c r="AT736" s="275"/>
      <c r="AU736" s="275"/>
      <c r="AV736" s="275"/>
      <c r="AW736" s="275"/>
      <c r="AX736" s="275"/>
      <c r="AY736" s="275"/>
      <c r="AZ736" s="275"/>
      <c r="BA736" s="275"/>
      <c r="BB736" s="275"/>
      <c r="BC736" s="275"/>
      <c r="BD736" s="275"/>
      <c r="BE736" s="275"/>
      <c r="BF736" s="275"/>
      <c r="BG736" s="275"/>
      <c r="BH736" s="275"/>
      <c r="BI736" s="275"/>
      <c r="BJ736" s="275"/>
      <c r="BK736" s="275"/>
      <c r="BL736" s="275"/>
      <c r="BM736" s="275"/>
      <c r="BN736" s="275"/>
      <c r="BO736" s="275"/>
      <c r="BP736" s="275"/>
      <c r="BQ736" s="275"/>
      <c r="BR736" s="275"/>
      <c r="BS736" s="275"/>
      <c r="BT736" s="275"/>
      <c r="BU736" s="275"/>
      <c r="BV736" s="275"/>
      <c r="BW736" s="275"/>
      <c r="BX736" s="275"/>
      <c r="BY736" s="275"/>
      <c r="BZ736" s="275"/>
      <c r="CA736" s="275"/>
      <c r="CB736" s="275"/>
      <c r="CC736" s="275"/>
      <c r="CD736" s="275"/>
      <c r="CE736" s="275"/>
    </row>
    <row r="737" spans="1:83" ht="12.6" customHeight="1" x14ac:dyDescent="0.25">
      <c r="A737" s="209" t="str">
        <f>RIGHT($C$83,3)&amp;"*"&amp;RIGHT($C$82,4)&amp;"*"&amp;F$55&amp;"*"&amp;"A"</f>
        <v>130*2017*6100*A</v>
      </c>
      <c r="B737" s="274">
        <f>ROUND(F59,0)</f>
        <v>4718</v>
      </c>
      <c r="C737" s="276">
        <f>ROUND(F60,2)</f>
        <v>57.3</v>
      </c>
      <c r="D737" s="274">
        <f>ROUND(F61,0)</f>
        <v>5482829</v>
      </c>
      <c r="E737" s="274">
        <f>ROUND(F62,0)</f>
        <v>1350204</v>
      </c>
      <c r="F737" s="274">
        <f>ROUND(F63,0)</f>
        <v>309023</v>
      </c>
      <c r="G737" s="274">
        <f>ROUND(F64,0)</f>
        <v>398240</v>
      </c>
      <c r="H737" s="274">
        <f>ROUND(F65,0)</f>
        <v>1904</v>
      </c>
      <c r="I737" s="274">
        <f>ROUND(F66,0)</f>
        <v>114491</v>
      </c>
      <c r="J737" s="274">
        <f>ROUND(F67,0)</f>
        <v>180411</v>
      </c>
      <c r="K737" s="274">
        <f>ROUND(F68,0)</f>
        <v>48690</v>
      </c>
      <c r="L737" s="274">
        <f>ROUND(F69,0)</f>
        <v>4269</v>
      </c>
      <c r="M737" s="274">
        <f>ROUND(F70,0)</f>
        <v>6695</v>
      </c>
      <c r="N737" s="274">
        <f>ROUND(F75,0)</f>
        <v>20688225</v>
      </c>
      <c r="O737" s="274">
        <f>ROUND(F73,0)</f>
        <v>19316656</v>
      </c>
      <c r="P737" s="274">
        <f>IF(F76&gt;0,ROUND(F76,0),0)</f>
        <v>13745</v>
      </c>
      <c r="Q737" s="274">
        <f>IF(F77&gt;0,ROUND(F77,0),0)</f>
        <v>19247</v>
      </c>
      <c r="R737" s="274">
        <f>IF(F78&gt;0,ROUND(F78,0),0)</f>
        <v>6642</v>
      </c>
      <c r="S737" s="274">
        <f>IF(F79&gt;0,ROUND(F79,0),0)</f>
        <v>120782</v>
      </c>
      <c r="T737" s="276">
        <f>IF(F80&gt;0,ROUND(F80,2),0)</f>
        <v>41.67</v>
      </c>
      <c r="U737" s="274"/>
      <c r="V737" s="275"/>
      <c r="W737" s="274"/>
      <c r="X737" s="274"/>
      <c r="Y737" s="274">
        <f t="shared" si="21"/>
        <v>3746078</v>
      </c>
      <c r="Z737" s="275"/>
      <c r="AA737" s="275"/>
      <c r="AB737" s="275"/>
      <c r="AC737" s="275"/>
      <c r="AD737" s="275"/>
      <c r="AE737" s="275"/>
      <c r="AF737" s="275"/>
      <c r="AG737" s="275"/>
      <c r="AH737" s="275"/>
      <c r="AI737" s="275"/>
      <c r="AJ737" s="275"/>
      <c r="AK737" s="275"/>
      <c r="AL737" s="275"/>
      <c r="AM737" s="275"/>
      <c r="AN737" s="275"/>
      <c r="AO737" s="275"/>
      <c r="AP737" s="275"/>
      <c r="AQ737" s="275"/>
      <c r="AR737" s="275"/>
      <c r="AS737" s="275"/>
      <c r="AT737" s="275"/>
      <c r="AU737" s="275"/>
      <c r="AV737" s="275"/>
      <c r="AW737" s="275"/>
      <c r="AX737" s="275"/>
      <c r="AY737" s="275"/>
      <c r="AZ737" s="275"/>
      <c r="BA737" s="275"/>
      <c r="BB737" s="275"/>
      <c r="BC737" s="275"/>
      <c r="BD737" s="275"/>
      <c r="BE737" s="275"/>
      <c r="BF737" s="275"/>
      <c r="BG737" s="275"/>
      <c r="BH737" s="275"/>
      <c r="BI737" s="275"/>
      <c r="BJ737" s="275"/>
      <c r="BK737" s="275"/>
      <c r="BL737" s="275"/>
      <c r="BM737" s="275"/>
      <c r="BN737" s="275"/>
      <c r="BO737" s="275"/>
      <c r="BP737" s="275"/>
      <c r="BQ737" s="275"/>
      <c r="BR737" s="275"/>
      <c r="BS737" s="275"/>
      <c r="BT737" s="275"/>
      <c r="BU737" s="275"/>
      <c r="BV737" s="275"/>
      <c r="BW737" s="275"/>
      <c r="BX737" s="275"/>
      <c r="BY737" s="275"/>
      <c r="BZ737" s="275"/>
      <c r="CA737" s="275"/>
      <c r="CB737" s="275"/>
      <c r="CC737" s="275"/>
      <c r="CD737" s="275"/>
      <c r="CE737" s="275"/>
    </row>
    <row r="738" spans="1:83" ht="12.6" customHeight="1" x14ac:dyDescent="0.25">
      <c r="A738" s="209" t="str">
        <f>RIGHT($C$83,3)&amp;"*"&amp;RIGHT($C$82,4)&amp;"*"&amp;G$55&amp;"*"&amp;"A"</f>
        <v>130*2017*6120*A</v>
      </c>
      <c r="B738" s="274">
        <f>ROUND(G59,0)</f>
        <v>0</v>
      </c>
      <c r="C738" s="276">
        <f>ROUND(G60,2)</f>
        <v>0</v>
      </c>
      <c r="D738" s="274">
        <f>ROUND(G61,0)</f>
        <v>0</v>
      </c>
      <c r="E738" s="274">
        <f>ROUND(G62,0)</f>
        <v>0</v>
      </c>
      <c r="F738" s="274">
        <f>ROUND(G63,0)</f>
        <v>0</v>
      </c>
      <c r="G738" s="274">
        <f>ROUND(G64,0)</f>
        <v>0</v>
      </c>
      <c r="H738" s="274">
        <f>ROUND(G65,0)</f>
        <v>0</v>
      </c>
      <c r="I738" s="274">
        <f>ROUND(G66,0)</f>
        <v>0</v>
      </c>
      <c r="J738" s="274">
        <f>ROUND(G67,0)</f>
        <v>0</v>
      </c>
      <c r="K738" s="274">
        <f>ROUND(G68,0)</f>
        <v>0</v>
      </c>
      <c r="L738" s="274">
        <f>ROUND(G69,0)</f>
        <v>0</v>
      </c>
      <c r="M738" s="274">
        <f>ROUND(G70,0)</f>
        <v>0</v>
      </c>
      <c r="N738" s="274">
        <f>ROUND(G75,0)</f>
        <v>0</v>
      </c>
      <c r="O738" s="274">
        <f>ROUND(G73,0)</f>
        <v>0</v>
      </c>
      <c r="P738" s="274">
        <f>IF(G76&gt;0,ROUND(G76,0),0)</f>
        <v>0</v>
      </c>
      <c r="Q738" s="274">
        <f>IF(G77&gt;0,ROUND(G77,0),0)</f>
        <v>0</v>
      </c>
      <c r="R738" s="274">
        <f>IF(G78&gt;0,ROUND(G78,0),0)</f>
        <v>0</v>
      </c>
      <c r="S738" s="274">
        <f>IF(G79&gt;0,ROUND(G79,0),0)</f>
        <v>0</v>
      </c>
      <c r="T738" s="276">
        <f>IF(G80&gt;0,ROUND(G80,2),0)</f>
        <v>0</v>
      </c>
      <c r="U738" s="274"/>
      <c r="V738" s="275"/>
      <c r="W738" s="274"/>
      <c r="X738" s="274"/>
      <c r="Y738" s="274">
        <f t="shared" si="21"/>
        <v>0</v>
      </c>
      <c r="Z738" s="275"/>
      <c r="AA738" s="275"/>
      <c r="AB738" s="275"/>
      <c r="AC738" s="275"/>
      <c r="AD738" s="275"/>
      <c r="AE738" s="275"/>
      <c r="AF738" s="275"/>
      <c r="AG738" s="275"/>
      <c r="AH738" s="275"/>
      <c r="AI738" s="275"/>
      <c r="AJ738" s="275"/>
      <c r="AK738" s="275"/>
      <c r="AL738" s="275"/>
      <c r="AM738" s="275"/>
      <c r="AN738" s="275"/>
      <c r="AO738" s="275"/>
      <c r="AP738" s="275"/>
      <c r="AQ738" s="275"/>
      <c r="AR738" s="275"/>
      <c r="AS738" s="275"/>
      <c r="AT738" s="275"/>
      <c r="AU738" s="275"/>
      <c r="AV738" s="275"/>
      <c r="AW738" s="275"/>
      <c r="AX738" s="275"/>
      <c r="AY738" s="275"/>
      <c r="AZ738" s="275"/>
      <c r="BA738" s="275"/>
      <c r="BB738" s="275"/>
      <c r="BC738" s="275"/>
      <c r="BD738" s="275"/>
      <c r="BE738" s="275"/>
      <c r="BF738" s="275"/>
      <c r="BG738" s="275"/>
      <c r="BH738" s="275"/>
      <c r="BI738" s="275"/>
      <c r="BJ738" s="275"/>
      <c r="BK738" s="275"/>
      <c r="BL738" s="275"/>
      <c r="BM738" s="275"/>
      <c r="BN738" s="275"/>
      <c r="BO738" s="275"/>
      <c r="BP738" s="275"/>
      <c r="BQ738" s="275"/>
      <c r="BR738" s="275"/>
      <c r="BS738" s="275"/>
      <c r="BT738" s="275"/>
      <c r="BU738" s="275"/>
      <c r="BV738" s="275"/>
      <c r="BW738" s="275"/>
      <c r="BX738" s="275"/>
      <c r="BY738" s="275"/>
      <c r="BZ738" s="275"/>
      <c r="CA738" s="275"/>
      <c r="CB738" s="275"/>
      <c r="CC738" s="275"/>
      <c r="CD738" s="275"/>
      <c r="CE738" s="275"/>
    </row>
    <row r="739" spans="1:83" ht="12.6" customHeight="1" x14ac:dyDescent="0.25">
      <c r="A739" s="209" t="str">
        <f>RIGHT($C$83,3)&amp;"*"&amp;RIGHT($C$82,4)&amp;"*"&amp;H$55&amp;"*"&amp;"A"</f>
        <v>130*2017*6140*A</v>
      </c>
      <c r="B739" s="274">
        <f>ROUND(H59,0)</f>
        <v>9700</v>
      </c>
      <c r="C739" s="276">
        <f>ROUND(H60,2)</f>
        <v>64.91</v>
      </c>
      <c r="D739" s="274">
        <f>ROUND(H61,0)</f>
        <v>4635164</v>
      </c>
      <c r="E739" s="274">
        <f>ROUND(H62,0)</f>
        <v>1163238</v>
      </c>
      <c r="F739" s="274">
        <f>ROUND(H63,0)</f>
        <v>113123</v>
      </c>
      <c r="G739" s="274">
        <f>ROUND(H64,0)</f>
        <v>111068</v>
      </c>
      <c r="H739" s="274">
        <f>ROUND(H65,0)</f>
        <v>0</v>
      </c>
      <c r="I739" s="274">
        <f>ROUND(H66,0)</f>
        <v>39242</v>
      </c>
      <c r="J739" s="274">
        <f>ROUND(H67,0)</f>
        <v>32069</v>
      </c>
      <c r="K739" s="274">
        <f>ROUND(H68,0)</f>
        <v>231</v>
      </c>
      <c r="L739" s="274">
        <f>ROUND(H69,0)</f>
        <v>468</v>
      </c>
      <c r="M739" s="274">
        <f>ROUND(H70,0)</f>
        <v>0</v>
      </c>
      <c r="N739" s="274">
        <f>ROUND(H75,0)</f>
        <v>27761842</v>
      </c>
      <c r="O739" s="274">
        <f>ROUND(H73,0)</f>
        <v>27761842</v>
      </c>
      <c r="P739" s="274">
        <f>IF(H76&gt;0,ROUND(H76,0),0)</f>
        <v>14924</v>
      </c>
      <c r="Q739" s="274">
        <f>IF(H77&gt;0,ROUND(H77,0),0)</f>
        <v>39338</v>
      </c>
      <c r="R739" s="274">
        <f>IF(H78&gt;0,ROUND(H78,0),0)</f>
        <v>7211</v>
      </c>
      <c r="S739" s="274">
        <f>IF(H79&gt;0,ROUND(H79,0),0)</f>
        <v>63281</v>
      </c>
      <c r="T739" s="276">
        <f>IF(H80&gt;0,ROUND(H80,2),0)</f>
        <v>46.84</v>
      </c>
      <c r="U739" s="274"/>
      <c r="V739" s="275"/>
      <c r="W739" s="274"/>
      <c r="X739" s="274"/>
      <c r="Y739" s="274">
        <f t="shared" si="21"/>
        <v>4131255</v>
      </c>
      <c r="Z739" s="275"/>
      <c r="AA739" s="275"/>
      <c r="AB739" s="275"/>
      <c r="AC739" s="275"/>
      <c r="AD739" s="275"/>
      <c r="AE739" s="275"/>
      <c r="AF739" s="275"/>
      <c r="AG739" s="275"/>
      <c r="AH739" s="275"/>
      <c r="AI739" s="275"/>
      <c r="AJ739" s="275"/>
      <c r="AK739" s="275"/>
      <c r="AL739" s="275"/>
      <c r="AM739" s="275"/>
      <c r="AN739" s="275"/>
      <c r="AO739" s="275"/>
      <c r="AP739" s="275"/>
      <c r="AQ739" s="275"/>
      <c r="AR739" s="275"/>
      <c r="AS739" s="275"/>
      <c r="AT739" s="275"/>
      <c r="AU739" s="275"/>
      <c r="AV739" s="275"/>
      <c r="AW739" s="275"/>
      <c r="AX739" s="275"/>
      <c r="AY739" s="275"/>
      <c r="AZ739" s="275"/>
      <c r="BA739" s="275"/>
      <c r="BB739" s="275"/>
      <c r="BC739" s="275"/>
      <c r="BD739" s="275"/>
      <c r="BE739" s="275"/>
      <c r="BF739" s="275"/>
      <c r="BG739" s="275"/>
      <c r="BH739" s="275"/>
      <c r="BI739" s="275"/>
      <c r="BJ739" s="275"/>
      <c r="BK739" s="275"/>
      <c r="BL739" s="275"/>
      <c r="BM739" s="275"/>
      <c r="BN739" s="275"/>
      <c r="BO739" s="275"/>
      <c r="BP739" s="275"/>
      <c r="BQ739" s="275"/>
      <c r="BR739" s="275"/>
      <c r="BS739" s="275"/>
      <c r="BT739" s="275"/>
      <c r="BU739" s="275"/>
      <c r="BV739" s="275"/>
      <c r="BW739" s="275"/>
      <c r="BX739" s="275"/>
      <c r="BY739" s="275"/>
      <c r="BZ739" s="275"/>
      <c r="CA739" s="275"/>
      <c r="CB739" s="275"/>
      <c r="CC739" s="275"/>
      <c r="CD739" s="275"/>
      <c r="CE739" s="275"/>
    </row>
    <row r="740" spans="1:83" ht="12.6" customHeight="1" x14ac:dyDescent="0.25">
      <c r="A740" s="209" t="str">
        <f>RIGHT($C$83,3)&amp;"*"&amp;RIGHT($C$82,4)&amp;"*"&amp;I$55&amp;"*"&amp;"A"</f>
        <v>130*2017*6150*A</v>
      </c>
      <c r="B740" s="274">
        <f>ROUND(I59,0)</f>
        <v>0</v>
      </c>
      <c r="C740" s="276">
        <f>ROUND(I60,2)</f>
        <v>0</v>
      </c>
      <c r="D740" s="274">
        <f>ROUND(I61,0)</f>
        <v>0</v>
      </c>
      <c r="E740" s="274">
        <f>ROUND(I62,0)</f>
        <v>0</v>
      </c>
      <c r="F740" s="274">
        <f>ROUND(I63,0)</f>
        <v>0</v>
      </c>
      <c r="G740" s="274">
        <f>ROUND(I64,0)</f>
        <v>0</v>
      </c>
      <c r="H740" s="274">
        <f>ROUND(I65,0)</f>
        <v>0</v>
      </c>
      <c r="I740" s="274">
        <f>ROUND(I66,0)</f>
        <v>0</v>
      </c>
      <c r="J740" s="274">
        <f>ROUND(I67,0)</f>
        <v>0</v>
      </c>
      <c r="K740" s="274">
        <f>ROUND(I68,0)</f>
        <v>0</v>
      </c>
      <c r="L740" s="274">
        <f>ROUND(I69,0)</f>
        <v>0</v>
      </c>
      <c r="M740" s="274">
        <f>ROUND(I70,0)</f>
        <v>0</v>
      </c>
      <c r="N740" s="274">
        <f>ROUND(I75,0)</f>
        <v>0</v>
      </c>
      <c r="O740" s="274">
        <f>ROUND(I73,0)</f>
        <v>0</v>
      </c>
      <c r="P740" s="274">
        <f>IF(I76&gt;0,ROUND(I76,0),0)</f>
        <v>0</v>
      </c>
      <c r="Q740" s="274">
        <f>IF(I77&gt;0,ROUND(I77,0),0)</f>
        <v>0</v>
      </c>
      <c r="R740" s="274">
        <f>IF(I78&gt;0,ROUND(I78,0),0)</f>
        <v>0</v>
      </c>
      <c r="S740" s="274">
        <f>IF(I79&gt;0,ROUND(I79,0),0)</f>
        <v>0</v>
      </c>
      <c r="T740" s="276">
        <f>IF(I80&gt;0,ROUND(I80,2),0)</f>
        <v>0</v>
      </c>
      <c r="U740" s="274"/>
      <c r="V740" s="275"/>
      <c r="W740" s="274"/>
      <c r="X740" s="274"/>
      <c r="Y740" s="274">
        <f t="shared" si="21"/>
        <v>0</v>
      </c>
      <c r="Z740" s="275"/>
      <c r="AA740" s="275"/>
      <c r="AB740" s="275"/>
      <c r="AC740" s="275"/>
      <c r="AD740" s="275"/>
      <c r="AE740" s="275"/>
      <c r="AF740" s="275"/>
      <c r="AG740" s="275"/>
      <c r="AH740" s="275"/>
      <c r="AI740" s="275"/>
      <c r="AJ740" s="275"/>
      <c r="AK740" s="275"/>
      <c r="AL740" s="275"/>
      <c r="AM740" s="275"/>
      <c r="AN740" s="275"/>
      <c r="AO740" s="275"/>
      <c r="AP740" s="275"/>
      <c r="AQ740" s="275"/>
      <c r="AR740" s="275"/>
      <c r="AS740" s="275"/>
      <c r="AT740" s="275"/>
      <c r="AU740" s="275"/>
      <c r="AV740" s="275"/>
      <c r="AW740" s="275"/>
      <c r="AX740" s="275"/>
      <c r="AY740" s="275"/>
      <c r="AZ740" s="275"/>
      <c r="BA740" s="275"/>
      <c r="BB740" s="275"/>
      <c r="BC740" s="275"/>
      <c r="BD740" s="275"/>
      <c r="BE740" s="275"/>
      <c r="BF740" s="275"/>
      <c r="BG740" s="275"/>
      <c r="BH740" s="275"/>
      <c r="BI740" s="275"/>
      <c r="BJ740" s="275"/>
      <c r="BK740" s="275"/>
      <c r="BL740" s="275"/>
      <c r="BM740" s="275"/>
      <c r="BN740" s="275"/>
      <c r="BO740" s="275"/>
      <c r="BP740" s="275"/>
      <c r="BQ740" s="275"/>
      <c r="BR740" s="275"/>
      <c r="BS740" s="275"/>
      <c r="BT740" s="275"/>
      <c r="BU740" s="275"/>
      <c r="BV740" s="275"/>
      <c r="BW740" s="275"/>
      <c r="BX740" s="275"/>
      <c r="BY740" s="275"/>
      <c r="BZ740" s="275"/>
      <c r="CA740" s="275"/>
      <c r="CB740" s="275"/>
      <c r="CC740" s="275"/>
      <c r="CD740" s="275"/>
      <c r="CE740" s="275"/>
    </row>
    <row r="741" spans="1:83" ht="12.6" customHeight="1" x14ac:dyDescent="0.25">
      <c r="A741" s="209" t="str">
        <f>RIGHT($C$83,3)&amp;"*"&amp;RIGHT($C$82,4)&amp;"*"&amp;J$55&amp;"*"&amp;"A"</f>
        <v>130*2017*6170*A</v>
      </c>
      <c r="B741" s="274">
        <f>ROUND(J59,0)</f>
        <v>0</v>
      </c>
      <c r="C741" s="276">
        <f>ROUND(J60,2)</f>
        <v>0</v>
      </c>
      <c r="D741" s="274">
        <f>ROUND(J61,0)</f>
        <v>0</v>
      </c>
      <c r="E741" s="274">
        <f>ROUND(J62,0)</f>
        <v>0</v>
      </c>
      <c r="F741" s="274">
        <f>ROUND(J63,0)</f>
        <v>0</v>
      </c>
      <c r="G741" s="274">
        <f>ROUND(J64,0)</f>
        <v>0</v>
      </c>
      <c r="H741" s="274">
        <f>ROUND(J65,0)</f>
        <v>0</v>
      </c>
      <c r="I741" s="274">
        <f>ROUND(J66,0)</f>
        <v>0</v>
      </c>
      <c r="J741" s="274">
        <f>ROUND(J67,0)</f>
        <v>0</v>
      </c>
      <c r="K741" s="274">
        <f>ROUND(J68,0)</f>
        <v>0</v>
      </c>
      <c r="L741" s="274">
        <f>ROUND(J69,0)</f>
        <v>0</v>
      </c>
      <c r="M741" s="274">
        <f>ROUND(J70,0)</f>
        <v>0</v>
      </c>
      <c r="N741" s="274">
        <f>ROUND(J75,0)</f>
        <v>0</v>
      </c>
      <c r="O741" s="274">
        <f>ROUND(J73,0)</f>
        <v>0</v>
      </c>
      <c r="P741" s="274">
        <f>IF(J76&gt;0,ROUND(J76,0),0)</f>
        <v>0</v>
      </c>
      <c r="Q741" s="274">
        <f>IF(J77&gt;0,ROUND(J77,0),0)</f>
        <v>0</v>
      </c>
      <c r="R741" s="274">
        <f>IF(J78&gt;0,ROUND(J78,0),0)</f>
        <v>0</v>
      </c>
      <c r="S741" s="274">
        <f>IF(J79&gt;0,ROUND(J79,0),0)</f>
        <v>0</v>
      </c>
      <c r="T741" s="276">
        <f>IF(J80&gt;0,ROUND(J80,2),0)</f>
        <v>0</v>
      </c>
      <c r="U741" s="274"/>
      <c r="V741" s="275"/>
      <c r="W741" s="274"/>
      <c r="X741" s="274"/>
      <c r="Y741" s="274">
        <f t="shared" si="21"/>
        <v>0</v>
      </c>
      <c r="Z741" s="275"/>
      <c r="AA741" s="275"/>
      <c r="AB741" s="275"/>
      <c r="AC741" s="275"/>
      <c r="AD741" s="275"/>
      <c r="AE741" s="275"/>
      <c r="AF741" s="275"/>
      <c r="AG741" s="275"/>
      <c r="AH741" s="275"/>
      <c r="AI741" s="275"/>
      <c r="AJ741" s="275"/>
      <c r="AK741" s="275"/>
      <c r="AL741" s="275"/>
      <c r="AM741" s="275"/>
      <c r="AN741" s="275"/>
      <c r="AO741" s="275"/>
      <c r="AP741" s="275"/>
      <c r="AQ741" s="275"/>
      <c r="AR741" s="275"/>
      <c r="AS741" s="275"/>
      <c r="AT741" s="275"/>
      <c r="AU741" s="275"/>
      <c r="AV741" s="275"/>
      <c r="AW741" s="275"/>
      <c r="AX741" s="275"/>
      <c r="AY741" s="275"/>
      <c r="AZ741" s="275"/>
      <c r="BA741" s="275"/>
      <c r="BB741" s="275"/>
      <c r="BC741" s="275"/>
      <c r="BD741" s="275"/>
      <c r="BE741" s="275"/>
      <c r="BF741" s="275"/>
      <c r="BG741" s="275"/>
      <c r="BH741" s="275"/>
      <c r="BI741" s="275"/>
      <c r="BJ741" s="275"/>
      <c r="BK741" s="275"/>
      <c r="BL741" s="275"/>
      <c r="BM741" s="275"/>
      <c r="BN741" s="275"/>
      <c r="BO741" s="275"/>
      <c r="BP741" s="275"/>
      <c r="BQ741" s="275"/>
      <c r="BR741" s="275"/>
      <c r="BS741" s="275"/>
      <c r="BT741" s="275"/>
      <c r="BU741" s="275"/>
      <c r="BV741" s="275"/>
      <c r="BW741" s="275"/>
      <c r="BX741" s="275"/>
      <c r="BY741" s="275"/>
      <c r="BZ741" s="275"/>
      <c r="CA741" s="275"/>
      <c r="CB741" s="275"/>
      <c r="CC741" s="275"/>
      <c r="CD741" s="275"/>
      <c r="CE741" s="275"/>
    </row>
    <row r="742" spans="1:83" ht="12.6" customHeight="1" x14ac:dyDescent="0.25">
      <c r="A742" s="209" t="str">
        <f>RIGHT($C$83,3)&amp;"*"&amp;RIGHT($C$82,4)&amp;"*"&amp;K$55&amp;"*"&amp;"A"</f>
        <v>130*2017*6200*A</v>
      </c>
      <c r="B742" s="274">
        <f>ROUND(K59,0)</f>
        <v>0</v>
      </c>
      <c r="C742" s="276">
        <f>ROUND(K60,2)</f>
        <v>0</v>
      </c>
      <c r="D742" s="274">
        <f>ROUND(K61,0)</f>
        <v>0</v>
      </c>
      <c r="E742" s="274">
        <f>ROUND(K62,0)</f>
        <v>0</v>
      </c>
      <c r="F742" s="274">
        <f>ROUND(K63,0)</f>
        <v>0</v>
      </c>
      <c r="G742" s="274">
        <f>ROUND(K64,0)</f>
        <v>0</v>
      </c>
      <c r="H742" s="274">
        <f>ROUND(K65,0)</f>
        <v>0</v>
      </c>
      <c r="I742" s="274">
        <f>ROUND(K66,0)</f>
        <v>0</v>
      </c>
      <c r="J742" s="274">
        <f>ROUND(K67,0)</f>
        <v>0</v>
      </c>
      <c r="K742" s="274">
        <f>ROUND(K68,0)</f>
        <v>0</v>
      </c>
      <c r="L742" s="274">
        <f>ROUND(K69,0)</f>
        <v>0</v>
      </c>
      <c r="M742" s="274">
        <f>ROUND(K70,0)</f>
        <v>0</v>
      </c>
      <c r="N742" s="274">
        <f>ROUND(K75,0)</f>
        <v>0</v>
      </c>
      <c r="O742" s="274">
        <f>ROUND(K73,0)</f>
        <v>0</v>
      </c>
      <c r="P742" s="274">
        <f>IF(K76&gt;0,ROUND(K76,0),0)</f>
        <v>0</v>
      </c>
      <c r="Q742" s="274">
        <f>IF(K77&gt;0,ROUND(K77,0),0)</f>
        <v>0</v>
      </c>
      <c r="R742" s="274">
        <f>IF(K78&gt;0,ROUND(K78,0),0)</f>
        <v>0</v>
      </c>
      <c r="S742" s="274">
        <f>IF(K79&gt;0,ROUND(K79,0),0)</f>
        <v>0</v>
      </c>
      <c r="T742" s="276">
        <f>IF(K80&gt;0,ROUND(K80,2),0)</f>
        <v>0</v>
      </c>
      <c r="U742" s="274"/>
      <c r="V742" s="275"/>
      <c r="W742" s="274"/>
      <c r="X742" s="274"/>
      <c r="Y742" s="274">
        <f t="shared" si="21"/>
        <v>0</v>
      </c>
      <c r="Z742" s="275"/>
      <c r="AA742" s="275"/>
      <c r="AB742" s="275"/>
      <c r="AC742" s="275"/>
      <c r="AD742" s="275"/>
      <c r="AE742" s="275"/>
      <c r="AF742" s="275"/>
      <c r="AG742" s="275"/>
      <c r="AH742" s="275"/>
      <c r="AI742" s="275"/>
      <c r="AJ742" s="275"/>
      <c r="AK742" s="275"/>
      <c r="AL742" s="275"/>
      <c r="AM742" s="275"/>
      <c r="AN742" s="275"/>
      <c r="AO742" s="275"/>
      <c r="AP742" s="275"/>
      <c r="AQ742" s="275"/>
      <c r="AR742" s="275"/>
      <c r="AS742" s="275"/>
      <c r="AT742" s="275"/>
      <c r="AU742" s="275"/>
      <c r="AV742" s="275"/>
      <c r="AW742" s="275"/>
      <c r="AX742" s="275"/>
      <c r="AY742" s="275"/>
      <c r="AZ742" s="275"/>
      <c r="BA742" s="275"/>
      <c r="BB742" s="275"/>
      <c r="BC742" s="275"/>
      <c r="BD742" s="275"/>
      <c r="BE742" s="275"/>
      <c r="BF742" s="275"/>
      <c r="BG742" s="275"/>
      <c r="BH742" s="275"/>
      <c r="BI742" s="275"/>
      <c r="BJ742" s="275"/>
      <c r="BK742" s="275"/>
      <c r="BL742" s="275"/>
      <c r="BM742" s="275"/>
      <c r="BN742" s="275"/>
      <c r="BO742" s="275"/>
      <c r="BP742" s="275"/>
      <c r="BQ742" s="275"/>
      <c r="BR742" s="275"/>
      <c r="BS742" s="275"/>
      <c r="BT742" s="275"/>
      <c r="BU742" s="275"/>
      <c r="BV742" s="275"/>
      <c r="BW742" s="275"/>
      <c r="BX742" s="275"/>
      <c r="BY742" s="275"/>
      <c r="BZ742" s="275"/>
      <c r="CA742" s="275"/>
      <c r="CB742" s="275"/>
      <c r="CC742" s="275"/>
      <c r="CD742" s="275"/>
      <c r="CE742" s="275"/>
    </row>
    <row r="743" spans="1:83" ht="12.6" customHeight="1" x14ac:dyDescent="0.25">
      <c r="A743" s="209" t="str">
        <f>RIGHT($C$83,3)&amp;"*"&amp;RIGHT($C$82,4)&amp;"*"&amp;L$55&amp;"*"&amp;"A"</f>
        <v>130*2017*6210*A</v>
      </c>
      <c r="B743" s="274">
        <f>ROUND(L59,0)</f>
        <v>0</v>
      </c>
      <c r="C743" s="276">
        <f>ROUND(L60,2)</f>
        <v>0</v>
      </c>
      <c r="D743" s="274">
        <f>ROUND(L61,0)</f>
        <v>0</v>
      </c>
      <c r="E743" s="274">
        <f>ROUND(L62,0)</f>
        <v>0</v>
      </c>
      <c r="F743" s="274">
        <f>ROUND(L63,0)</f>
        <v>0</v>
      </c>
      <c r="G743" s="274">
        <f>ROUND(L64,0)</f>
        <v>0</v>
      </c>
      <c r="H743" s="274">
        <f>ROUND(L65,0)</f>
        <v>0</v>
      </c>
      <c r="I743" s="274">
        <f>ROUND(L66,0)</f>
        <v>0</v>
      </c>
      <c r="J743" s="274">
        <f>ROUND(L67,0)</f>
        <v>0</v>
      </c>
      <c r="K743" s="274">
        <f>ROUND(L68,0)</f>
        <v>0</v>
      </c>
      <c r="L743" s="274">
        <f>ROUND(L69,0)</f>
        <v>0</v>
      </c>
      <c r="M743" s="274">
        <f>ROUND(L70,0)</f>
        <v>0</v>
      </c>
      <c r="N743" s="274">
        <f>ROUND(L75,0)</f>
        <v>0</v>
      </c>
      <c r="O743" s="274">
        <f>ROUND(L73,0)</f>
        <v>0</v>
      </c>
      <c r="P743" s="274">
        <f>IF(L76&gt;0,ROUND(L76,0),0)</f>
        <v>0</v>
      </c>
      <c r="Q743" s="274">
        <f>IF(L77&gt;0,ROUND(L77,0),0)</f>
        <v>0</v>
      </c>
      <c r="R743" s="274">
        <f>IF(L78&gt;0,ROUND(L78,0),0)</f>
        <v>0</v>
      </c>
      <c r="S743" s="274">
        <f>IF(L79&gt;0,ROUND(L79,0),0)</f>
        <v>0</v>
      </c>
      <c r="T743" s="276">
        <f>IF(L80&gt;0,ROUND(L80,2),0)</f>
        <v>0</v>
      </c>
      <c r="U743" s="274"/>
      <c r="V743" s="275"/>
      <c r="W743" s="274"/>
      <c r="X743" s="274"/>
      <c r="Y743" s="274">
        <f t="shared" si="21"/>
        <v>0</v>
      </c>
      <c r="Z743" s="275"/>
      <c r="AA743" s="275"/>
      <c r="AB743" s="275"/>
      <c r="AC743" s="275"/>
      <c r="AD743" s="275"/>
      <c r="AE743" s="275"/>
      <c r="AF743" s="275"/>
      <c r="AG743" s="275"/>
      <c r="AH743" s="275"/>
      <c r="AI743" s="275"/>
      <c r="AJ743" s="275"/>
      <c r="AK743" s="275"/>
      <c r="AL743" s="275"/>
      <c r="AM743" s="275"/>
      <c r="AN743" s="275"/>
      <c r="AO743" s="275"/>
      <c r="AP743" s="275"/>
      <c r="AQ743" s="275"/>
      <c r="AR743" s="275"/>
      <c r="AS743" s="275"/>
      <c r="AT743" s="275"/>
      <c r="AU743" s="275"/>
      <c r="AV743" s="275"/>
      <c r="AW743" s="275"/>
      <c r="AX743" s="275"/>
      <c r="AY743" s="275"/>
      <c r="AZ743" s="275"/>
      <c r="BA743" s="275"/>
      <c r="BB743" s="275"/>
      <c r="BC743" s="275"/>
      <c r="BD743" s="275"/>
      <c r="BE743" s="275"/>
      <c r="BF743" s="275"/>
      <c r="BG743" s="275"/>
      <c r="BH743" s="275"/>
      <c r="BI743" s="275"/>
      <c r="BJ743" s="275"/>
      <c r="BK743" s="275"/>
      <c r="BL743" s="275"/>
      <c r="BM743" s="275"/>
      <c r="BN743" s="275"/>
      <c r="BO743" s="275"/>
      <c r="BP743" s="275"/>
      <c r="BQ743" s="275"/>
      <c r="BR743" s="275"/>
      <c r="BS743" s="275"/>
      <c r="BT743" s="275"/>
      <c r="BU743" s="275"/>
      <c r="BV743" s="275"/>
      <c r="BW743" s="275"/>
      <c r="BX743" s="275"/>
      <c r="BY743" s="275"/>
      <c r="BZ743" s="275"/>
      <c r="CA743" s="275"/>
      <c r="CB743" s="275"/>
      <c r="CC743" s="275"/>
      <c r="CD743" s="275"/>
      <c r="CE743" s="275"/>
    </row>
    <row r="744" spans="1:83" ht="12.6" customHeight="1" x14ac:dyDescent="0.25">
      <c r="A744" s="209" t="str">
        <f>RIGHT($C$83,3)&amp;"*"&amp;RIGHT($C$82,4)&amp;"*"&amp;M$55&amp;"*"&amp;"A"</f>
        <v>130*2017*6330*A</v>
      </c>
      <c r="B744" s="274">
        <f>ROUND(M59,0)</f>
        <v>0</v>
      </c>
      <c r="C744" s="276">
        <f>ROUND(M60,2)</f>
        <v>0</v>
      </c>
      <c r="D744" s="274">
        <f>ROUND(M61,0)</f>
        <v>0</v>
      </c>
      <c r="E744" s="274">
        <f>ROUND(M62,0)</f>
        <v>0</v>
      </c>
      <c r="F744" s="274">
        <f>ROUND(M63,0)</f>
        <v>0</v>
      </c>
      <c r="G744" s="274">
        <f>ROUND(M64,0)</f>
        <v>0</v>
      </c>
      <c r="H744" s="274">
        <f>ROUND(M65,0)</f>
        <v>0</v>
      </c>
      <c r="I744" s="274">
        <f>ROUND(M66,0)</f>
        <v>0</v>
      </c>
      <c r="J744" s="274">
        <f>ROUND(M67,0)</f>
        <v>0</v>
      </c>
      <c r="K744" s="274">
        <f>ROUND(M68,0)</f>
        <v>0</v>
      </c>
      <c r="L744" s="274">
        <f>ROUND(M69,0)</f>
        <v>0</v>
      </c>
      <c r="M744" s="274">
        <f>ROUND(M70,0)</f>
        <v>0</v>
      </c>
      <c r="N744" s="274">
        <f>ROUND(M75,0)</f>
        <v>0</v>
      </c>
      <c r="O744" s="274">
        <f>ROUND(M73,0)</f>
        <v>0</v>
      </c>
      <c r="P744" s="274">
        <f>IF(M76&gt;0,ROUND(M76,0),0)</f>
        <v>0</v>
      </c>
      <c r="Q744" s="274">
        <f>IF(M77&gt;0,ROUND(M77,0),0)</f>
        <v>0</v>
      </c>
      <c r="R744" s="274">
        <f>IF(M78&gt;0,ROUND(M78,0),0)</f>
        <v>0</v>
      </c>
      <c r="S744" s="274">
        <f>IF(M79&gt;0,ROUND(M79,0),0)</f>
        <v>0</v>
      </c>
      <c r="T744" s="276">
        <f>IF(M80&gt;0,ROUND(M80,2),0)</f>
        <v>0</v>
      </c>
      <c r="U744" s="274"/>
      <c r="V744" s="275"/>
      <c r="W744" s="274"/>
      <c r="X744" s="274"/>
      <c r="Y744" s="274">
        <f t="shared" si="21"/>
        <v>0</v>
      </c>
      <c r="Z744" s="275"/>
      <c r="AA744" s="275"/>
      <c r="AB744" s="275"/>
      <c r="AC744" s="275"/>
      <c r="AD744" s="275"/>
      <c r="AE744" s="275"/>
      <c r="AF744" s="275"/>
      <c r="AG744" s="275"/>
      <c r="AH744" s="275"/>
      <c r="AI744" s="275"/>
      <c r="AJ744" s="275"/>
      <c r="AK744" s="275"/>
      <c r="AL744" s="275"/>
      <c r="AM744" s="275"/>
      <c r="AN744" s="275"/>
      <c r="AO744" s="275"/>
      <c r="AP744" s="275"/>
      <c r="AQ744" s="275"/>
      <c r="AR744" s="275"/>
      <c r="AS744" s="275"/>
      <c r="AT744" s="275"/>
      <c r="AU744" s="275"/>
      <c r="AV744" s="275"/>
      <c r="AW744" s="275"/>
      <c r="AX744" s="275"/>
      <c r="AY744" s="275"/>
      <c r="AZ744" s="275"/>
      <c r="BA744" s="275"/>
      <c r="BB744" s="275"/>
      <c r="BC744" s="275"/>
      <c r="BD744" s="275"/>
      <c r="BE744" s="275"/>
      <c r="BF744" s="275"/>
      <c r="BG744" s="275"/>
      <c r="BH744" s="275"/>
      <c r="BI744" s="275"/>
      <c r="BJ744" s="275"/>
      <c r="BK744" s="275"/>
      <c r="BL744" s="275"/>
      <c r="BM744" s="275"/>
      <c r="BN744" s="275"/>
      <c r="BO744" s="275"/>
      <c r="BP744" s="275"/>
      <c r="BQ744" s="275"/>
      <c r="BR744" s="275"/>
      <c r="BS744" s="275"/>
      <c r="BT744" s="275"/>
      <c r="BU744" s="275"/>
      <c r="BV744" s="275"/>
      <c r="BW744" s="275"/>
      <c r="BX744" s="275"/>
      <c r="BY744" s="275"/>
      <c r="BZ744" s="275"/>
      <c r="CA744" s="275"/>
      <c r="CB744" s="275"/>
      <c r="CC744" s="275"/>
      <c r="CD744" s="275"/>
      <c r="CE744" s="275"/>
    </row>
    <row r="745" spans="1:83" ht="12.6" customHeight="1" x14ac:dyDescent="0.25">
      <c r="A745" s="209" t="str">
        <f>RIGHT($C$83,3)&amp;"*"&amp;RIGHT($C$82,4)&amp;"*"&amp;N$55&amp;"*"&amp;"A"</f>
        <v>130*2017*6400*A</v>
      </c>
      <c r="B745" s="274">
        <f>ROUND(N59,0)</f>
        <v>0</v>
      </c>
      <c r="C745" s="276">
        <f>ROUND(N60,2)</f>
        <v>0</v>
      </c>
      <c r="D745" s="274">
        <f>ROUND(N61,0)</f>
        <v>0</v>
      </c>
      <c r="E745" s="274">
        <f>ROUND(N62,0)</f>
        <v>0</v>
      </c>
      <c r="F745" s="274">
        <f>ROUND(N63,0)</f>
        <v>0</v>
      </c>
      <c r="G745" s="274">
        <f>ROUND(N64,0)</f>
        <v>0</v>
      </c>
      <c r="H745" s="274">
        <f>ROUND(N65,0)</f>
        <v>0</v>
      </c>
      <c r="I745" s="274">
        <f>ROUND(N66,0)</f>
        <v>0</v>
      </c>
      <c r="J745" s="274">
        <f>ROUND(N67,0)</f>
        <v>0</v>
      </c>
      <c r="K745" s="274">
        <f>ROUND(N68,0)</f>
        <v>0</v>
      </c>
      <c r="L745" s="274">
        <f>ROUND(N69,0)</f>
        <v>0</v>
      </c>
      <c r="M745" s="274">
        <f>ROUND(N70,0)</f>
        <v>0</v>
      </c>
      <c r="N745" s="274">
        <f>ROUND(N75,0)</f>
        <v>0</v>
      </c>
      <c r="O745" s="274">
        <f>ROUND(N73,0)</f>
        <v>0</v>
      </c>
      <c r="P745" s="274">
        <f>IF(N76&gt;0,ROUND(N76,0),0)</f>
        <v>0</v>
      </c>
      <c r="Q745" s="274">
        <f>IF(N77&gt;0,ROUND(N77,0),0)</f>
        <v>0</v>
      </c>
      <c r="R745" s="274">
        <f>IF(N78&gt;0,ROUND(N78,0),0)</f>
        <v>0</v>
      </c>
      <c r="S745" s="274">
        <f>IF(N79&gt;0,ROUND(N79,0),0)</f>
        <v>0</v>
      </c>
      <c r="T745" s="276">
        <f>IF(N80&gt;0,ROUND(N80,2),0)</f>
        <v>0</v>
      </c>
      <c r="U745" s="274"/>
      <c r="V745" s="275"/>
      <c r="W745" s="274"/>
      <c r="X745" s="274"/>
      <c r="Y745" s="274">
        <f t="shared" si="21"/>
        <v>0</v>
      </c>
      <c r="Z745" s="275"/>
      <c r="AA745" s="275"/>
      <c r="AB745" s="275"/>
      <c r="AC745" s="275"/>
      <c r="AD745" s="275"/>
      <c r="AE745" s="275"/>
      <c r="AF745" s="275"/>
      <c r="AG745" s="275"/>
      <c r="AH745" s="275"/>
      <c r="AI745" s="275"/>
      <c r="AJ745" s="275"/>
      <c r="AK745" s="275"/>
      <c r="AL745" s="275"/>
      <c r="AM745" s="275"/>
      <c r="AN745" s="275"/>
      <c r="AO745" s="275"/>
      <c r="AP745" s="275"/>
      <c r="AQ745" s="275"/>
      <c r="AR745" s="275"/>
      <c r="AS745" s="275"/>
      <c r="AT745" s="275"/>
      <c r="AU745" s="275"/>
      <c r="AV745" s="275"/>
      <c r="AW745" s="275"/>
      <c r="AX745" s="275"/>
      <c r="AY745" s="275"/>
      <c r="AZ745" s="275"/>
      <c r="BA745" s="275"/>
      <c r="BB745" s="275"/>
      <c r="BC745" s="275"/>
      <c r="BD745" s="275"/>
      <c r="BE745" s="275"/>
      <c r="BF745" s="275"/>
      <c r="BG745" s="275"/>
      <c r="BH745" s="275"/>
      <c r="BI745" s="275"/>
      <c r="BJ745" s="275"/>
      <c r="BK745" s="275"/>
      <c r="BL745" s="275"/>
      <c r="BM745" s="275"/>
      <c r="BN745" s="275"/>
      <c r="BO745" s="275"/>
      <c r="BP745" s="275"/>
      <c r="BQ745" s="275"/>
      <c r="BR745" s="275"/>
      <c r="BS745" s="275"/>
      <c r="BT745" s="275"/>
      <c r="BU745" s="275"/>
      <c r="BV745" s="275"/>
      <c r="BW745" s="275"/>
      <c r="BX745" s="275"/>
      <c r="BY745" s="275"/>
      <c r="BZ745" s="275"/>
      <c r="CA745" s="275"/>
      <c r="CB745" s="275"/>
      <c r="CC745" s="275"/>
      <c r="CD745" s="275"/>
      <c r="CE745" s="275"/>
    </row>
    <row r="746" spans="1:83" ht="12.6" customHeight="1" x14ac:dyDescent="0.25">
      <c r="A746" s="209" t="str">
        <f>RIGHT($C$83,3)&amp;"*"&amp;RIGHT($C$82,4)&amp;"*"&amp;O$55&amp;"*"&amp;"A"</f>
        <v>130*2017*7010*A</v>
      </c>
      <c r="B746" s="274">
        <f>ROUND(O59,0)</f>
        <v>0</v>
      </c>
      <c r="C746" s="276">
        <f>ROUND(O60,2)</f>
        <v>0</v>
      </c>
      <c r="D746" s="274">
        <f>ROUND(O61,0)</f>
        <v>0</v>
      </c>
      <c r="E746" s="274">
        <f>ROUND(O62,0)</f>
        <v>0</v>
      </c>
      <c r="F746" s="274">
        <f>ROUND(O63,0)</f>
        <v>0</v>
      </c>
      <c r="G746" s="274">
        <f>ROUND(O64,0)</f>
        <v>0</v>
      </c>
      <c r="H746" s="274">
        <f>ROUND(O65,0)</f>
        <v>0</v>
      </c>
      <c r="I746" s="274">
        <f>ROUND(O66,0)</f>
        <v>0</v>
      </c>
      <c r="J746" s="274">
        <f>ROUND(O67,0)</f>
        <v>0</v>
      </c>
      <c r="K746" s="274">
        <f>ROUND(O68,0)</f>
        <v>0</v>
      </c>
      <c r="L746" s="274">
        <f>ROUND(O69,0)</f>
        <v>0</v>
      </c>
      <c r="M746" s="274">
        <f>ROUND(O70,0)</f>
        <v>0</v>
      </c>
      <c r="N746" s="274">
        <f>ROUND(O75,0)</f>
        <v>0</v>
      </c>
      <c r="O746" s="274">
        <f>ROUND(O73,0)</f>
        <v>0</v>
      </c>
      <c r="P746" s="274">
        <f>IF(O76&gt;0,ROUND(O76,0),0)</f>
        <v>0</v>
      </c>
      <c r="Q746" s="274">
        <f>IF(O77&gt;0,ROUND(O77,0),0)</f>
        <v>0</v>
      </c>
      <c r="R746" s="274">
        <f>IF(O78&gt;0,ROUND(O78,0),0)</f>
        <v>0</v>
      </c>
      <c r="S746" s="274">
        <f>IF(O79&gt;0,ROUND(O79,0),0)</f>
        <v>0</v>
      </c>
      <c r="T746" s="276">
        <f>IF(O80&gt;0,ROUND(O80,2),0)</f>
        <v>0</v>
      </c>
      <c r="U746" s="274"/>
      <c r="V746" s="275"/>
      <c r="W746" s="274"/>
      <c r="X746" s="274"/>
      <c r="Y746" s="274">
        <f t="shared" si="21"/>
        <v>0</v>
      </c>
      <c r="Z746" s="275"/>
      <c r="AA746" s="275"/>
      <c r="AB746" s="275"/>
      <c r="AC746" s="275"/>
      <c r="AD746" s="275"/>
      <c r="AE746" s="275"/>
      <c r="AF746" s="275"/>
      <c r="AG746" s="275"/>
      <c r="AH746" s="275"/>
      <c r="AI746" s="275"/>
      <c r="AJ746" s="275"/>
      <c r="AK746" s="275"/>
      <c r="AL746" s="275"/>
      <c r="AM746" s="275"/>
      <c r="AN746" s="275"/>
      <c r="AO746" s="275"/>
      <c r="AP746" s="275"/>
      <c r="AQ746" s="275"/>
      <c r="AR746" s="275"/>
      <c r="AS746" s="275"/>
      <c r="AT746" s="275"/>
      <c r="AU746" s="275"/>
      <c r="AV746" s="275"/>
      <c r="AW746" s="275"/>
      <c r="AX746" s="275"/>
      <c r="AY746" s="275"/>
      <c r="AZ746" s="275"/>
      <c r="BA746" s="275"/>
      <c r="BB746" s="275"/>
      <c r="BC746" s="275"/>
      <c r="BD746" s="275"/>
      <c r="BE746" s="275"/>
      <c r="BF746" s="275"/>
      <c r="BG746" s="275"/>
      <c r="BH746" s="275"/>
      <c r="BI746" s="275"/>
      <c r="BJ746" s="275"/>
      <c r="BK746" s="275"/>
      <c r="BL746" s="275"/>
      <c r="BM746" s="275"/>
      <c r="BN746" s="275"/>
      <c r="BO746" s="275"/>
      <c r="BP746" s="275"/>
      <c r="BQ746" s="275"/>
      <c r="BR746" s="275"/>
      <c r="BS746" s="275"/>
      <c r="BT746" s="275"/>
      <c r="BU746" s="275"/>
      <c r="BV746" s="275"/>
      <c r="BW746" s="275"/>
      <c r="BX746" s="275"/>
      <c r="BY746" s="275"/>
      <c r="BZ746" s="275"/>
      <c r="CA746" s="275"/>
      <c r="CB746" s="275"/>
      <c r="CC746" s="275"/>
      <c r="CD746" s="275"/>
      <c r="CE746" s="275"/>
    </row>
    <row r="747" spans="1:83" ht="12.6" customHeight="1" x14ac:dyDescent="0.25">
      <c r="A747" s="209" t="str">
        <f>RIGHT($C$83,3)&amp;"*"&amp;RIGHT($C$82,4)&amp;"*"&amp;P$55&amp;"*"&amp;"A"</f>
        <v>130*2017*7020*A</v>
      </c>
      <c r="B747" s="274">
        <f>ROUND(P59,0)</f>
        <v>2203743</v>
      </c>
      <c r="C747" s="276">
        <f>ROUND(P60,2)</f>
        <v>120.85</v>
      </c>
      <c r="D747" s="274">
        <f>ROUND(P61,0)</f>
        <v>10133834</v>
      </c>
      <c r="E747" s="274">
        <f>ROUND(P62,0)</f>
        <v>2553392</v>
      </c>
      <c r="F747" s="274">
        <f>ROUND(P63,0)</f>
        <v>113266</v>
      </c>
      <c r="G747" s="274">
        <f>ROUND(P64,0)</f>
        <v>22207249</v>
      </c>
      <c r="H747" s="274">
        <f>ROUND(P65,0)</f>
        <v>5290</v>
      </c>
      <c r="I747" s="274">
        <f>ROUND(P66,0)</f>
        <v>1481679</v>
      </c>
      <c r="J747" s="274">
        <f>ROUND(P67,0)</f>
        <v>2715759</v>
      </c>
      <c r="K747" s="274">
        <f>ROUND(P68,0)</f>
        <v>892459</v>
      </c>
      <c r="L747" s="274">
        <f>ROUND(P69,0)</f>
        <v>25360</v>
      </c>
      <c r="M747" s="274">
        <f>ROUND(P70,0)</f>
        <v>8601</v>
      </c>
      <c r="N747" s="274">
        <f>ROUND(P75,0)</f>
        <v>265428431</v>
      </c>
      <c r="O747" s="274">
        <f>ROUND(P73,0)</f>
        <v>110954702</v>
      </c>
      <c r="P747" s="274">
        <f>IF(P76&gt;0,ROUND(P76,0),0)</f>
        <v>53579</v>
      </c>
      <c r="Q747" s="274">
        <f>IF(P77&gt;0,ROUND(P77,0),0)</f>
        <v>0</v>
      </c>
      <c r="R747" s="274">
        <f>IF(P78&gt;0,ROUND(P78,0),0)</f>
        <v>18717</v>
      </c>
      <c r="S747" s="274">
        <f>IF(P79&gt;0,ROUND(P79,0),0)</f>
        <v>464388</v>
      </c>
      <c r="T747" s="276">
        <f>IF(P80&gt;0,ROUND(P80,2),0)</f>
        <v>68.290000000000006</v>
      </c>
      <c r="U747" s="274"/>
      <c r="V747" s="275"/>
      <c r="W747" s="274"/>
      <c r="X747" s="274"/>
      <c r="Y747" s="274">
        <f t="shared" si="21"/>
        <v>19822121</v>
      </c>
      <c r="Z747" s="275"/>
      <c r="AA747" s="275"/>
      <c r="AB747" s="275"/>
      <c r="AC747" s="275"/>
      <c r="AD747" s="275"/>
      <c r="AE747" s="275"/>
      <c r="AF747" s="275"/>
      <c r="AG747" s="275"/>
      <c r="AH747" s="275"/>
      <c r="AI747" s="275"/>
      <c r="AJ747" s="275"/>
      <c r="AK747" s="275"/>
      <c r="AL747" s="275"/>
      <c r="AM747" s="275"/>
      <c r="AN747" s="275"/>
      <c r="AO747" s="275"/>
      <c r="AP747" s="275"/>
      <c r="AQ747" s="275"/>
      <c r="AR747" s="275"/>
      <c r="AS747" s="275"/>
      <c r="AT747" s="275"/>
      <c r="AU747" s="275"/>
      <c r="AV747" s="275"/>
      <c r="AW747" s="275"/>
      <c r="AX747" s="275"/>
      <c r="AY747" s="275"/>
      <c r="AZ747" s="275"/>
      <c r="BA747" s="275"/>
      <c r="BB747" s="275"/>
      <c r="BC747" s="275"/>
      <c r="BD747" s="275"/>
      <c r="BE747" s="275"/>
      <c r="BF747" s="275"/>
      <c r="BG747" s="275"/>
      <c r="BH747" s="275"/>
      <c r="BI747" s="275"/>
      <c r="BJ747" s="275"/>
      <c r="BK747" s="275"/>
      <c r="BL747" s="275"/>
      <c r="BM747" s="275"/>
      <c r="BN747" s="275"/>
      <c r="BO747" s="275"/>
      <c r="BP747" s="275"/>
      <c r="BQ747" s="275"/>
      <c r="BR747" s="275"/>
      <c r="BS747" s="275"/>
      <c r="BT747" s="275"/>
      <c r="BU747" s="275"/>
      <c r="BV747" s="275"/>
      <c r="BW747" s="275"/>
      <c r="BX747" s="275"/>
      <c r="BY747" s="275"/>
      <c r="BZ747" s="275"/>
      <c r="CA747" s="275"/>
      <c r="CB747" s="275"/>
      <c r="CC747" s="275"/>
      <c r="CD747" s="275"/>
      <c r="CE747" s="275"/>
    </row>
    <row r="748" spans="1:83" ht="12.6" customHeight="1" x14ac:dyDescent="0.25">
      <c r="A748" s="209" t="str">
        <f>RIGHT($C$83,3)&amp;"*"&amp;RIGHT($C$82,4)&amp;"*"&amp;Q$55&amp;"*"&amp;"A"</f>
        <v>130*2017*7030*A</v>
      </c>
      <c r="B748" s="274">
        <f>ROUND(Q59,0)</f>
        <v>927131</v>
      </c>
      <c r="C748" s="276">
        <f>ROUND(Q60,2)</f>
        <v>18.36</v>
      </c>
      <c r="D748" s="274">
        <f>ROUND(Q61,0)</f>
        <v>1839481</v>
      </c>
      <c r="E748" s="274">
        <f>ROUND(Q62,0)</f>
        <v>473334</v>
      </c>
      <c r="F748" s="274">
        <f>ROUND(Q63,0)</f>
        <v>21223</v>
      </c>
      <c r="G748" s="274">
        <f>ROUND(Q64,0)</f>
        <v>76826</v>
      </c>
      <c r="H748" s="274">
        <f>ROUND(Q65,0)</f>
        <v>0</v>
      </c>
      <c r="I748" s="274">
        <f>ROUND(Q66,0)</f>
        <v>22868</v>
      </c>
      <c r="J748" s="274">
        <f>ROUND(Q67,0)</f>
        <v>22445</v>
      </c>
      <c r="K748" s="274">
        <f>ROUND(Q68,0)</f>
        <v>43290</v>
      </c>
      <c r="L748" s="274">
        <f>ROUND(Q69,0)</f>
        <v>250</v>
      </c>
      <c r="M748" s="274">
        <f>ROUND(Q70,0)</f>
        <v>0</v>
      </c>
      <c r="N748" s="274">
        <f>ROUND(Q75,0)</f>
        <v>14426791</v>
      </c>
      <c r="O748" s="274">
        <f>ROUND(Q73,0)</f>
        <v>5357183</v>
      </c>
      <c r="P748" s="274">
        <f>IF(Q76&gt;0,ROUND(Q76,0),0)</f>
        <v>3494</v>
      </c>
      <c r="Q748" s="274">
        <f>IF(Q77&gt;0,ROUND(Q77,0),0)</f>
        <v>0</v>
      </c>
      <c r="R748" s="274">
        <f>IF(Q78&gt;0,ROUND(Q78,0),0)</f>
        <v>1688</v>
      </c>
      <c r="S748" s="274">
        <f>IF(Q79&gt;0,ROUND(Q79,0),0)</f>
        <v>29728</v>
      </c>
      <c r="T748" s="276">
        <f>IF(Q80&gt;0,ROUND(Q80,2),0)</f>
        <v>16.16</v>
      </c>
      <c r="U748" s="274"/>
      <c r="V748" s="275"/>
      <c r="W748" s="274"/>
      <c r="X748" s="274"/>
      <c r="Y748" s="274">
        <f t="shared" si="21"/>
        <v>1362542</v>
      </c>
      <c r="Z748" s="275"/>
      <c r="AA748" s="275"/>
      <c r="AB748" s="275"/>
      <c r="AC748" s="275"/>
      <c r="AD748" s="275"/>
      <c r="AE748" s="275"/>
      <c r="AF748" s="275"/>
      <c r="AG748" s="275"/>
      <c r="AH748" s="275"/>
      <c r="AI748" s="275"/>
      <c r="AJ748" s="275"/>
      <c r="AK748" s="275"/>
      <c r="AL748" s="275"/>
      <c r="AM748" s="275"/>
      <c r="AN748" s="275"/>
      <c r="AO748" s="275"/>
      <c r="AP748" s="275"/>
      <c r="AQ748" s="275"/>
      <c r="AR748" s="275"/>
      <c r="AS748" s="275"/>
      <c r="AT748" s="275"/>
      <c r="AU748" s="275"/>
      <c r="AV748" s="275"/>
      <c r="AW748" s="275"/>
      <c r="AX748" s="275"/>
      <c r="AY748" s="275"/>
      <c r="AZ748" s="275"/>
      <c r="BA748" s="275"/>
      <c r="BB748" s="275"/>
      <c r="BC748" s="275"/>
      <c r="BD748" s="275"/>
      <c r="BE748" s="275"/>
      <c r="BF748" s="275"/>
      <c r="BG748" s="275"/>
      <c r="BH748" s="275"/>
      <c r="BI748" s="275"/>
      <c r="BJ748" s="275"/>
      <c r="BK748" s="275"/>
      <c r="BL748" s="275"/>
      <c r="BM748" s="275"/>
      <c r="BN748" s="275"/>
      <c r="BO748" s="275"/>
      <c r="BP748" s="275"/>
      <c r="BQ748" s="275"/>
      <c r="BR748" s="275"/>
      <c r="BS748" s="275"/>
      <c r="BT748" s="275"/>
      <c r="BU748" s="275"/>
      <c r="BV748" s="275"/>
      <c r="BW748" s="275"/>
      <c r="BX748" s="275"/>
      <c r="BY748" s="275"/>
      <c r="BZ748" s="275"/>
      <c r="CA748" s="275"/>
      <c r="CB748" s="275"/>
      <c r="CC748" s="275"/>
      <c r="CD748" s="275"/>
      <c r="CE748" s="275"/>
    </row>
    <row r="749" spans="1:83" ht="12.6" customHeight="1" x14ac:dyDescent="0.25">
      <c r="A749" s="209" t="str">
        <f>RIGHT($C$83,3)&amp;"*"&amp;RIGHT($C$82,4)&amp;"*"&amp;R$55&amp;"*"&amp;"A"</f>
        <v>130*2017*7040*A</v>
      </c>
      <c r="B749" s="274">
        <f>ROUND(R59,0)</f>
        <v>1084113</v>
      </c>
      <c r="C749" s="276">
        <f>ROUND(R60,2)</f>
        <v>7.93</v>
      </c>
      <c r="D749" s="274">
        <f>ROUND(R61,0)</f>
        <v>498172</v>
      </c>
      <c r="E749" s="274">
        <f>ROUND(R62,0)</f>
        <v>125903</v>
      </c>
      <c r="F749" s="274">
        <f>ROUND(R63,0)</f>
        <v>302527</v>
      </c>
      <c r="G749" s="274">
        <f>ROUND(R64,0)</f>
        <v>490646</v>
      </c>
      <c r="H749" s="274">
        <f>ROUND(R65,0)</f>
        <v>0</v>
      </c>
      <c r="I749" s="274">
        <f>ROUND(R66,0)</f>
        <v>3870</v>
      </c>
      <c r="J749" s="274">
        <f>ROUND(R67,0)</f>
        <v>49901</v>
      </c>
      <c r="K749" s="274">
        <f>ROUND(R68,0)</f>
        <v>23083</v>
      </c>
      <c r="L749" s="274">
        <f>ROUND(R69,0)</f>
        <v>2386</v>
      </c>
      <c r="M749" s="274">
        <f>ROUND(R70,0)</f>
        <v>0</v>
      </c>
      <c r="N749" s="274">
        <f>ROUND(R75,0)</f>
        <v>28948187</v>
      </c>
      <c r="O749" s="274">
        <f>ROUND(R73,0)</f>
        <v>11862064</v>
      </c>
      <c r="P749" s="274">
        <f>IF(R76&gt;0,ROUND(R76,0),0)</f>
        <v>971</v>
      </c>
      <c r="Q749" s="274">
        <f>IF(R77&gt;0,ROUND(R77,0),0)</f>
        <v>0</v>
      </c>
      <c r="R749" s="274">
        <f>IF(R78&gt;0,ROUND(R78,0),0)</f>
        <v>469</v>
      </c>
      <c r="S749" s="274">
        <f>IF(R79&gt;0,ROUND(R79,0),0)</f>
        <v>0</v>
      </c>
      <c r="T749" s="276">
        <f>IF(R80&gt;0,ROUND(R80,2),0)</f>
        <v>0</v>
      </c>
      <c r="U749" s="274"/>
      <c r="V749" s="275"/>
      <c r="W749" s="274"/>
      <c r="X749" s="274"/>
      <c r="Y749" s="274">
        <f t="shared" si="21"/>
        <v>1251752</v>
      </c>
      <c r="Z749" s="275"/>
      <c r="AA749" s="275"/>
      <c r="AB749" s="275"/>
      <c r="AC749" s="275"/>
      <c r="AD749" s="275"/>
      <c r="AE749" s="275"/>
      <c r="AF749" s="275"/>
      <c r="AG749" s="275"/>
      <c r="AH749" s="275"/>
      <c r="AI749" s="275"/>
      <c r="AJ749" s="275"/>
      <c r="AK749" s="275"/>
      <c r="AL749" s="275"/>
      <c r="AM749" s="275"/>
      <c r="AN749" s="275"/>
      <c r="AO749" s="275"/>
      <c r="AP749" s="275"/>
      <c r="AQ749" s="275"/>
      <c r="AR749" s="275"/>
      <c r="AS749" s="275"/>
      <c r="AT749" s="275"/>
      <c r="AU749" s="275"/>
      <c r="AV749" s="275"/>
      <c r="AW749" s="275"/>
      <c r="AX749" s="275"/>
      <c r="AY749" s="275"/>
      <c r="AZ749" s="275"/>
      <c r="BA749" s="275"/>
      <c r="BB749" s="275"/>
      <c r="BC749" s="275"/>
      <c r="BD749" s="275"/>
      <c r="BE749" s="275"/>
      <c r="BF749" s="275"/>
      <c r="BG749" s="275"/>
      <c r="BH749" s="275"/>
      <c r="BI749" s="275"/>
      <c r="BJ749" s="275"/>
      <c r="BK749" s="275"/>
      <c r="BL749" s="275"/>
      <c r="BM749" s="275"/>
      <c r="BN749" s="275"/>
      <c r="BO749" s="275"/>
      <c r="BP749" s="275"/>
      <c r="BQ749" s="275"/>
      <c r="BR749" s="275"/>
      <c r="BS749" s="275"/>
      <c r="BT749" s="275"/>
      <c r="BU749" s="275"/>
      <c r="BV749" s="275"/>
      <c r="BW749" s="275"/>
      <c r="BX749" s="275"/>
      <c r="BY749" s="275"/>
      <c r="BZ749" s="275"/>
      <c r="CA749" s="275"/>
      <c r="CB749" s="275"/>
      <c r="CC749" s="275"/>
      <c r="CD749" s="275"/>
      <c r="CE749" s="275"/>
    </row>
    <row r="750" spans="1:83" ht="12.6" customHeight="1" x14ac:dyDescent="0.25">
      <c r="A750" s="209" t="str">
        <f>RIGHT($C$83,3)&amp;"*"&amp;RIGHT($C$82,4)&amp;"*"&amp;S$55&amp;"*"&amp;"A"</f>
        <v>130*2017*7050*A</v>
      </c>
      <c r="B750" s="274"/>
      <c r="C750" s="276">
        <f>ROUND(S60,2)</f>
        <v>15.12</v>
      </c>
      <c r="D750" s="274">
        <f>ROUND(S61,0)</f>
        <v>755569</v>
      </c>
      <c r="E750" s="274">
        <f>ROUND(S62,0)</f>
        <v>190556</v>
      </c>
      <c r="F750" s="274">
        <f>ROUND(S63,0)</f>
        <v>43917</v>
      </c>
      <c r="G750" s="274">
        <f>ROUND(S64,0)</f>
        <v>386077</v>
      </c>
      <c r="H750" s="274">
        <f>ROUND(S65,0)</f>
        <v>483</v>
      </c>
      <c r="I750" s="274">
        <f>ROUND(S66,0)</f>
        <v>408532</v>
      </c>
      <c r="J750" s="274">
        <f>ROUND(S67,0)</f>
        <v>98976</v>
      </c>
      <c r="K750" s="274">
        <f>ROUND(S68,0)</f>
        <v>250728</v>
      </c>
      <c r="L750" s="274">
        <f>ROUND(S69,0)</f>
        <v>0</v>
      </c>
      <c r="M750" s="274">
        <f>ROUND(S70,0)</f>
        <v>805</v>
      </c>
      <c r="N750" s="274">
        <f>ROUND(S75,0)</f>
        <v>1563019</v>
      </c>
      <c r="O750" s="274">
        <f>ROUND(S73,0)</f>
        <v>1570895</v>
      </c>
      <c r="P750" s="274">
        <f>IF(S76&gt;0,ROUND(S76,0),0)</f>
        <v>0</v>
      </c>
      <c r="Q750" s="274">
        <f>IF(S77&gt;0,ROUND(S77,0),0)</f>
        <v>0</v>
      </c>
      <c r="R750" s="274">
        <f>IF(S78&gt;0,ROUND(S78,0),0)</f>
        <v>0</v>
      </c>
      <c r="S750" s="274">
        <f>IF(S79&gt;0,ROUND(S79,0),0)</f>
        <v>453174</v>
      </c>
      <c r="T750" s="276">
        <f>IF(S80&gt;0,ROUND(S80,2),0)</f>
        <v>0</v>
      </c>
      <c r="U750" s="274"/>
      <c r="V750" s="275"/>
      <c r="W750" s="274"/>
      <c r="X750" s="274"/>
      <c r="Y750" s="274">
        <f t="shared" si="21"/>
        <v>393233</v>
      </c>
      <c r="Z750" s="275"/>
      <c r="AA750" s="275"/>
      <c r="AB750" s="275"/>
      <c r="AC750" s="275"/>
      <c r="AD750" s="275"/>
      <c r="AE750" s="275"/>
      <c r="AF750" s="275"/>
      <c r="AG750" s="275"/>
      <c r="AH750" s="275"/>
      <c r="AI750" s="275"/>
      <c r="AJ750" s="275"/>
      <c r="AK750" s="275"/>
      <c r="AL750" s="275"/>
      <c r="AM750" s="275"/>
      <c r="AN750" s="275"/>
      <c r="AO750" s="275"/>
      <c r="AP750" s="275"/>
      <c r="AQ750" s="275"/>
      <c r="AR750" s="275"/>
      <c r="AS750" s="275"/>
      <c r="AT750" s="275"/>
      <c r="AU750" s="275"/>
      <c r="AV750" s="275"/>
      <c r="AW750" s="275"/>
      <c r="AX750" s="275"/>
      <c r="AY750" s="275"/>
      <c r="AZ750" s="275"/>
      <c r="BA750" s="275"/>
      <c r="BB750" s="275"/>
      <c r="BC750" s="275"/>
      <c r="BD750" s="275"/>
      <c r="BE750" s="275"/>
      <c r="BF750" s="275"/>
      <c r="BG750" s="275"/>
      <c r="BH750" s="275"/>
      <c r="BI750" s="275"/>
      <c r="BJ750" s="275"/>
      <c r="BK750" s="275"/>
      <c r="BL750" s="275"/>
      <c r="BM750" s="275"/>
      <c r="BN750" s="275"/>
      <c r="BO750" s="275"/>
      <c r="BP750" s="275"/>
      <c r="BQ750" s="275"/>
      <c r="BR750" s="275"/>
      <c r="BS750" s="275"/>
      <c r="BT750" s="275"/>
      <c r="BU750" s="275"/>
      <c r="BV750" s="275"/>
      <c r="BW750" s="275"/>
      <c r="BX750" s="275"/>
      <c r="BY750" s="275"/>
      <c r="BZ750" s="275"/>
      <c r="CA750" s="275"/>
      <c r="CB750" s="275"/>
      <c r="CC750" s="275"/>
      <c r="CD750" s="275"/>
      <c r="CE750" s="275"/>
    </row>
    <row r="751" spans="1:83" ht="12.6" customHeight="1" x14ac:dyDescent="0.25">
      <c r="A751" s="209" t="str">
        <f>RIGHT($C$83,3)&amp;"*"&amp;RIGHT($C$82,4)&amp;"*"&amp;T$55&amp;"*"&amp;"A"</f>
        <v>130*2017*7060*A</v>
      </c>
      <c r="B751" s="274"/>
      <c r="C751" s="276">
        <f>ROUND(T60,2)</f>
        <v>1.67</v>
      </c>
      <c r="D751" s="274">
        <f>ROUND(T61,0)</f>
        <v>196246</v>
      </c>
      <c r="E751" s="274">
        <f>ROUND(T62,0)</f>
        <v>49542</v>
      </c>
      <c r="F751" s="274">
        <f>ROUND(T63,0)</f>
        <v>0</v>
      </c>
      <c r="G751" s="274">
        <f>ROUND(T64,0)</f>
        <v>790968</v>
      </c>
      <c r="H751" s="274">
        <f>ROUND(T65,0)</f>
        <v>1804</v>
      </c>
      <c r="I751" s="274">
        <f>ROUND(T66,0)</f>
        <v>72516</v>
      </c>
      <c r="J751" s="274">
        <f>ROUND(T67,0)</f>
        <v>65079</v>
      </c>
      <c r="K751" s="274">
        <f>ROUND(T68,0)</f>
        <v>15692</v>
      </c>
      <c r="L751" s="274">
        <f>ROUND(T69,0)</f>
        <v>0</v>
      </c>
      <c r="M751" s="274">
        <f>ROUND(T70,0)</f>
        <v>0</v>
      </c>
      <c r="N751" s="274">
        <f>ROUND(T75,0)</f>
        <v>1324820</v>
      </c>
      <c r="O751" s="274">
        <f>ROUND(T73,0)</f>
        <v>1289019</v>
      </c>
      <c r="P751" s="274">
        <f>IF(T76&gt;0,ROUND(T76,0),0)</f>
        <v>0</v>
      </c>
      <c r="Q751" s="274">
        <f>IF(T77&gt;0,ROUND(T77,0),0)</f>
        <v>0</v>
      </c>
      <c r="R751" s="274">
        <f>IF(T78&gt;0,ROUND(T78,0),0)</f>
        <v>0</v>
      </c>
      <c r="S751" s="274">
        <f>IF(T79&gt;0,ROUND(T79,0),0)</f>
        <v>0</v>
      </c>
      <c r="T751" s="276">
        <f>IF(T80&gt;0,ROUND(T80,2),0)</f>
        <v>1.65</v>
      </c>
      <c r="U751" s="274"/>
      <c r="V751" s="275"/>
      <c r="W751" s="274"/>
      <c r="X751" s="274"/>
      <c r="Y751" s="274">
        <f t="shared" si="21"/>
        <v>235997</v>
      </c>
      <c r="Z751" s="275"/>
      <c r="AA751" s="275"/>
      <c r="AB751" s="275"/>
      <c r="AC751" s="275"/>
      <c r="AD751" s="275"/>
      <c r="AE751" s="275"/>
      <c r="AF751" s="275"/>
      <c r="AG751" s="275"/>
      <c r="AH751" s="275"/>
      <c r="AI751" s="275"/>
      <c r="AJ751" s="275"/>
      <c r="AK751" s="275"/>
      <c r="AL751" s="275"/>
      <c r="AM751" s="275"/>
      <c r="AN751" s="275"/>
      <c r="AO751" s="275"/>
      <c r="AP751" s="275"/>
      <c r="AQ751" s="275"/>
      <c r="AR751" s="275"/>
      <c r="AS751" s="275"/>
      <c r="AT751" s="275"/>
      <c r="AU751" s="275"/>
      <c r="AV751" s="275"/>
      <c r="AW751" s="275"/>
      <c r="AX751" s="275"/>
      <c r="AY751" s="275"/>
      <c r="AZ751" s="275"/>
      <c r="BA751" s="275"/>
      <c r="BB751" s="275"/>
      <c r="BC751" s="275"/>
      <c r="BD751" s="275"/>
      <c r="BE751" s="275"/>
      <c r="BF751" s="275"/>
      <c r="BG751" s="275"/>
      <c r="BH751" s="275"/>
      <c r="BI751" s="275"/>
      <c r="BJ751" s="275"/>
      <c r="BK751" s="275"/>
      <c r="BL751" s="275"/>
      <c r="BM751" s="275"/>
      <c r="BN751" s="275"/>
      <c r="BO751" s="275"/>
      <c r="BP751" s="275"/>
      <c r="BQ751" s="275"/>
      <c r="BR751" s="275"/>
      <c r="BS751" s="275"/>
      <c r="BT751" s="275"/>
      <c r="BU751" s="275"/>
      <c r="BV751" s="275"/>
      <c r="BW751" s="275"/>
      <c r="BX751" s="275"/>
      <c r="BY751" s="275"/>
      <c r="BZ751" s="275"/>
      <c r="CA751" s="275"/>
      <c r="CB751" s="275"/>
      <c r="CC751" s="275"/>
      <c r="CD751" s="275"/>
      <c r="CE751" s="275"/>
    </row>
    <row r="752" spans="1:83" ht="12.6" customHeight="1" x14ac:dyDescent="0.25">
      <c r="A752" s="209" t="str">
        <f>RIGHT($C$83,3)&amp;"*"&amp;RIGHT($C$82,4)&amp;"*"&amp;U$55&amp;"*"&amp;"A"</f>
        <v>130*2017*7070*A</v>
      </c>
      <c r="B752" s="274">
        <f>ROUND(U59,0)</f>
        <v>859418</v>
      </c>
      <c r="C752" s="276">
        <f>ROUND(U60,2)</f>
        <v>92.86</v>
      </c>
      <c r="D752" s="274">
        <f>ROUND(U61,0)</f>
        <v>5227329</v>
      </c>
      <c r="E752" s="274">
        <f>ROUND(U62,0)</f>
        <v>1318673</v>
      </c>
      <c r="F752" s="274">
        <f>ROUND(U63,0)</f>
        <v>559269</v>
      </c>
      <c r="G752" s="274">
        <f>ROUND(U64,0)</f>
        <v>1972379</v>
      </c>
      <c r="H752" s="274">
        <f>ROUND(U65,0)</f>
        <v>16958</v>
      </c>
      <c r="I752" s="274">
        <f>ROUND(U66,0)</f>
        <v>4396997</v>
      </c>
      <c r="J752" s="274">
        <f>ROUND(U67,0)</f>
        <v>163159</v>
      </c>
      <c r="K752" s="274">
        <f>ROUND(U68,0)</f>
        <v>81080</v>
      </c>
      <c r="L752" s="274">
        <f>ROUND(U69,0)</f>
        <v>6194</v>
      </c>
      <c r="M752" s="274">
        <f>ROUND(U70,0)</f>
        <v>42791</v>
      </c>
      <c r="N752" s="274">
        <f>ROUND(U75,0)</f>
        <v>70057266</v>
      </c>
      <c r="O752" s="274">
        <f>ROUND(U73,0)</f>
        <v>31579596</v>
      </c>
      <c r="P752" s="274">
        <f>IF(U76&gt;0,ROUND(U76,0),0)</f>
        <v>13550</v>
      </c>
      <c r="Q752" s="274">
        <f>IF(U77&gt;0,ROUND(U77,0),0)</f>
        <v>0</v>
      </c>
      <c r="R752" s="274">
        <f>IF(U78&gt;0,ROUND(U78,0),0)</f>
        <v>3619</v>
      </c>
      <c r="S752" s="274">
        <f>IF(U79&gt;0,ROUND(U79,0),0)</f>
        <v>19823</v>
      </c>
      <c r="T752" s="276">
        <f>IF(U80&gt;0,ROUND(U80,2),0)</f>
        <v>0</v>
      </c>
      <c r="U752" s="274"/>
      <c r="V752" s="275"/>
      <c r="W752" s="274"/>
      <c r="X752" s="274"/>
      <c r="Y752" s="274">
        <f t="shared" si="21"/>
        <v>5376348</v>
      </c>
      <c r="Z752" s="275"/>
      <c r="AA752" s="275"/>
      <c r="AB752" s="275"/>
      <c r="AC752" s="275"/>
      <c r="AD752" s="275"/>
      <c r="AE752" s="275"/>
      <c r="AF752" s="275"/>
      <c r="AG752" s="275"/>
      <c r="AH752" s="275"/>
      <c r="AI752" s="275"/>
      <c r="AJ752" s="275"/>
      <c r="AK752" s="275"/>
      <c r="AL752" s="275"/>
      <c r="AM752" s="275"/>
      <c r="AN752" s="275"/>
      <c r="AO752" s="275"/>
      <c r="AP752" s="275"/>
      <c r="AQ752" s="275"/>
      <c r="AR752" s="275"/>
      <c r="AS752" s="275"/>
      <c r="AT752" s="275"/>
      <c r="AU752" s="275"/>
      <c r="AV752" s="275"/>
      <c r="AW752" s="275"/>
      <c r="AX752" s="275"/>
      <c r="AY752" s="275"/>
      <c r="AZ752" s="275"/>
      <c r="BA752" s="275"/>
      <c r="BB752" s="275"/>
      <c r="BC752" s="275"/>
      <c r="BD752" s="275"/>
      <c r="BE752" s="275"/>
      <c r="BF752" s="275"/>
      <c r="BG752" s="275"/>
      <c r="BH752" s="275"/>
      <c r="BI752" s="275"/>
      <c r="BJ752" s="275"/>
      <c r="BK752" s="275"/>
      <c r="BL752" s="275"/>
      <c r="BM752" s="275"/>
      <c r="BN752" s="275"/>
      <c r="BO752" s="275"/>
      <c r="BP752" s="275"/>
      <c r="BQ752" s="275"/>
      <c r="BR752" s="275"/>
      <c r="BS752" s="275"/>
      <c r="BT752" s="275"/>
      <c r="BU752" s="275"/>
      <c r="BV752" s="275"/>
      <c r="BW752" s="275"/>
      <c r="BX752" s="275"/>
      <c r="BY752" s="275"/>
      <c r="BZ752" s="275"/>
      <c r="CA752" s="275"/>
      <c r="CB752" s="275"/>
      <c r="CC752" s="275"/>
      <c r="CD752" s="275"/>
      <c r="CE752" s="275"/>
    </row>
    <row r="753" spans="1:83" ht="12.6" customHeight="1" x14ac:dyDescent="0.25">
      <c r="A753" s="209" t="str">
        <f>RIGHT($C$83,3)&amp;"*"&amp;RIGHT($C$82,4)&amp;"*"&amp;V$55&amp;"*"&amp;"A"</f>
        <v>130*2017*7110*A</v>
      </c>
      <c r="B753" s="274">
        <f>ROUND(V59,0)</f>
        <v>21780</v>
      </c>
      <c r="C753" s="276">
        <f>ROUND(V60,2)</f>
        <v>7.08</v>
      </c>
      <c r="D753" s="274">
        <f>ROUND(V61,0)</f>
        <v>373214</v>
      </c>
      <c r="E753" s="274">
        <f>ROUND(V62,0)</f>
        <v>94085</v>
      </c>
      <c r="F753" s="274">
        <f>ROUND(V63,0)</f>
        <v>168896</v>
      </c>
      <c r="G753" s="274">
        <f>ROUND(V64,0)</f>
        <v>13774</v>
      </c>
      <c r="H753" s="274">
        <f>ROUND(V65,0)</f>
        <v>0</v>
      </c>
      <c r="I753" s="274">
        <f>ROUND(V66,0)</f>
        <v>4534</v>
      </c>
      <c r="J753" s="274">
        <f>ROUND(V67,0)</f>
        <v>82817</v>
      </c>
      <c r="K753" s="274">
        <f>ROUND(V68,0)</f>
        <v>98</v>
      </c>
      <c r="L753" s="274">
        <f>ROUND(V69,0)</f>
        <v>129</v>
      </c>
      <c r="M753" s="274">
        <f>ROUND(V70,0)</f>
        <v>0</v>
      </c>
      <c r="N753" s="274">
        <f>ROUND(V75,0)</f>
        <v>8128191</v>
      </c>
      <c r="O753" s="274">
        <f>ROUND(V73,0)</f>
        <v>3301846</v>
      </c>
      <c r="P753" s="274">
        <f>IF(V76&gt;0,ROUND(V76,0),0)</f>
        <v>523</v>
      </c>
      <c r="Q753" s="274">
        <f>IF(V77&gt;0,ROUND(V77,0),0)</f>
        <v>0</v>
      </c>
      <c r="R753" s="274">
        <f>IF(V78&gt;0,ROUND(V78,0),0)</f>
        <v>253</v>
      </c>
      <c r="S753" s="274">
        <f>IF(V79&gt;0,ROUND(V79,0),0)</f>
        <v>3909</v>
      </c>
      <c r="T753" s="276">
        <f>IF(V80&gt;0,ROUND(V80,2),0)</f>
        <v>0</v>
      </c>
      <c r="U753" s="274"/>
      <c r="V753" s="275"/>
      <c r="W753" s="274"/>
      <c r="X753" s="274"/>
      <c r="Y753" s="274">
        <f t="shared" si="21"/>
        <v>427634</v>
      </c>
      <c r="Z753" s="275"/>
      <c r="AA753" s="275"/>
      <c r="AB753" s="275"/>
      <c r="AC753" s="275"/>
      <c r="AD753" s="275"/>
      <c r="AE753" s="275"/>
      <c r="AF753" s="275"/>
      <c r="AG753" s="275"/>
      <c r="AH753" s="275"/>
      <c r="AI753" s="275"/>
      <c r="AJ753" s="275"/>
      <c r="AK753" s="275"/>
      <c r="AL753" s="275"/>
      <c r="AM753" s="275"/>
      <c r="AN753" s="275"/>
      <c r="AO753" s="275"/>
      <c r="AP753" s="275"/>
      <c r="AQ753" s="275"/>
      <c r="AR753" s="275"/>
      <c r="AS753" s="275"/>
      <c r="AT753" s="275"/>
      <c r="AU753" s="275"/>
      <c r="AV753" s="275"/>
      <c r="AW753" s="275"/>
      <c r="AX753" s="275"/>
      <c r="AY753" s="275"/>
      <c r="AZ753" s="275"/>
      <c r="BA753" s="275"/>
      <c r="BB753" s="275"/>
      <c r="BC753" s="275"/>
      <c r="BD753" s="275"/>
      <c r="BE753" s="275"/>
      <c r="BF753" s="275"/>
      <c r="BG753" s="275"/>
      <c r="BH753" s="275"/>
      <c r="BI753" s="275"/>
      <c r="BJ753" s="275"/>
      <c r="BK753" s="275"/>
      <c r="BL753" s="275"/>
      <c r="BM753" s="275"/>
      <c r="BN753" s="275"/>
      <c r="BO753" s="275"/>
      <c r="BP753" s="275"/>
      <c r="BQ753" s="275"/>
      <c r="BR753" s="275"/>
      <c r="BS753" s="275"/>
      <c r="BT753" s="275"/>
      <c r="BU753" s="275"/>
      <c r="BV753" s="275"/>
      <c r="BW753" s="275"/>
      <c r="BX753" s="275"/>
      <c r="BY753" s="275"/>
      <c r="BZ753" s="275"/>
      <c r="CA753" s="275"/>
      <c r="CB753" s="275"/>
      <c r="CC753" s="275"/>
      <c r="CD753" s="275"/>
      <c r="CE753" s="275"/>
    </row>
    <row r="754" spans="1:83" ht="12.6" customHeight="1" x14ac:dyDescent="0.25">
      <c r="A754" s="209" t="str">
        <f>RIGHT($C$83,3)&amp;"*"&amp;RIGHT($C$82,4)&amp;"*"&amp;W$55&amp;"*"&amp;"A"</f>
        <v>130*2017*7120*A</v>
      </c>
      <c r="B754" s="274">
        <f>ROUND(W59,0)</f>
        <v>7483</v>
      </c>
      <c r="C754" s="276">
        <f>ROUND(W60,2)</f>
        <v>9.83</v>
      </c>
      <c r="D754" s="274">
        <f>ROUND(W61,0)</f>
        <v>932346</v>
      </c>
      <c r="E754" s="274">
        <f>ROUND(W62,0)</f>
        <v>235565</v>
      </c>
      <c r="F754" s="274">
        <f>ROUND(W63,0)</f>
        <v>0</v>
      </c>
      <c r="G754" s="274">
        <f>ROUND(W64,0)</f>
        <v>182997</v>
      </c>
      <c r="H754" s="274">
        <f>ROUND(W65,0)</f>
        <v>0</v>
      </c>
      <c r="I754" s="274">
        <f>ROUND(W66,0)</f>
        <v>350809</v>
      </c>
      <c r="J754" s="274">
        <f>ROUND(W67,0)</f>
        <v>334471</v>
      </c>
      <c r="K754" s="274">
        <f>ROUND(W68,0)</f>
        <v>78551</v>
      </c>
      <c r="L754" s="274">
        <f>ROUND(W69,0)</f>
        <v>17</v>
      </c>
      <c r="M754" s="274">
        <f>ROUND(W70,0)</f>
        <v>0</v>
      </c>
      <c r="N754" s="274">
        <f>ROUND(W75,0)</f>
        <v>31450914</v>
      </c>
      <c r="O754" s="274">
        <f>ROUND(W73,0)</f>
        <v>7244184</v>
      </c>
      <c r="P754" s="274">
        <f>IF(W76&gt;0,ROUND(W76,0),0)</f>
        <v>4306</v>
      </c>
      <c r="Q754" s="274">
        <f>IF(W77&gt;0,ROUND(W77,0),0)</f>
        <v>0</v>
      </c>
      <c r="R754" s="274">
        <f>IF(W78&gt;0,ROUND(W78,0),0)</f>
        <v>885</v>
      </c>
      <c r="S754" s="274">
        <f>IF(W79&gt;0,ROUND(W79,0),0)</f>
        <v>12102</v>
      </c>
      <c r="T754" s="276">
        <f>IF(W80&gt;0,ROUND(W80,2),0)</f>
        <v>0</v>
      </c>
      <c r="U754" s="274"/>
      <c r="V754" s="275"/>
      <c r="W754" s="274"/>
      <c r="X754" s="274"/>
      <c r="Y754" s="274">
        <f t="shared" si="21"/>
        <v>1634409</v>
      </c>
      <c r="Z754" s="275"/>
      <c r="AA754" s="275"/>
      <c r="AB754" s="275"/>
      <c r="AC754" s="275"/>
      <c r="AD754" s="275"/>
      <c r="AE754" s="275"/>
      <c r="AF754" s="275"/>
      <c r="AG754" s="275"/>
      <c r="AH754" s="275"/>
      <c r="AI754" s="275"/>
      <c r="AJ754" s="275"/>
      <c r="AK754" s="275"/>
      <c r="AL754" s="275"/>
      <c r="AM754" s="275"/>
      <c r="AN754" s="275"/>
      <c r="AO754" s="275"/>
      <c r="AP754" s="275"/>
      <c r="AQ754" s="275"/>
      <c r="AR754" s="275"/>
      <c r="AS754" s="275"/>
      <c r="AT754" s="275"/>
      <c r="AU754" s="275"/>
      <c r="AV754" s="275"/>
      <c r="AW754" s="275"/>
      <c r="AX754" s="275"/>
      <c r="AY754" s="275"/>
      <c r="AZ754" s="275"/>
      <c r="BA754" s="275"/>
      <c r="BB754" s="275"/>
      <c r="BC754" s="275"/>
      <c r="BD754" s="275"/>
      <c r="BE754" s="275"/>
      <c r="BF754" s="275"/>
      <c r="BG754" s="275"/>
      <c r="BH754" s="275"/>
      <c r="BI754" s="275"/>
      <c r="BJ754" s="275"/>
      <c r="BK754" s="275"/>
      <c r="BL754" s="275"/>
      <c r="BM754" s="275"/>
      <c r="BN754" s="275"/>
      <c r="BO754" s="275"/>
      <c r="BP754" s="275"/>
      <c r="BQ754" s="275"/>
      <c r="BR754" s="275"/>
      <c r="BS754" s="275"/>
      <c r="BT754" s="275"/>
      <c r="BU754" s="275"/>
      <c r="BV754" s="275"/>
      <c r="BW754" s="275"/>
      <c r="BX754" s="275"/>
      <c r="BY754" s="275"/>
      <c r="BZ754" s="275"/>
      <c r="CA754" s="275"/>
      <c r="CB754" s="275"/>
      <c r="CC754" s="275"/>
      <c r="CD754" s="275"/>
      <c r="CE754" s="275"/>
    </row>
    <row r="755" spans="1:83" ht="12.6" customHeight="1" x14ac:dyDescent="0.25">
      <c r="A755" s="209" t="str">
        <f>RIGHT($C$83,3)&amp;"*"&amp;RIGHT($C$82,4)&amp;"*"&amp;X$55&amp;"*"&amp;"A"</f>
        <v>130*2017*7130*A</v>
      </c>
      <c r="B755" s="274">
        <f>ROUND(X59,0)</f>
        <v>18577</v>
      </c>
      <c r="C755" s="276">
        <f>ROUND(X60,2)</f>
        <v>9.94</v>
      </c>
      <c r="D755" s="274">
        <f>ROUND(X61,0)</f>
        <v>868632</v>
      </c>
      <c r="E755" s="274">
        <f>ROUND(X62,0)</f>
        <v>219096</v>
      </c>
      <c r="F755" s="274">
        <f>ROUND(X63,0)</f>
        <v>0</v>
      </c>
      <c r="G755" s="274">
        <f>ROUND(X64,0)</f>
        <v>182379</v>
      </c>
      <c r="H755" s="274">
        <f>ROUND(X65,0)</f>
        <v>0</v>
      </c>
      <c r="I755" s="274">
        <f>ROUND(X66,0)</f>
        <v>314971</v>
      </c>
      <c r="J755" s="274">
        <f>ROUND(X67,0)</f>
        <v>146371</v>
      </c>
      <c r="K755" s="274">
        <f>ROUND(X68,0)</f>
        <v>144</v>
      </c>
      <c r="L755" s="274">
        <f>ROUND(X69,0)</f>
        <v>15</v>
      </c>
      <c r="M755" s="274">
        <f>ROUND(X70,0)</f>
        <v>0</v>
      </c>
      <c r="N755" s="274">
        <f>ROUND(X75,0)</f>
        <v>56388975</v>
      </c>
      <c r="O755" s="274">
        <f>ROUND(X73,0)</f>
        <v>19652109</v>
      </c>
      <c r="P755" s="274">
        <f>IF(X76&gt;0,ROUND(X76,0),0)</f>
        <v>1417</v>
      </c>
      <c r="Q755" s="274">
        <f>IF(X77&gt;0,ROUND(X77,0),0)</f>
        <v>0</v>
      </c>
      <c r="R755" s="274">
        <f>IF(X78&gt;0,ROUND(X78,0),0)</f>
        <v>685</v>
      </c>
      <c r="S755" s="274">
        <f>IF(X79&gt;0,ROUND(X79,0),0)</f>
        <v>0</v>
      </c>
      <c r="T755" s="276">
        <f>IF(X80&gt;0,ROUND(X80,2),0)</f>
        <v>0</v>
      </c>
      <c r="U755" s="274"/>
      <c r="V755" s="275"/>
      <c r="W755" s="274"/>
      <c r="X755" s="274"/>
      <c r="Y755" s="274">
        <f t="shared" si="21"/>
        <v>2208532</v>
      </c>
      <c r="Z755" s="275"/>
      <c r="AA755" s="275"/>
      <c r="AB755" s="275"/>
      <c r="AC755" s="275"/>
      <c r="AD755" s="275"/>
      <c r="AE755" s="275"/>
      <c r="AF755" s="275"/>
      <c r="AG755" s="275"/>
      <c r="AH755" s="275"/>
      <c r="AI755" s="275"/>
      <c r="AJ755" s="275"/>
      <c r="AK755" s="275"/>
      <c r="AL755" s="275"/>
      <c r="AM755" s="275"/>
      <c r="AN755" s="275"/>
      <c r="AO755" s="275"/>
      <c r="AP755" s="275"/>
      <c r="AQ755" s="275"/>
      <c r="AR755" s="275"/>
      <c r="AS755" s="275"/>
      <c r="AT755" s="275"/>
      <c r="AU755" s="275"/>
      <c r="AV755" s="275"/>
      <c r="AW755" s="275"/>
      <c r="AX755" s="275"/>
      <c r="AY755" s="275"/>
      <c r="AZ755" s="275"/>
      <c r="BA755" s="275"/>
      <c r="BB755" s="275"/>
      <c r="BC755" s="275"/>
      <c r="BD755" s="275"/>
      <c r="BE755" s="275"/>
      <c r="BF755" s="275"/>
      <c r="BG755" s="275"/>
      <c r="BH755" s="275"/>
      <c r="BI755" s="275"/>
      <c r="BJ755" s="275"/>
      <c r="BK755" s="275"/>
      <c r="BL755" s="275"/>
      <c r="BM755" s="275"/>
      <c r="BN755" s="275"/>
      <c r="BO755" s="275"/>
      <c r="BP755" s="275"/>
      <c r="BQ755" s="275"/>
      <c r="BR755" s="275"/>
      <c r="BS755" s="275"/>
      <c r="BT755" s="275"/>
      <c r="BU755" s="275"/>
      <c r="BV755" s="275"/>
      <c r="BW755" s="275"/>
      <c r="BX755" s="275"/>
      <c r="BY755" s="275"/>
      <c r="BZ755" s="275"/>
      <c r="CA755" s="275"/>
      <c r="CB755" s="275"/>
      <c r="CC755" s="275"/>
      <c r="CD755" s="275"/>
      <c r="CE755" s="275"/>
    </row>
    <row r="756" spans="1:83" ht="12.6" customHeight="1" x14ac:dyDescent="0.25">
      <c r="A756" s="209" t="str">
        <f>RIGHT($C$83,3)&amp;"*"&amp;RIGHT($C$82,4)&amp;"*"&amp;Y$55&amp;"*"&amp;"A"</f>
        <v>130*2017*7140*A</v>
      </c>
      <c r="B756" s="274">
        <f>ROUND(Y59,0)</f>
        <v>77345</v>
      </c>
      <c r="C756" s="276">
        <f>ROUND(Y60,2)</f>
        <v>75.91</v>
      </c>
      <c r="D756" s="274">
        <f>ROUND(Y61,0)</f>
        <v>6166064</v>
      </c>
      <c r="E756" s="274">
        <f>ROUND(Y62,0)</f>
        <v>1555362</v>
      </c>
      <c r="F756" s="274">
        <f>ROUND(Y63,0)</f>
        <v>240908</v>
      </c>
      <c r="G756" s="274">
        <f>ROUND(Y64,0)</f>
        <v>3574147</v>
      </c>
      <c r="H756" s="274">
        <f>ROUND(Y65,0)</f>
        <v>34113</v>
      </c>
      <c r="I756" s="274">
        <f>ROUND(Y66,0)</f>
        <v>2600892</v>
      </c>
      <c r="J756" s="274">
        <f>ROUND(Y67,0)</f>
        <v>1407087</v>
      </c>
      <c r="K756" s="274">
        <f>ROUND(Y68,0)</f>
        <v>243013</v>
      </c>
      <c r="L756" s="274">
        <f>ROUND(Y69,0)</f>
        <v>26838</v>
      </c>
      <c r="M756" s="274">
        <f>ROUND(Y70,0)</f>
        <v>137592</v>
      </c>
      <c r="N756" s="274">
        <f>ROUND(Y75,0)</f>
        <v>99358129</v>
      </c>
      <c r="O756" s="274">
        <f>ROUND(Y73,0)</f>
        <v>30120845</v>
      </c>
      <c r="P756" s="274">
        <f>IF(Y76&gt;0,ROUND(Y76,0),0)</f>
        <v>31547</v>
      </c>
      <c r="Q756" s="274">
        <f>IF(Y77&gt;0,ROUND(Y77,0),0)</f>
        <v>0</v>
      </c>
      <c r="R756" s="274">
        <f>IF(Y78&gt;0,ROUND(Y78,0),0)</f>
        <v>6740</v>
      </c>
      <c r="S756" s="274">
        <f>IF(Y79&gt;0,ROUND(Y79,0),0)</f>
        <v>197958</v>
      </c>
      <c r="T756" s="276">
        <f>IF(Y80&gt;0,ROUND(Y80,2),0)</f>
        <v>10.52</v>
      </c>
      <c r="U756" s="274"/>
      <c r="V756" s="275"/>
      <c r="W756" s="274"/>
      <c r="X756" s="274"/>
      <c r="Y756" s="274">
        <f t="shared" si="21"/>
        <v>7994100</v>
      </c>
      <c r="Z756" s="275"/>
      <c r="AA756" s="275"/>
      <c r="AB756" s="275"/>
      <c r="AC756" s="275"/>
      <c r="AD756" s="275"/>
      <c r="AE756" s="275"/>
      <c r="AF756" s="275"/>
      <c r="AG756" s="275"/>
      <c r="AH756" s="275"/>
      <c r="AI756" s="275"/>
      <c r="AJ756" s="275"/>
      <c r="AK756" s="275"/>
      <c r="AL756" s="275"/>
      <c r="AM756" s="275"/>
      <c r="AN756" s="275"/>
      <c r="AO756" s="275"/>
      <c r="AP756" s="275"/>
      <c r="AQ756" s="275"/>
      <c r="AR756" s="275"/>
      <c r="AS756" s="275"/>
      <c r="AT756" s="275"/>
      <c r="AU756" s="275"/>
      <c r="AV756" s="275"/>
      <c r="AW756" s="275"/>
      <c r="AX756" s="275"/>
      <c r="AY756" s="275"/>
      <c r="AZ756" s="275"/>
      <c r="BA756" s="275"/>
      <c r="BB756" s="275"/>
      <c r="BC756" s="275"/>
      <c r="BD756" s="275"/>
      <c r="BE756" s="275"/>
      <c r="BF756" s="275"/>
      <c r="BG756" s="275"/>
      <c r="BH756" s="275"/>
      <c r="BI756" s="275"/>
      <c r="BJ756" s="275"/>
      <c r="BK756" s="275"/>
      <c r="BL756" s="275"/>
      <c r="BM756" s="275"/>
      <c r="BN756" s="275"/>
      <c r="BO756" s="275"/>
      <c r="BP756" s="275"/>
      <c r="BQ756" s="275"/>
      <c r="BR756" s="275"/>
      <c r="BS756" s="275"/>
      <c r="BT756" s="275"/>
      <c r="BU756" s="275"/>
      <c r="BV756" s="275"/>
      <c r="BW756" s="275"/>
      <c r="BX756" s="275"/>
      <c r="BY756" s="275"/>
      <c r="BZ756" s="275"/>
      <c r="CA756" s="275"/>
      <c r="CB756" s="275"/>
      <c r="CC756" s="275"/>
      <c r="CD756" s="275"/>
      <c r="CE756" s="275"/>
    </row>
    <row r="757" spans="1:83" ht="12.6" customHeight="1" x14ac:dyDescent="0.25">
      <c r="A757" s="209" t="str">
        <f>RIGHT($C$83,3)&amp;"*"&amp;RIGHT($C$82,4)&amp;"*"&amp;Z$55&amp;"*"&amp;"A"</f>
        <v>130*2017*7150*A</v>
      </c>
      <c r="B757" s="274">
        <f>ROUND(Z59,0)</f>
        <v>0</v>
      </c>
      <c r="C757" s="276">
        <f>ROUND(Z60,2)</f>
        <v>0</v>
      </c>
      <c r="D757" s="274">
        <f>ROUND(Z61,0)</f>
        <v>0</v>
      </c>
      <c r="E757" s="274">
        <f>ROUND(Z62,0)</f>
        <v>0</v>
      </c>
      <c r="F757" s="274">
        <f>ROUND(Z63,0)</f>
        <v>0</v>
      </c>
      <c r="G757" s="274">
        <f>ROUND(Z64,0)</f>
        <v>5398</v>
      </c>
      <c r="H757" s="274">
        <f>ROUND(Z65,0)</f>
        <v>2225</v>
      </c>
      <c r="I757" s="274">
        <f>ROUND(Z66,0)</f>
        <v>68074</v>
      </c>
      <c r="J757" s="274">
        <f>ROUND(Z67,0)</f>
        <v>218441</v>
      </c>
      <c r="K757" s="274">
        <f>ROUND(Z68,0)</f>
        <v>50897</v>
      </c>
      <c r="L757" s="274">
        <f>ROUND(Z69,0)</f>
        <v>0</v>
      </c>
      <c r="M757" s="274">
        <f>ROUND(Z70,0)</f>
        <v>446590</v>
      </c>
      <c r="N757" s="274">
        <f>ROUND(Z75,0)</f>
        <v>114645</v>
      </c>
      <c r="O757" s="274">
        <f>ROUND(Z73,0)</f>
        <v>114645</v>
      </c>
      <c r="P757" s="274">
        <f>IF(Z76&gt;0,ROUND(Z76,0),0)</f>
        <v>0</v>
      </c>
      <c r="Q757" s="274">
        <f>IF(Z77&gt;0,ROUND(Z77,0),0)</f>
        <v>0</v>
      </c>
      <c r="R757" s="274">
        <f>IF(Z78&gt;0,ROUND(Z78,0),0)</f>
        <v>0</v>
      </c>
      <c r="S757" s="274">
        <f>IF(Z79&gt;0,ROUND(Z79,0),0)</f>
        <v>0</v>
      </c>
      <c r="T757" s="276">
        <f>IF(Z80&gt;0,ROUND(Z80,2),0)</f>
        <v>0</v>
      </c>
      <c r="U757" s="274"/>
      <c r="V757" s="275"/>
      <c r="W757" s="274"/>
      <c r="X757" s="274"/>
      <c r="Y757" s="274">
        <f t="shared" si="21"/>
        <v>-6999</v>
      </c>
      <c r="Z757" s="275"/>
      <c r="AA757" s="275"/>
      <c r="AB757" s="275"/>
      <c r="AC757" s="275"/>
      <c r="AD757" s="275"/>
      <c r="AE757" s="275"/>
      <c r="AF757" s="275"/>
      <c r="AG757" s="275"/>
      <c r="AH757" s="275"/>
      <c r="AI757" s="275"/>
      <c r="AJ757" s="275"/>
      <c r="AK757" s="275"/>
      <c r="AL757" s="275"/>
      <c r="AM757" s="275"/>
      <c r="AN757" s="275"/>
      <c r="AO757" s="275"/>
      <c r="AP757" s="275"/>
      <c r="AQ757" s="275"/>
      <c r="AR757" s="275"/>
      <c r="AS757" s="275"/>
      <c r="AT757" s="275"/>
      <c r="AU757" s="275"/>
      <c r="AV757" s="275"/>
      <c r="AW757" s="275"/>
      <c r="AX757" s="275"/>
      <c r="AY757" s="275"/>
      <c r="AZ757" s="275"/>
      <c r="BA757" s="275"/>
      <c r="BB757" s="275"/>
      <c r="BC757" s="275"/>
      <c r="BD757" s="275"/>
      <c r="BE757" s="275"/>
      <c r="BF757" s="275"/>
      <c r="BG757" s="275"/>
      <c r="BH757" s="275"/>
      <c r="BI757" s="275"/>
      <c r="BJ757" s="275"/>
      <c r="BK757" s="275"/>
      <c r="BL757" s="275"/>
      <c r="BM757" s="275"/>
      <c r="BN757" s="275"/>
      <c r="BO757" s="275"/>
      <c r="BP757" s="275"/>
      <c r="BQ757" s="275"/>
      <c r="BR757" s="275"/>
      <c r="BS757" s="275"/>
      <c r="BT757" s="275"/>
      <c r="BU757" s="275"/>
      <c r="BV757" s="275"/>
      <c r="BW757" s="275"/>
      <c r="BX757" s="275"/>
      <c r="BY757" s="275"/>
      <c r="BZ757" s="275"/>
      <c r="CA757" s="275"/>
      <c r="CB757" s="275"/>
      <c r="CC757" s="275"/>
      <c r="CD757" s="275"/>
      <c r="CE757" s="275"/>
    </row>
    <row r="758" spans="1:83" ht="12.6" customHeight="1" x14ac:dyDescent="0.25">
      <c r="A758" s="209" t="str">
        <f>RIGHT($C$83,3)&amp;"*"&amp;RIGHT($C$82,4)&amp;"*"&amp;AA$55&amp;"*"&amp;"A"</f>
        <v>130*2017*7160*A</v>
      </c>
      <c r="B758" s="274">
        <f>ROUND(AA59,0)</f>
        <v>849</v>
      </c>
      <c r="C758" s="276">
        <f>ROUND(AA60,2)</f>
        <v>2.25</v>
      </c>
      <c r="D758" s="274">
        <f>ROUND(AA61,0)</f>
        <v>219897</v>
      </c>
      <c r="E758" s="274">
        <f>ROUND(AA62,0)</f>
        <v>55623</v>
      </c>
      <c r="F758" s="274">
        <f>ROUND(AA63,0)</f>
        <v>0</v>
      </c>
      <c r="G758" s="274">
        <f>ROUND(AA64,0)</f>
        <v>163201</v>
      </c>
      <c r="H758" s="274">
        <f>ROUND(AA65,0)</f>
        <v>0</v>
      </c>
      <c r="I758" s="274">
        <f>ROUND(AA66,0)</f>
        <v>78166</v>
      </c>
      <c r="J758" s="274">
        <f>ROUND(AA67,0)</f>
        <v>0</v>
      </c>
      <c r="K758" s="274">
        <f>ROUND(AA68,0)</f>
        <v>0</v>
      </c>
      <c r="L758" s="274">
        <f>ROUND(AA69,0)</f>
        <v>0</v>
      </c>
      <c r="M758" s="274">
        <f>ROUND(AA70,0)</f>
        <v>0</v>
      </c>
      <c r="N758" s="274">
        <f>ROUND(AA75,0)</f>
        <v>2118649</v>
      </c>
      <c r="O758" s="274">
        <f>ROUND(AA73,0)</f>
        <v>414040</v>
      </c>
      <c r="P758" s="274">
        <f>IF(AA76&gt;0,ROUND(AA76,0),0)</f>
        <v>859</v>
      </c>
      <c r="Q758" s="274">
        <f>IF(AA77&gt;0,ROUND(AA77,0),0)</f>
        <v>0</v>
      </c>
      <c r="R758" s="274">
        <f>IF(AA78&gt;0,ROUND(AA78,0),0)</f>
        <v>415</v>
      </c>
      <c r="S758" s="274">
        <f>IF(AA79&gt;0,ROUND(AA79,0),0)</f>
        <v>0</v>
      </c>
      <c r="T758" s="276">
        <f>IF(AA80&gt;0,ROUND(AA80,2),0)</f>
        <v>0</v>
      </c>
      <c r="U758" s="274"/>
      <c r="V758" s="275"/>
      <c r="W758" s="274"/>
      <c r="X758" s="274"/>
      <c r="Y758" s="274">
        <f t="shared" si="21"/>
        <v>217926</v>
      </c>
      <c r="Z758" s="275"/>
      <c r="AA758" s="275"/>
      <c r="AB758" s="275"/>
      <c r="AC758" s="275"/>
      <c r="AD758" s="275"/>
      <c r="AE758" s="275"/>
      <c r="AF758" s="275"/>
      <c r="AG758" s="275"/>
      <c r="AH758" s="275"/>
      <c r="AI758" s="275"/>
      <c r="AJ758" s="275"/>
      <c r="AK758" s="275"/>
      <c r="AL758" s="275"/>
      <c r="AM758" s="275"/>
      <c r="AN758" s="275"/>
      <c r="AO758" s="275"/>
      <c r="AP758" s="275"/>
      <c r="AQ758" s="275"/>
      <c r="AR758" s="275"/>
      <c r="AS758" s="275"/>
      <c r="AT758" s="275"/>
      <c r="AU758" s="275"/>
      <c r="AV758" s="275"/>
      <c r="AW758" s="275"/>
      <c r="AX758" s="275"/>
      <c r="AY758" s="275"/>
      <c r="AZ758" s="275"/>
      <c r="BA758" s="275"/>
      <c r="BB758" s="275"/>
      <c r="BC758" s="275"/>
      <c r="BD758" s="275"/>
      <c r="BE758" s="275"/>
      <c r="BF758" s="275"/>
      <c r="BG758" s="275"/>
      <c r="BH758" s="275"/>
      <c r="BI758" s="275"/>
      <c r="BJ758" s="275"/>
      <c r="BK758" s="275"/>
      <c r="BL758" s="275"/>
      <c r="BM758" s="275"/>
      <c r="BN758" s="275"/>
      <c r="BO758" s="275"/>
      <c r="BP758" s="275"/>
      <c r="BQ758" s="275"/>
      <c r="BR758" s="275"/>
      <c r="BS758" s="275"/>
      <c r="BT758" s="275"/>
      <c r="BU758" s="275"/>
      <c r="BV758" s="275"/>
      <c r="BW758" s="275"/>
      <c r="BX758" s="275"/>
      <c r="BY758" s="275"/>
      <c r="BZ758" s="275"/>
      <c r="CA758" s="275"/>
      <c r="CB758" s="275"/>
      <c r="CC758" s="275"/>
      <c r="CD758" s="275"/>
      <c r="CE758" s="275"/>
    </row>
    <row r="759" spans="1:83" ht="12.6" customHeight="1" x14ac:dyDescent="0.25">
      <c r="A759" s="209" t="str">
        <f>RIGHT($C$83,3)&amp;"*"&amp;RIGHT($C$82,4)&amp;"*"&amp;AB$55&amp;"*"&amp;"A"</f>
        <v>130*2017*7170*A</v>
      </c>
      <c r="B759" s="274"/>
      <c r="C759" s="276">
        <f>ROUND(AB60,2)</f>
        <v>34.450000000000003</v>
      </c>
      <c r="D759" s="274">
        <f>ROUND(AB61,0)</f>
        <v>3409049</v>
      </c>
      <c r="E759" s="274">
        <f>ROUND(AB62,0)</f>
        <v>859643</v>
      </c>
      <c r="F759" s="274">
        <f>ROUND(AB63,0)</f>
        <v>0</v>
      </c>
      <c r="G759" s="274">
        <f>ROUND(AB64,0)</f>
        <v>10691818</v>
      </c>
      <c r="H759" s="274">
        <f>ROUND(AB65,0)</f>
        <v>0</v>
      </c>
      <c r="I759" s="274">
        <f>ROUND(AB66,0)</f>
        <v>323376</v>
      </c>
      <c r="J759" s="274">
        <f>ROUND(AB67,0)</f>
        <v>120002</v>
      </c>
      <c r="K759" s="274">
        <f>ROUND(AB68,0)</f>
        <v>697770</v>
      </c>
      <c r="L759" s="274">
        <f>ROUND(AB69,0)</f>
        <v>9431</v>
      </c>
      <c r="M759" s="274">
        <f>ROUND(AB70,0)</f>
        <v>18028</v>
      </c>
      <c r="N759" s="274">
        <f>ROUND(AB75,0)</f>
        <v>78051934</v>
      </c>
      <c r="O759" s="274">
        <f>ROUND(AB73,0)</f>
        <v>46502899</v>
      </c>
      <c r="P759" s="274">
        <f>IF(AB76&gt;0,ROUND(AB76,0),0)</f>
        <v>2571</v>
      </c>
      <c r="Q759" s="274">
        <f>IF(AB77&gt;0,ROUND(AB77,0),0)</f>
        <v>0</v>
      </c>
      <c r="R759" s="274">
        <f>IF(AB78&gt;0,ROUND(AB78,0),0)</f>
        <v>1242</v>
      </c>
      <c r="S759" s="274">
        <f>IF(AB79&gt;0,ROUND(AB79,0),0)</f>
        <v>4521</v>
      </c>
      <c r="T759" s="276">
        <f>IF(AB80&gt;0,ROUND(AB80,2),0)</f>
        <v>0</v>
      </c>
      <c r="U759" s="274"/>
      <c r="V759" s="275"/>
      <c r="W759" s="274"/>
      <c r="X759" s="274"/>
      <c r="Y759" s="274">
        <f t="shared" si="21"/>
        <v>5132202</v>
      </c>
      <c r="Z759" s="275"/>
      <c r="AA759" s="275"/>
      <c r="AB759" s="275"/>
      <c r="AC759" s="275"/>
      <c r="AD759" s="275"/>
      <c r="AE759" s="275"/>
      <c r="AF759" s="275"/>
      <c r="AG759" s="275"/>
      <c r="AH759" s="275"/>
      <c r="AI759" s="275"/>
      <c r="AJ759" s="275"/>
      <c r="AK759" s="275"/>
      <c r="AL759" s="275"/>
      <c r="AM759" s="275"/>
      <c r="AN759" s="275"/>
      <c r="AO759" s="275"/>
      <c r="AP759" s="275"/>
      <c r="AQ759" s="275"/>
      <c r="AR759" s="275"/>
      <c r="AS759" s="275"/>
      <c r="AT759" s="275"/>
      <c r="AU759" s="275"/>
      <c r="AV759" s="275"/>
      <c r="AW759" s="275"/>
      <c r="AX759" s="275"/>
      <c r="AY759" s="275"/>
      <c r="AZ759" s="275"/>
      <c r="BA759" s="275"/>
      <c r="BB759" s="275"/>
      <c r="BC759" s="275"/>
      <c r="BD759" s="275"/>
      <c r="BE759" s="275"/>
      <c r="BF759" s="275"/>
      <c r="BG759" s="275"/>
      <c r="BH759" s="275"/>
      <c r="BI759" s="275"/>
      <c r="BJ759" s="275"/>
      <c r="BK759" s="275"/>
      <c r="BL759" s="275"/>
      <c r="BM759" s="275"/>
      <c r="BN759" s="275"/>
      <c r="BO759" s="275"/>
      <c r="BP759" s="275"/>
      <c r="BQ759" s="275"/>
      <c r="BR759" s="275"/>
      <c r="BS759" s="275"/>
      <c r="BT759" s="275"/>
      <c r="BU759" s="275"/>
      <c r="BV759" s="275"/>
      <c r="BW759" s="275"/>
      <c r="BX759" s="275"/>
      <c r="BY759" s="275"/>
      <c r="BZ759" s="275"/>
      <c r="CA759" s="275"/>
      <c r="CB759" s="275"/>
      <c r="CC759" s="275"/>
      <c r="CD759" s="275"/>
      <c r="CE759" s="275"/>
    </row>
    <row r="760" spans="1:83" ht="12.6" customHeight="1" x14ac:dyDescent="0.25">
      <c r="A760" s="209" t="str">
        <f>RIGHT($C$83,3)&amp;"*"&amp;RIGHT($C$82,4)&amp;"*"&amp;AC$55&amp;"*"&amp;"A"</f>
        <v>130*2017*7180*A</v>
      </c>
      <c r="B760" s="274">
        <f>ROUND(AC59,0)</f>
        <v>25617</v>
      </c>
      <c r="C760" s="276">
        <f>ROUND(AC60,2)</f>
        <v>17.940000000000001</v>
      </c>
      <c r="D760" s="274">
        <f>ROUND(AC61,0)</f>
        <v>1406342</v>
      </c>
      <c r="E760" s="274">
        <f>ROUND(AC62,0)</f>
        <v>354196</v>
      </c>
      <c r="F760" s="274">
        <f>ROUND(AC63,0)</f>
        <v>0</v>
      </c>
      <c r="G760" s="274">
        <f>ROUND(AC64,0)</f>
        <v>246089</v>
      </c>
      <c r="H760" s="274">
        <f>ROUND(AC65,0)</f>
        <v>1253</v>
      </c>
      <c r="I760" s="274">
        <f>ROUND(AC66,0)</f>
        <v>15441</v>
      </c>
      <c r="J760" s="274">
        <f>ROUND(AC67,0)</f>
        <v>56298</v>
      </c>
      <c r="K760" s="274">
        <f>ROUND(AC68,0)</f>
        <v>94783</v>
      </c>
      <c r="L760" s="274">
        <f>ROUND(AC69,0)</f>
        <v>862</v>
      </c>
      <c r="M760" s="274">
        <f>ROUND(AC70,0)</f>
        <v>0</v>
      </c>
      <c r="N760" s="274">
        <f>ROUND(AC75,0)</f>
        <v>9961679</v>
      </c>
      <c r="O760" s="274">
        <f>ROUND(AC73,0)</f>
        <v>8722030</v>
      </c>
      <c r="P760" s="274">
        <f>IF(AC76&gt;0,ROUND(AC76,0),0)</f>
        <v>1098</v>
      </c>
      <c r="Q760" s="274">
        <f>IF(AC77&gt;0,ROUND(AC77,0),0)</f>
        <v>0</v>
      </c>
      <c r="R760" s="274">
        <f>IF(AC78&gt;0,ROUND(AC78,0),0)</f>
        <v>531</v>
      </c>
      <c r="S760" s="274">
        <f>IF(AC79&gt;0,ROUND(AC79,0),0)</f>
        <v>0</v>
      </c>
      <c r="T760" s="276">
        <f>IF(AC80&gt;0,ROUND(AC80,2),0)</f>
        <v>0</v>
      </c>
      <c r="U760" s="274"/>
      <c r="V760" s="275"/>
      <c r="W760" s="274"/>
      <c r="X760" s="274"/>
      <c r="Y760" s="274">
        <f t="shared" si="21"/>
        <v>758487</v>
      </c>
      <c r="Z760" s="275"/>
      <c r="AA760" s="275"/>
      <c r="AB760" s="275"/>
      <c r="AC760" s="275"/>
      <c r="AD760" s="275"/>
      <c r="AE760" s="275"/>
      <c r="AF760" s="275"/>
      <c r="AG760" s="275"/>
      <c r="AH760" s="275"/>
      <c r="AI760" s="275"/>
      <c r="AJ760" s="275"/>
      <c r="AK760" s="275"/>
      <c r="AL760" s="275"/>
      <c r="AM760" s="275"/>
      <c r="AN760" s="275"/>
      <c r="AO760" s="275"/>
      <c r="AP760" s="275"/>
      <c r="AQ760" s="275"/>
      <c r="AR760" s="275"/>
      <c r="AS760" s="275"/>
      <c r="AT760" s="275"/>
      <c r="AU760" s="275"/>
      <c r="AV760" s="275"/>
      <c r="AW760" s="275"/>
      <c r="AX760" s="275"/>
      <c r="AY760" s="275"/>
      <c r="AZ760" s="275"/>
      <c r="BA760" s="275"/>
      <c r="BB760" s="275"/>
      <c r="BC760" s="275"/>
      <c r="BD760" s="275"/>
      <c r="BE760" s="275"/>
      <c r="BF760" s="275"/>
      <c r="BG760" s="275"/>
      <c r="BH760" s="275"/>
      <c r="BI760" s="275"/>
      <c r="BJ760" s="275"/>
      <c r="BK760" s="275"/>
      <c r="BL760" s="275"/>
      <c r="BM760" s="275"/>
      <c r="BN760" s="275"/>
      <c r="BO760" s="275"/>
      <c r="BP760" s="275"/>
      <c r="BQ760" s="275"/>
      <c r="BR760" s="275"/>
      <c r="BS760" s="275"/>
      <c r="BT760" s="275"/>
      <c r="BU760" s="275"/>
      <c r="BV760" s="275"/>
      <c r="BW760" s="275"/>
      <c r="BX760" s="275"/>
      <c r="BY760" s="275"/>
      <c r="BZ760" s="275"/>
      <c r="CA760" s="275"/>
      <c r="CB760" s="275"/>
      <c r="CC760" s="275"/>
      <c r="CD760" s="275"/>
      <c r="CE760" s="275"/>
    </row>
    <row r="761" spans="1:83" ht="12.6" customHeight="1" x14ac:dyDescent="0.25">
      <c r="A761" s="209" t="str">
        <f>RIGHT($C$83,3)&amp;"*"&amp;RIGHT($C$82,4)&amp;"*"&amp;AD$55&amp;"*"&amp;"A"</f>
        <v>130*2017*7190*A</v>
      </c>
      <c r="B761" s="274">
        <f>ROUND(AD59,0)</f>
        <v>0</v>
      </c>
      <c r="C761" s="276">
        <f>ROUND(AD60,2)</f>
        <v>0</v>
      </c>
      <c r="D761" s="274">
        <f>ROUND(AD61,0)</f>
        <v>0</v>
      </c>
      <c r="E761" s="274">
        <f>ROUND(AD62,0)</f>
        <v>0</v>
      </c>
      <c r="F761" s="274">
        <f>ROUND(AD63,0)</f>
        <v>0</v>
      </c>
      <c r="G761" s="274">
        <f>ROUND(AD64,0)</f>
        <v>0</v>
      </c>
      <c r="H761" s="274">
        <f>ROUND(AD65,0)</f>
        <v>0</v>
      </c>
      <c r="I761" s="274">
        <f>ROUND(AD66,0)</f>
        <v>0</v>
      </c>
      <c r="J761" s="274">
        <f>ROUND(AD67,0)</f>
        <v>0</v>
      </c>
      <c r="K761" s="274">
        <f>ROUND(AD68,0)</f>
        <v>0</v>
      </c>
      <c r="L761" s="274">
        <f>ROUND(AD69,0)</f>
        <v>0</v>
      </c>
      <c r="M761" s="274">
        <f>ROUND(AD70,0)</f>
        <v>0</v>
      </c>
      <c r="N761" s="274">
        <f>ROUND(AD75,0)</f>
        <v>0</v>
      </c>
      <c r="O761" s="274">
        <f>ROUND(AD73,0)</f>
        <v>0</v>
      </c>
      <c r="P761" s="274">
        <f>IF(AD76&gt;0,ROUND(AD76,0),0)</f>
        <v>0</v>
      </c>
      <c r="Q761" s="274">
        <f>IF(AD77&gt;0,ROUND(AD77,0),0)</f>
        <v>0</v>
      </c>
      <c r="R761" s="274">
        <f>IF(AD78&gt;0,ROUND(AD78,0),0)</f>
        <v>0</v>
      </c>
      <c r="S761" s="274">
        <f>IF(AD79&gt;0,ROUND(AD79,0),0)</f>
        <v>0</v>
      </c>
      <c r="T761" s="276">
        <f>IF(AD80&gt;0,ROUND(AD80,2),0)</f>
        <v>0</v>
      </c>
      <c r="U761" s="274"/>
      <c r="V761" s="275"/>
      <c r="W761" s="274"/>
      <c r="X761" s="274"/>
      <c r="Y761" s="274">
        <f t="shared" si="21"/>
        <v>0</v>
      </c>
      <c r="Z761" s="275"/>
      <c r="AA761" s="275"/>
      <c r="AB761" s="275"/>
      <c r="AC761" s="275"/>
      <c r="AD761" s="275"/>
      <c r="AE761" s="275"/>
      <c r="AF761" s="275"/>
      <c r="AG761" s="275"/>
      <c r="AH761" s="275"/>
      <c r="AI761" s="275"/>
      <c r="AJ761" s="275"/>
      <c r="AK761" s="275"/>
      <c r="AL761" s="275"/>
      <c r="AM761" s="275"/>
      <c r="AN761" s="275"/>
      <c r="AO761" s="275"/>
      <c r="AP761" s="275"/>
      <c r="AQ761" s="275"/>
      <c r="AR761" s="275"/>
      <c r="AS761" s="275"/>
      <c r="AT761" s="275"/>
      <c r="AU761" s="275"/>
      <c r="AV761" s="275"/>
      <c r="AW761" s="275"/>
      <c r="AX761" s="275"/>
      <c r="AY761" s="275"/>
      <c r="AZ761" s="275"/>
      <c r="BA761" s="275"/>
      <c r="BB761" s="275"/>
      <c r="BC761" s="275"/>
      <c r="BD761" s="275"/>
      <c r="BE761" s="275"/>
      <c r="BF761" s="275"/>
      <c r="BG761" s="275"/>
      <c r="BH761" s="275"/>
      <c r="BI761" s="275"/>
      <c r="BJ761" s="275"/>
      <c r="BK761" s="275"/>
      <c r="BL761" s="275"/>
      <c r="BM761" s="275"/>
      <c r="BN761" s="275"/>
      <c r="BO761" s="275"/>
      <c r="BP761" s="275"/>
      <c r="BQ761" s="275"/>
      <c r="BR761" s="275"/>
      <c r="BS761" s="275"/>
      <c r="BT761" s="275"/>
      <c r="BU761" s="275"/>
      <c r="BV761" s="275"/>
      <c r="BW761" s="275"/>
      <c r="BX761" s="275"/>
      <c r="BY761" s="275"/>
      <c r="BZ761" s="275"/>
      <c r="CA761" s="275"/>
      <c r="CB761" s="275"/>
      <c r="CC761" s="275"/>
      <c r="CD761" s="275"/>
      <c r="CE761" s="275"/>
    </row>
    <row r="762" spans="1:83" ht="12.6" customHeight="1" x14ac:dyDescent="0.25">
      <c r="A762" s="209" t="str">
        <f>RIGHT($C$83,3)&amp;"*"&amp;RIGHT($C$82,4)&amp;"*"&amp;AE$55&amp;"*"&amp;"A"</f>
        <v>130*2017*7200*A</v>
      </c>
      <c r="B762" s="274">
        <f>ROUND(AE59,0)</f>
        <v>77568</v>
      </c>
      <c r="C762" s="276">
        <f>ROUND(AE60,2)</f>
        <v>38.25</v>
      </c>
      <c r="D762" s="274">
        <f>ROUND(AE61,0)</f>
        <v>2982633</v>
      </c>
      <c r="E762" s="274">
        <f>ROUND(AE62,0)</f>
        <v>753275</v>
      </c>
      <c r="F762" s="274">
        <f>ROUND(AE63,0)</f>
        <v>0</v>
      </c>
      <c r="G762" s="274">
        <f>ROUND(AE64,0)</f>
        <v>34283</v>
      </c>
      <c r="H762" s="274">
        <f>ROUND(AE65,0)</f>
        <v>0</v>
      </c>
      <c r="I762" s="274">
        <f>ROUND(AE66,0)</f>
        <v>108790</v>
      </c>
      <c r="J762" s="274">
        <f>ROUND(AE67,0)</f>
        <v>21378</v>
      </c>
      <c r="K762" s="274">
        <f>ROUND(AE68,0)</f>
        <v>255</v>
      </c>
      <c r="L762" s="274">
        <f>ROUND(AE69,0)</f>
        <v>249</v>
      </c>
      <c r="M762" s="274">
        <f>ROUND(AE70,0)</f>
        <v>49624</v>
      </c>
      <c r="N762" s="274">
        <f>ROUND(AE75,0)</f>
        <v>10544921</v>
      </c>
      <c r="O762" s="274">
        <f>ROUND(AE73,0)</f>
        <v>4530400</v>
      </c>
      <c r="P762" s="274">
        <f>IF(AE76&gt;0,ROUND(AE76,0),0)</f>
        <v>17191</v>
      </c>
      <c r="Q762" s="274">
        <f>IF(AE77&gt;0,ROUND(AE77,0),0)</f>
        <v>0</v>
      </c>
      <c r="R762" s="274">
        <f>IF(AE78&gt;0,ROUND(AE78,0),0)</f>
        <v>2007</v>
      </c>
      <c r="S762" s="274">
        <f>IF(AE79&gt;0,ROUND(AE79,0),0)</f>
        <v>2870</v>
      </c>
      <c r="T762" s="276">
        <f>IF(AE80&gt;0,ROUND(AE80,2),0)</f>
        <v>0</v>
      </c>
      <c r="U762" s="274"/>
      <c r="V762" s="275"/>
      <c r="W762" s="274"/>
      <c r="X762" s="274"/>
      <c r="Y762" s="274">
        <f t="shared" si="21"/>
        <v>2174477</v>
      </c>
      <c r="Z762" s="275"/>
      <c r="AA762" s="275"/>
      <c r="AB762" s="275"/>
      <c r="AC762" s="275"/>
      <c r="AD762" s="275"/>
      <c r="AE762" s="275"/>
      <c r="AF762" s="275"/>
      <c r="AG762" s="275"/>
      <c r="AH762" s="275"/>
      <c r="AI762" s="275"/>
      <c r="AJ762" s="275"/>
      <c r="AK762" s="275"/>
      <c r="AL762" s="275"/>
      <c r="AM762" s="275"/>
      <c r="AN762" s="275"/>
      <c r="AO762" s="275"/>
      <c r="AP762" s="275"/>
      <c r="AQ762" s="275"/>
      <c r="AR762" s="275"/>
      <c r="AS762" s="275"/>
      <c r="AT762" s="275"/>
      <c r="AU762" s="275"/>
      <c r="AV762" s="275"/>
      <c r="AW762" s="275"/>
      <c r="AX762" s="275"/>
      <c r="AY762" s="275"/>
      <c r="AZ762" s="275"/>
      <c r="BA762" s="275"/>
      <c r="BB762" s="275"/>
      <c r="BC762" s="275"/>
      <c r="BD762" s="275"/>
      <c r="BE762" s="275"/>
      <c r="BF762" s="275"/>
      <c r="BG762" s="275"/>
      <c r="BH762" s="275"/>
      <c r="BI762" s="275"/>
      <c r="BJ762" s="275"/>
      <c r="BK762" s="275"/>
      <c r="BL762" s="275"/>
      <c r="BM762" s="275"/>
      <c r="BN762" s="275"/>
      <c r="BO762" s="275"/>
      <c r="BP762" s="275"/>
      <c r="BQ762" s="275"/>
      <c r="BR762" s="275"/>
      <c r="BS762" s="275"/>
      <c r="BT762" s="275"/>
      <c r="BU762" s="275"/>
      <c r="BV762" s="275"/>
      <c r="BW762" s="275"/>
      <c r="BX762" s="275"/>
      <c r="BY762" s="275"/>
      <c r="BZ762" s="275"/>
      <c r="CA762" s="275"/>
      <c r="CB762" s="275"/>
      <c r="CC762" s="275"/>
      <c r="CD762" s="275"/>
      <c r="CE762" s="275"/>
    </row>
    <row r="763" spans="1:83" ht="12.6" customHeight="1" x14ac:dyDescent="0.25">
      <c r="A763" s="209" t="str">
        <f>RIGHT($C$83,3)&amp;"*"&amp;RIGHT($C$82,4)&amp;"*"&amp;AF$55&amp;"*"&amp;"A"</f>
        <v>130*2017*7220*A</v>
      </c>
      <c r="B763" s="274">
        <f>ROUND(AF59,0)</f>
        <v>0</v>
      </c>
      <c r="C763" s="276">
        <f>ROUND(AF60,2)</f>
        <v>0</v>
      </c>
      <c r="D763" s="274">
        <f>ROUND(AF61,0)</f>
        <v>0</v>
      </c>
      <c r="E763" s="274">
        <f>ROUND(AF62,0)</f>
        <v>0</v>
      </c>
      <c r="F763" s="274">
        <f>ROUND(AF63,0)</f>
        <v>0</v>
      </c>
      <c r="G763" s="274">
        <f>ROUND(AF64,0)</f>
        <v>0</v>
      </c>
      <c r="H763" s="274">
        <f>ROUND(AF65,0)</f>
        <v>0</v>
      </c>
      <c r="I763" s="274">
        <f>ROUND(AF66,0)</f>
        <v>0</v>
      </c>
      <c r="J763" s="274">
        <f>ROUND(AF67,0)</f>
        <v>0</v>
      </c>
      <c r="K763" s="274">
        <f>ROUND(AF68,0)</f>
        <v>0</v>
      </c>
      <c r="L763" s="274">
        <f>ROUND(AF69,0)</f>
        <v>0</v>
      </c>
      <c r="M763" s="274">
        <f>ROUND(AF70,0)</f>
        <v>0</v>
      </c>
      <c r="N763" s="274">
        <f>ROUND(AF75,0)</f>
        <v>0</v>
      </c>
      <c r="O763" s="274">
        <f>ROUND(AF73,0)</f>
        <v>0</v>
      </c>
      <c r="P763" s="274">
        <f>IF(AF76&gt;0,ROUND(AF76,0),0)</f>
        <v>0</v>
      </c>
      <c r="Q763" s="274">
        <f>IF(AF77&gt;0,ROUND(AF77,0),0)</f>
        <v>0</v>
      </c>
      <c r="R763" s="274">
        <f>IF(AF78&gt;0,ROUND(AF78,0),0)</f>
        <v>0</v>
      </c>
      <c r="S763" s="274">
        <f>IF(AF79&gt;0,ROUND(AF79,0),0)</f>
        <v>0</v>
      </c>
      <c r="T763" s="276">
        <f>IF(AF80&gt;0,ROUND(AF80,2),0)</f>
        <v>0</v>
      </c>
      <c r="U763" s="274"/>
      <c r="V763" s="275"/>
      <c r="W763" s="274"/>
      <c r="X763" s="274"/>
      <c r="Y763" s="274">
        <f t="shared" si="21"/>
        <v>0</v>
      </c>
      <c r="Z763" s="275"/>
      <c r="AA763" s="275"/>
      <c r="AB763" s="275"/>
      <c r="AC763" s="275"/>
      <c r="AD763" s="275"/>
      <c r="AE763" s="275"/>
      <c r="AF763" s="275"/>
      <c r="AG763" s="275"/>
      <c r="AH763" s="275"/>
      <c r="AI763" s="275"/>
      <c r="AJ763" s="275"/>
      <c r="AK763" s="275"/>
      <c r="AL763" s="275"/>
      <c r="AM763" s="275"/>
      <c r="AN763" s="275"/>
      <c r="AO763" s="275"/>
      <c r="AP763" s="275"/>
      <c r="AQ763" s="275"/>
      <c r="AR763" s="275"/>
      <c r="AS763" s="275"/>
      <c r="AT763" s="275"/>
      <c r="AU763" s="275"/>
      <c r="AV763" s="275"/>
      <c r="AW763" s="275"/>
      <c r="AX763" s="275"/>
      <c r="AY763" s="275"/>
      <c r="AZ763" s="275"/>
      <c r="BA763" s="275"/>
      <c r="BB763" s="275"/>
      <c r="BC763" s="275"/>
      <c r="BD763" s="275"/>
      <c r="BE763" s="275"/>
      <c r="BF763" s="275"/>
      <c r="BG763" s="275"/>
      <c r="BH763" s="275"/>
      <c r="BI763" s="275"/>
      <c r="BJ763" s="275"/>
      <c r="BK763" s="275"/>
      <c r="BL763" s="275"/>
      <c r="BM763" s="275"/>
      <c r="BN763" s="275"/>
      <c r="BO763" s="275"/>
      <c r="BP763" s="275"/>
      <c r="BQ763" s="275"/>
      <c r="BR763" s="275"/>
      <c r="BS763" s="275"/>
      <c r="BT763" s="275"/>
      <c r="BU763" s="275"/>
      <c r="BV763" s="275"/>
      <c r="BW763" s="275"/>
      <c r="BX763" s="275"/>
      <c r="BY763" s="275"/>
      <c r="BZ763" s="275"/>
      <c r="CA763" s="275"/>
      <c r="CB763" s="275"/>
      <c r="CC763" s="275"/>
      <c r="CD763" s="275"/>
      <c r="CE763" s="275"/>
    </row>
    <row r="764" spans="1:83" ht="12.6" customHeight="1" x14ac:dyDescent="0.25">
      <c r="A764" s="209" t="str">
        <f>RIGHT($C$83,3)&amp;"*"&amp;RIGHT($C$82,4)&amp;"*"&amp;AG$55&amp;"*"&amp;"A"</f>
        <v>130*2017*7230*A</v>
      </c>
      <c r="B764" s="274">
        <f>ROUND(AG59,0)</f>
        <v>34150</v>
      </c>
      <c r="C764" s="276">
        <f>ROUND(AG60,2)</f>
        <v>67.16</v>
      </c>
      <c r="D764" s="274">
        <f>ROUND(AG61,0)</f>
        <v>4611775</v>
      </c>
      <c r="E764" s="274">
        <f>ROUND(AG62,0)</f>
        <v>1290912</v>
      </c>
      <c r="F764" s="274">
        <f>ROUND(AG63,0)</f>
        <v>708889</v>
      </c>
      <c r="G764" s="274">
        <f>ROUND(AG64,0)</f>
        <v>560305</v>
      </c>
      <c r="H764" s="274">
        <f>ROUND(AG65,0)</f>
        <v>0</v>
      </c>
      <c r="I764" s="274">
        <f>ROUND(AG66,0)</f>
        <v>162374</v>
      </c>
      <c r="J764" s="274">
        <f>ROUND(AG67,0)</f>
        <v>142030</v>
      </c>
      <c r="K764" s="274">
        <f>ROUND(AG68,0)</f>
        <v>96388</v>
      </c>
      <c r="L764" s="274">
        <f>ROUND(AG69,0)</f>
        <v>8959</v>
      </c>
      <c r="M764" s="274">
        <f>ROUND(AG70,0)</f>
        <v>70</v>
      </c>
      <c r="N764" s="274">
        <f>ROUND(AG75,0)</f>
        <v>82524192</v>
      </c>
      <c r="O764" s="274">
        <f>ROUND(AG73,0)</f>
        <v>25500864</v>
      </c>
      <c r="P764" s="274">
        <f>IF(AG76&gt;0,ROUND(AG76,0),0)</f>
        <v>12046</v>
      </c>
      <c r="Q764" s="274">
        <f>IF(AG77&gt;0,ROUND(AG77,0),0)</f>
        <v>0</v>
      </c>
      <c r="R764" s="274">
        <f>IF(AG78&gt;0,ROUND(AG78,0),0)</f>
        <v>5821</v>
      </c>
      <c r="S764" s="274">
        <f>IF(AG79&gt;0,ROUND(AG79,0),0)</f>
        <v>218535</v>
      </c>
      <c r="T764" s="276">
        <f>IF(AG80&gt;0,ROUND(AG80,2),0)</f>
        <v>33.380000000000003</v>
      </c>
      <c r="U764" s="274"/>
      <c r="V764" s="275"/>
      <c r="W764" s="274"/>
      <c r="X764" s="274"/>
      <c r="Y764" s="274">
        <f t="shared" si="21"/>
        <v>5388870</v>
      </c>
      <c r="Z764" s="275"/>
      <c r="AA764" s="275"/>
      <c r="AB764" s="275"/>
      <c r="AC764" s="275"/>
      <c r="AD764" s="275"/>
      <c r="AE764" s="275"/>
      <c r="AF764" s="275"/>
      <c r="AG764" s="275"/>
      <c r="AH764" s="275"/>
      <c r="AI764" s="275"/>
      <c r="AJ764" s="275"/>
      <c r="AK764" s="275"/>
      <c r="AL764" s="275"/>
      <c r="AM764" s="275"/>
      <c r="AN764" s="275"/>
      <c r="AO764" s="275"/>
      <c r="AP764" s="275"/>
      <c r="AQ764" s="275"/>
      <c r="AR764" s="275"/>
      <c r="AS764" s="275"/>
      <c r="AT764" s="275"/>
      <c r="AU764" s="275"/>
      <c r="AV764" s="275"/>
      <c r="AW764" s="275"/>
      <c r="AX764" s="275"/>
      <c r="AY764" s="275"/>
      <c r="AZ764" s="275"/>
      <c r="BA764" s="275"/>
      <c r="BB764" s="275"/>
      <c r="BC764" s="275"/>
      <c r="BD764" s="275"/>
      <c r="BE764" s="275"/>
      <c r="BF764" s="275"/>
      <c r="BG764" s="275"/>
      <c r="BH764" s="275"/>
      <c r="BI764" s="275"/>
      <c r="BJ764" s="275"/>
      <c r="BK764" s="275"/>
      <c r="BL764" s="275"/>
      <c r="BM764" s="275"/>
      <c r="BN764" s="275"/>
      <c r="BO764" s="275"/>
      <c r="BP764" s="275"/>
      <c r="BQ764" s="275"/>
      <c r="BR764" s="275"/>
      <c r="BS764" s="275"/>
      <c r="BT764" s="275"/>
      <c r="BU764" s="275"/>
      <c r="BV764" s="275"/>
      <c r="BW764" s="275"/>
      <c r="BX764" s="275"/>
      <c r="BY764" s="275"/>
      <c r="BZ764" s="275"/>
      <c r="CA764" s="275"/>
      <c r="CB764" s="275"/>
      <c r="CC764" s="275"/>
      <c r="CD764" s="275"/>
      <c r="CE764" s="275"/>
    </row>
    <row r="765" spans="1:83" ht="12.6" customHeight="1" x14ac:dyDescent="0.25">
      <c r="A765" s="209" t="str">
        <f>RIGHT($C$83,3)&amp;"*"&amp;RIGHT($C$82,4)&amp;"*"&amp;AH$55&amp;"*"&amp;"A"</f>
        <v>130*2017*7240*A</v>
      </c>
      <c r="B765" s="274">
        <f>ROUND(AH59,0)</f>
        <v>0</v>
      </c>
      <c r="C765" s="276">
        <f>ROUND(AH60,2)</f>
        <v>0</v>
      </c>
      <c r="D765" s="274">
        <f>ROUND(AH61,0)</f>
        <v>0</v>
      </c>
      <c r="E765" s="274">
        <f>ROUND(AH62,0)</f>
        <v>0</v>
      </c>
      <c r="F765" s="274">
        <f>ROUND(AH63,0)</f>
        <v>0</v>
      </c>
      <c r="G765" s="274">
        <f>ROUND(AH64,0)</f>
        <v>0</v>
      </c>
      <c r="H765" s="274">
        <f>ROUND(AH65,0)</f>
        <v>0</v>
      </c>
      <c r="I765" s="274">
        <f>ROUND(AH66,0)</f>
        <v>0</v>
      </c>
      <c r="J765" s="274">
        <f>ROUND(AH67,0)</f>
        <v>0</v>
      </c>
      <c r="K765" s="274">
        <f>ROUND(AH68,0)</f>
        <v>0</v>
      </c>
      <c r="L765" s="274">
        <f>ROUND(AH69,0)</f>
        <v>0</v>
      </c>
      <c r="M765" s="274">
        <f>ROUND(AH70,0)</f>
        <v>0</v>
      </c>
      <c r="N765" s="274">
        <f>ROUND(AH75,0)</f>
        <v>0</v>
      </c>
      <c r="O765" s="274">
        <f>ROUND(AH73,0)</f>
        <v>0</v>
      </c>
      <c r="P765" s="274">
        <f>IF(AH76&gt;0,ROUND(AH76,0),0)</f>
        <v>0</v>
      </c>
      <c r="Q765" s="274">
        <f>IF(AH77&gt;0,ROUND(AH77,0),0)</f>
        <v>0</v>
      </c>
      <c r="R765" s="274">
        <f>IF(AH78&gt;0,ROUND(AH78,0),0)</f>
        <v>0</v>
      </c>
      <c r="S765" s="274">
        <f>IF(AH79&gt;0,ROUND(AH79,0),0)</f>
        <v>0</v>
      </c>
      <c r="T765" s="276">
        <f>IF(AH80&gt;0,ROUND(AH80,2),0)</f>
        <v>0</v>
      </c>
      <c r="U765" s="274"/>
      <c r="V765" s="275"/>
      <c r="W765" s="274"/>
      <c r="X765" s="274"/>
      <c r="Y765" s="274">
        <f t="shared" si="21"/>
        <v>0</v>
      </c>
      <c r="Z765" s="275"/>
      <c r="AA765" s="275"/>
      <c r="AB765" s="275"/>
      <c r="AC765" s="275"/>
      <c r="AD765" s="275"/>
      <c r="AE765" s="275"/>
      <c r="AF765" s="275"/>
      <c r="AG765" s="275"/>
      <c r="AH765" s="275"/>
      <c r="AI765" s="275"/>
      <c r="AJ765" s="275"/>
      <c r="AK765" s="275"/>
      <c r="AL765" s="275"/>
      <c r="AM765" s="275"/>
      <c r="AN765" s="275"/>
      <c r="AO765" s="275"/>
      <c r="AP765" s="275"/>
      <c r="AQ765" s="275"/>
      <c r="AR765" s="275"/>
      <c r="AS765" s="275"/>
      <c r="AT765" s="275"/>
      <c r="AU765" s="275"/>
      <c r="AV765" s="275"/>
      <c r="AW765" s="275"/>
      <c r="AX765" s="275"/>
      <c r="AY765" s="275"/>
      <c r="AZ765" s="275"/>
      <c r="BA765" s="275"/>
      <c r="BB765" s="275"/>
      <c r="BC765" s="275"/>
      <c r="BD765" s="275"/>
      <c r="BE765" s="275"/>
      <c r="BF765" s="275"/>
      <c r="BG765" s="275"/>
      <c r="BH765" s="275"/>
      <c r="BI765" s="275"/>
      <c r="BJ765" s="275"/>
      <c r="BK765" s="275"/>
      <c r="BL765" s="275"/>
      <c r="BM765" s="275"/>
      <c r="BN765" s="275"/>
      <c r="BO765" s="275"/>
      <c r="BP765" s="275"/>
      <c r="BQ765" s="275"/>
      <c r="BR765" s="275"/>
      <c r="BS765" s="275"/>
      <c r="BT765" s="275"/>
      <c r="BU765" s="275"/>
      <c r="BV765" s="275"/>
      <c r="BW765" s="275"/>
      <c r="BX765" s="275"/>
      <c r="BY765" s="275"/>
      <c r="BZ765" s="275"/>
      <c r="CA765" s="275"/>
      <c r="CB765" s="275"/>
      <c r="CC765" s="275"/>
      <c r="CD765" s="275"/>
      <c r="CE765" s="275"/>
    </row>
    <row r="766" spans="1:83" ht="12.6" customHeight="1" x14ac:dyDescent="0.25">
      <c r="A766" s="209" t="str">
        <f>RIGHT($C$83,3)&amp;"*"&amp;RIGHT($C$82,4)&amp;"*"&amp;AI$55&amp;"*"&amp;"A"</f>
        <v>130*2017*7250*A</v>
      </c>
      <c r="B766" s="274">
        <f>ROUND(AI59,0)</f>
        <v>0</v>
      </c>
      <c r="C766" s="276">
        <f>ROUND(AI60,2)</f>
        <v>0</v>
      </c>
      <c r="D766" s="274">
        <f>ROUND(AI61,0)</f>
        <v>0</v>
      </c>
      <c r="E766" s="274">
        <f>ROUND(AI62,0)</f>
        <v>0</v>
      </c>
      <c r="F766" s="274">
        <f>ROUND(AI63,0)</f>
        <v>0</v>
      </c>
      <c r="G766" s="274">
        <f>ROUND(AI64,0)</f>
        <v>0</v>
      </c>
      <c r="H766" s="274">
        <f>ROUND(AI65,0)</f>
        <v>0</v>
      </c>
      <c r="I766" s="274">
        <f>ROUND(AI66,0)</f>
        <v>0</v>
      </c>
      <c r="J766" s="274">
        <f>ROUND(AI67,0)</f>
        <v>0</v>
      </c>
      <c r="K766" s="274">
        <f>ROUND(AI68,0)</f>
        <v>0</v>
      </c>
      <c r="L766" s="274">
        <f>ROUND(AI69,0)</f>
        <v>0</v>
      </c>
      <c r="M766" s="274">
        <f>ROUND(AI70,0)</f>
        <v>0</v>
      </c>
      <c r="N766" s="274">
        <f>ROUND(AI75,0)</f>
        <v>0</v>
      </c>
      <c r="O766" s="274">
        <f>ROUND(AI73,0)</f>
        <v>0</v>
      </c>
      <c r="P766" s="274">
        <f>IF(AI76&gt;0,ROUND(AI76,0),0)</f>
        <v>0</v>
      </c>
      <c r="Q766" s="274">
        <f>IF(AI77&gt;0,ROUND(AI77,0),0)</f>
        <v>0</v>
      </c>
      <c r="R766" s="274">
        <f>IF(AI78&gt;0,ROUND(AI78,0),0)</f>
        <v>0</v>
      </c>
      <c r="S766" s="274">
        <f>IF(AI79&gt;0,ROUND(AI79,0),0)</f>
        <v>0</v>
      </c>
      <c r="T766" s="276">
        <f>IF(AI80&gt;0,ROUND(AI80,2),0)</f>
        <v>0</v>
      </c>
      <c r="U766" s="274"/>
      <c r="V766" s="275"/>
      <c r="W766" s="274"/>
      <c r="X766" s="274"/>
      <c r="Y766" s="274">
        <f t="shared" si="21"/>
        <v>0</v>
      </c>
      <c r="Z766" s="275"/>
      <c r="AA766" s="275"/>
      <c r="AB766" s="275"/>
      <c r="AC766" s="275"/>
      <c r="AD766" s="275"/>
      <c r="AE766" s="275"/>
      <c r="AF766" s="275"/>
      <c r="AG766" s="275"/>
      <c r="AH766" s="275"/>
      <c r="AI766" s="275"/>
      <c r="AJ766" s="275"/>
      <c r="AK766" s="275"/>
      <c r="AL766" s="275"/>
      <c r="AM766" s="275"/>
      <c r="AN766" s="275"/>
      <c r="AO766" s="275"/>
      <c r="AP766" s="275"/>
      <c r="AQ766" s="275"/>
      <c r="AR766" s="275"/>
      <c r="AS766" s="275"/>
      <c r="AT766" s="275"/>
      <c r="AU766" s="275"/>
      <c r="AV766" s="275"/>
      <c r="AW766" s="275"/>
      <c r="AX766" s="275"/>
      <c r="AY766" s="275"/>
      <c r="AZ766" s="275"/>
      <c r="BA766" s="275"/>
      <c r="BB766" s="275"/>
      <c r="BC766" s="275"/>
      <c r="BD766" s="275"/>
      <c r="BE766" s="275"/>
      <c r="BF766" s="275"/>
      <c r="BG766" s="275"/>
      <c r="BH766" s="275"/>
      <c r="BI766" s="275"/>
      <c r="BJ766" s="275"/>
      <c r="BK766" s="275"/>
      <c r="BL766" s="275"/>
      <c r="BM766" s="275"/>
      <c r="BN766" s="275"/>
      <c r="BO766" s="275"/>
      <c r="BP766" s="275"/>
      <c r="BQ766" s="275"/>
      <c r="BR766" s="275"/>
      <c r="BS766" s="275"/>
      <c r="BT766" s="275"/>
      <c r="BU766" s="275"/>
      <c r="BV766" s="275"/>
      <c r="BW766" s="275"/>
      <c r="BX766" s="275"/>
      <c r="BY766" s="275"/>
      <c r="BZ766" s="275"/>
      <c r="CA766" s="275"/>
      <c r="CB766" s="275"/>
      <c r="CC766" s="275"/>
      <c r="CD766" s="275"/>
      <c r="CE766" s="275"/>
    </row>
    <row r="767" spans="1:83" ht="12.6" customHeight="1" x14ac:dyDescent="0.25">
      <c r="A767" s="209" t="str">
        <f>RIGHT($C$83,3)&amp;"*"&amp;RIGHT($C$82,4)&amp;"*"&amp;AJ$55&amp;"*"&amp;"A"</f>
        <v>130*2017*7260*A</v>
      </c>
      <c r="B767" s="274">
        <f>ROUND(AJ59,0)</f>
        <v>187592</v>
      </c>
      <c r="C767" s="276">
        <f>ROUND(AJ60,2)</f>
        <v>396.96</v>
      </c>
      <c r="D767" s="274">
        <f>ROUND(AJ61,0)</f>
        <v>46682707</v>
      </c>
      <c r="E767" s="274">
        <f>ROUND(AJ62,0)</f>
        <v>8028777</v>
      </c>
      <c r="F767" s="274">
        <f>ROUND(AJ63,0)</f>
        <v>9790369</v>
      </c>
      <c r="G767" s="274">
        <f>ROUND(AJ64,0)</f>
        <v>15237207</v>
      </c>
      <c r="H767" s="274">
        <f>ROUND(AJ65,0)</f>
        <v>222270</v>
      </c>
      <c r="I767" s="274">
        <f>ROUND(AJ66,0)</f>
        <v>5530945</v>
      </c>
      <c r="J767" s="274">
        <f>ROUND(AJ67,0)</f>
        <v>804115</v>
      </c>
      <c r="K767" s="274">
        <f>ROUND(AJ68,0)</f>
        <v>2071849</v>
      </c>
      <c r="L767" s="274">
        <f>ROUND(AJ69,0)</f>
        <v>735944</v>
      </c>
      <c r="M767" s="274">
        <f>ROUND(AJ70,0)</f>
        <v>2573850</v>
      </c>
      <c r="N767" s="274">
        <f>ROUND(AJ75,0)</f>
        <v>100868094</v>
      </c>
      <c r="O767" s="274">
        <f>ROUND(AJ73,0)</f>
        <v>0</v>
      </c>
      <c r="P767" s="274">
        <f>IF(AJ76&gt;0,ROUND(AJ76,0),0)</f>
        <v>77819</v>
      </c>
      <c r="Q767" s="274">
        <f>IF(AJ77&gt;0,ROUND(AJ77,0),0)</f>
        <v>0</v>
      </c>
      <c r="R767" s="274">
        <f>IF(AJ78&gt;0,ROUND(AJ78,0),0)</f>
        <v>0</v>
      </c>
      <c r="S767" s="274">
        <f>IF(AJ79&gt;0,ROUND(AJ79,0),0)</f>
        <v>0</v>
      </c>
      <c r="T767" s="276">
        <f>IF(AJ80&gt;0,ROUND(AJ80,2),0)</f>
        <v>48.03</v>
      </c>
      <c r="U767" s="274"/>
      <c r="V767" s="275"/>
      <c r="W767" s="274"/>
      <c r="X767" s="274"/>
      <c r="Y767" s="274">
        <f t="shared" si="21"/>
        <v>21080753</v>
      </c>
      <c r="Z767" s="275"/>
      <c r="AA767" s="275"/>
      <c r="AB767" s="275"/>
      <c r="AC767" s="275"/>
      <c r="AD767" s="275"/>
      <c r="AE767" s="275"/>
      <c r="AF767" s="275"/>
      <c r="AG767" s="275"/>
      <c r="AH767" s="275"/>
      <c r="AI767" s="275"/>
      <c r="AJ767" s="275"/>
      <c r="AK767" s="275"/>
      <c r="AL767" s="275"/>
      <c r="AM767" s="275"/>
      <c r="AN767" s="275"/>
      <c r="AO767" s="275"/>
      <c r="AP767" s="275"/>
      <c r="AQ767" s="275"/>
      <c r="AR767" s="275"/>
      <c r="AS767" s="275"/>
      <c r="AT767" s="275"/>
      <c r="AU767" s="275"/>
      <c r="AV767" s="275"/>
      <c r="AW767" s="275"/>
      <c r="AX767" s="275"/>
      <c r="AY767" s="275"/>
      <c r="AZ767" s="275"/>
      <c r="BA767" s="275"/>
      <c r="BB767" s="275"/>
      <c r="BC767" s="275"/>
      <c r="BD767" s="275"/>
      <c r="BE767" s="275"/>
      <c r="BF767" s="275"/>
      <c r="BG767" s="275"/>
      <c r="BH767" s="275"/>
      <c r="BI767" s="275"/>
      <c r="BJ767" s="275"/>
      <c r="BK767" s="275"/>
      <c r="BL767" s="275"/>
      <c r="BM767" s="275"/>
      <c r="BN767" s="275"/>
      <c r="BO767" s="275"/>
      <c r="BP767" s="275"/>
      <c r="BQ767" s="275"/>
      <c r="BR767" s="275"/>
      <c r="BS767" s="275"/>
      <c r="BT767" s="275"/>
      <c r="BU767" s="275"/>
      <c r="BV767" s="275"/>
      <c r="BW767" s="275"/>
      <c r="BX767" s="275"/>
      <c r="BY767" s="275"/>
      <c r="BZ767" s="275"/>
      <c r="CA767" s="275"/>
      <c r="CB767" s="275"/>
      <c r="CC767" s="275"/>
      <c r="CD767" s="275"/>
      <c r="CE767" s="275"/>
    </row>
    <row r="768" spans="1:83" ht="12.6" customHeight="1" x14ac:dyDescent="0.25">
      <c r="A768" s="209" t="str">
        <f>RIGHT($C$83,3)&amp;"*"&amp;RIGHT($C$82,4)&amp;"*"&amp;AK$55&amp;"*"&amp;"A"</f>
        <v>130*2017*7310*A</v>
      </c>
      <c r="B768" s="274">
        <f>ROUND(AK59,0)</f>
        <v>40090</v>
      </c>
      <c r="C768" s="276">
        <f>ROUND(AK60,2)</f>
        <v>15.6</v>
      </c>
      <c r="D768" s="274">
        <f>ROUND(AK61,0)</f>
        <v>1338871</v>
      </c>
      <c r="E768" s="274">
        <f>ROUND(AK62,0)</f>
        <v>338323</v>
      </c>
      <c r="F768" s="274">
        <f>ROUND(AK63,0)</f>
        <v>0</v>
      </c>
      <c r="G768" s="274">
        <f>ROUND(AK64,0)</f>
        <v>28757</v>
      </c>
      <c r="H768" s="274">
        <f>ROUND(AK65,0)</f>
        <v>0</v>
      </c>
      <c r="I768" s="274">
        <f>ROUND(AK66,0)</f>
        <v>11670</v>
      </c>
      <c r="J768" s="274">
        <f>ROUND(AK67,0)</f>
        <v>444</v>
      </c>
      <c r="K768" s="274">
        <f>ROUND(AK68,0)</f>
        <v>297</v>
      </c>
      <c r="L768" s="274">
        <f>ROUND(AK69,0)</f>
        <v>547</v>
      </c>
      <c r="M768" s="274">
        <f>ROUND(AK70,0)</f>
        <v>0</v>
      </c>
      <c r="N768" s="274">
        <f>ROUND(AK75,0)</f>
        <v>5999555</v>
      </c>
      <c r="O768" s="274">
        <f>ROUND(AK73,0)</f>
        <v>3152306</v>
      </c>
      <c r="P768" s="274">
        <f>IF(AK76&gt;0,ROUND(AK76,0),0)</f>
        <v>3224</v>
      </c>
      <c r="Q768" s="274">
        <f>IF(AK77&gt;0,ROUND(AK77,0),0)</f>
        <v>0</v>
      </c>
      <c r="R768" s="274">
        <f>IF(AK78&gt;0,ROUND(AK78,0),0)</f>
        <v>1558</v>
      </c>
      <c r="S768" s="274">
        <f>IF(AK79&gt;0,ROUND(AK79,0),0)</f>
        <v>0</v>
      </c>
      <c r="T768" s="276">
        <f>IF(AK80&gt;0,ROUND(AK80,2),0)</f>
        <v>0</v>
      </c>
      <c r="U768" s="274"/>
      <c r="V768" s="275"/>
      <c r="W768" s="274"/>
      <c r="X768" s="274"/>
      <c r="Y768" s="274">
        <f t="shared" si="21"/>
        <v>743152</v>
      </c>
      <c r="Z768" s="275"/>
      <c r="AA768" s="275"/>
      <c r="AB768" s="275"/>
      <c r="AC768" s="275"/>
      <c r="AD768" s="275"/>
      <c r="AE768" s="275"/>
      <c r="AF768" s="275"/>
      <c r="AG768" s="275"/>
      <c r="AH768" s="275"/>
      <c r="AI768" s="275"/>
      <c r="AJ768" s="275"/>
      <c r="AK768" s="275"/>
      <c r="AL768" s="275"/>
      <c r="AM768" s="275"/>
      <c r="AN768" s="275"/>
      <c r="AO768" s="275"/>
      <c r="AP768" s="275"/>
      <c r="AQ768" s="275"/>
      <c r="AR768" s="275"/>
      <c r="AS768" s="275"/>
      <c r="AT768" s="275"/>
      <c r="AU768" s="275"/>
      <c r="AV768" s="275"/>
      <c r="AW768" s="275"/>
      <c r="AX768" s="275"/>
      <c r="AY768" s="275"/>
      <c r="AZ768" s="275"/>
      <c r="BA768" s="275"/>
      <c r="BB768" s="275"/>
      <c r="BC768" s="275"/>
      <c r="BD768" s="275"/>
      <c r="BE768" s="275"/>
      <c r="BF768" s="275"/>
      <c r="BG768" s="275"/>
      <c r="BH768" s="275"/>
      <c r="BI768" s="275"/>
      <c r="BJ768" s="275"/>
      <c r="BK768" s="275"/>
      <c r="BL768" s="275"/>
      <c r="BM768" s="275"/>
      <c r="BN768" s="275"/>
      <c r="BO768" s="275"/>
      <c r="BP768" s="275"/>
      <c r="BQ768" s="275"/>
      <c r="BR768" s="275"/>
      <c r="BS768" s="275"/>
      <c r="BT768" s="275"/>
      <c r="BU768" s="275"/>
      <c r="BV768" s="275"/>
      <c r="BW768" s="275"/>
      <c r="BX768" s="275"/>
      <c r="BY768" s="275"/>
      <c r="BZ768" s="275"/>
      <c r="CA768" s="275"/>
      <c r="CB768" s="275"/>
      <c r="CC768" s="275"/>
      <c r="CD768" s="275"/>
      <c r="CE768" s="275"/>
    </row>
    <row r="769" spans="1:83" ht="12.6" customHeight="1" x14ac:dyDescent="0.25">
      <c r="A769" s="209" t="str">
        <f>RIGHT($C$83,3)&amp;"*"&amp;RIGHT($C$82,4)&amp;"*"&amp;AL$55&amp;"*"&amp;"A"</f>
        <v>130*2017*7320*A</v>
      </c>
      <c r="B769" s="274">
        <f>ROUND(AL59,0)</f>
        <v>13108</v>
      </c>
      <c r="C769" s="276">
        <f>ROUND(AL60,2)</f>
        <v>5.27</v>
      </c>
      <c r="D769" s="274">
        <f>ROUND(AL61,0)</f>
        <v>455176</v>
      </c>
      <c r="E769" s="274">
        <f>ROUND(AL62,0)</f>
        <v>114850</v>
      </c>
      <c r="F769" s="274">
        <f>ROUND(AL63,0)</f>
        <v>0</v>
      </c>
      <c r="G769" s="274">
        <f>ROUND(AL64,0)</f>
        <v>3972</v>
      </c>
      <c r="H769" s="274">
        <f>ROUND(AL65,0)</f>
        <v>0</v>
      </c>
      <c r="I769" s="274">
        <f>ROUND(AL66,0)</f>
        <v>436</v>
      </c>
      <c r="J769" s="274">
        <f>ROUND(AL67,0)</f>
        <v>0</v>
      </c>
      <c r="K769" s="274">
        <f>ROUND(AL68,0)</f>
        <v>130</v>
      </c>
      <c r="L769" s="274">
        <f>ROUND(AL69,0)</f>
        <v>-1058</v>
      </c>
      <c r="M769" s="274">
        <f>ROUND(AL70,0)</f>
        <v>3435</v>
      </c>
      <c r="N769" s="274">
        <f>ROUND(AL75,0)</f>
        <v>1745720</v>
      </c>
      <c r="O769" s="274">
        <f>ROUND(AL73,0)</f>
        <v>1093604</v>
      </c>
      <c r="P769" s="274">
        <f>IF(AL76&gt;0,ROUND(AL76,0),0)</f>
        <v>1299</v>
      </c>
      <c r="Q769" s="274">
        <f>IF(AL77&gt;0,ROUND(AL77,0),0)</f>
        <v>0</v>
      </c>
      <c r="R769" s="274">
        <f>IF(AL78&gt;0,ROUND(AL78,0),0)</f>
        <v>628</v>
      </c>
      <c r="S769" s="274">
        <f>IF(AL79&gt;0,ROUND(AL79,0),0)</f>
        <v>0</v>
      </c>
      <c r="T769" s="276">
        <f>IF(AL80&gt;0,ROUND(AL80,2),0)</f>
        <v>0</v>
      </c>
      <c r="U769" s="274"/>
      <c r="V769" s="275"/>
      <c r="W769" s="274"/>
      <c r="X769" s="274"/>
      <c r="Y769" s="274">
        <f t="shared" si="21"/>
        <v>258715</v>
      </c>
      <c r="Z769" s="275"/>
      <c r="AA769" s="275"/>
      <c r="AB769" s="275"/>
      <c r="AC769" s="275"/>
      <c r="AD769" s="275"/>
      <c r="AE769" s="275"/>
      <c r="AF769" s="275"/>
      <c r="AG769" s="275"/>
      <c r="AH769" s="275"/>
      <c r="AI769" s="275"/>
      <c r="AJ769" s="275"/>
      <c r="AK769" s="275"/>
      <c r="AL769" s="275"/>
      <c r="AM769" s="275"/>
      <c r="AN769" s="275"/>
      <c r="AO769" s="275"/>
      <c r="AP769" s="275"/>
      <c r="AQ769" s="275"/>
      <c r="AR769" s="275"/>
      <c r="AS769" s="275"/>
      <c r="AT769" s="275"/>
      <c r="AU769" s="275"/>
      <c r="AV769" s="275"/>
      <c r="AW769" s="275"/>
      <c r="AX769" s="275"/>
      <c r="AY769" s="275"/>
      <c r="AZ769" s="275"/>
      <c r="BA769" s="275"/>
      <c r="BB769" s="275"/>
      <c r="BC769" s="275"/>
      <c r="BD769" s="275"/>
      <c r="BE769" s="275"/>
      <c r="BF769" s="275"/>
      <c r="BG769" s="275"/>
      <c r="BH769" s="275"/>
      <c r="BI769" s="275"/>
      <c r="BJ769" s="275"/>
      <c r="BK769" s="275"/>
      <c r="BL769" s="275"/>
      <c r="BM769" s="275"/>
      <c r="BN769" s="275"/>
      <c r="BO769" s="275"/>
      <c r="BP769" s="275"/>
      <c r="BQ769" s="275"/>
      <c r="BR769" s="275"/>
      <c r="BS769" s="275"/>
      <c r="BT769" s="275"/>
      <c r="BU769" s="275"/>
      <c r="BV769" s="275"/>
      <c r="BW769" s="275"/>
      <c r="BX769" s="275"/>
      <c r="BY769" s="275"/>
      <c r="BZ769" s="275"/>
      <c r="CA769" s="275"/>
      <c r="CB769" s="275"/>
      <c r="CC769" s="275"/>
      <c r="CD769" s="275"/>
      <c r="CE769" s="275"/>
    </row>
    <row r="770" spans="1:83" ht="12.6" customHeight="1" x14ac:dyDescent="0.25">
      <c r="A770" s="209" t="str">
        <f>RIGHT($C$83,3)&amp;"*"&amp;RIGHT($C$82,4)&amp;"*"&amp;AM$55&amp;"*"&amp;"A"</f>
        <v>130*2017*7330*A</v>
      </c>
      <c r="B770" s="274">
        <f>ROUND(AM59,0)</f>
        <v>0</v>
      </c>
      <c r="C770" s="276">
        <f>ROUND(AM60,2)</f>
        <v>0</v>
      </c>
      <c r="D770" s="274">
        <f>ROUND(AM61,0)</f>
        <v>0</v>
      </c>
      <c r="E770" s="274">
        <f>ROUND(AM62,0)</f>
        <v>0</v>
      </c>
      <c r="F770" s="274">
        <f>ROUND(AM63,0)</f>
        <v>0</v>
      </c>
      <c r="G770" s="274">
        <f>ROUND(AM64,0)</f>
        <v>0</v>
      </c>
      <c r="H770" s="274">
        <f>ROUND(AM65,0)</f>
        <v>0</v>
      </c>
      <c r="I770" s="274">
        <f>ROUND(AM66,0)</f>
        <v>0</v>
      </c>
      <c r="J770" s="274">
        <f>ROUND(AM67,0)</f>
        <v>0</v>
      </c>
      <c r="K770" s="274">
        <f>ROUND(AM68,0)</f>
        <v>0</v>
      </c>
      <c r="L770" s="274">
        <f>ROUND(AM69,0)</f>
        <v>0</v>
      </c>
      <c r="M770" s="274">
        <f>ROUND(AM70,0)</f>
        <v>0</v>
      </c>
      <c r="N770" s="274">
        <f>ROUND(AM75,0)</f>
        <v>0</v>
      </c>
      <c r="O770" s="274">
        <f>ROUND(AM73,0)</f>
        <v>0</v>
      </c>
      <c r="P770" s="274">
        <f>IF(AM76&gt;0,ROUND(AM76,0),0)</f>
        <v>0</v>
      </c>
      <c r="Q770" s="274">
        <f>IF(AM77&gt;0,ROUND(AM77,0),0)</f>
        <v>0</v>
      </c>
      <c r="R770" s="274">
        <f>IF(AM78&gt;0,ROUND(AM78,0),0)</f>
        <v>0</v>
      </c>
      <c r="S770" s="274">
        <f>IF(AM79&gt;0,ROUND(AM79,0),0)</f>
        <v>0</v>
      </c>
      <c r="T770" s="276">
        <f>IF(AM80&gt;0,ROUND(AM80,2),0)</f>
        <v>0</v>
      </c>
      <c r="U770" s="274"/>
      <c r="V770" s="275"/>
      <c r="W770" s="274"/>
      <c r="X770" s="274"/>
      <c r="Y770" s="274">
        <f t="shared" si="21"/>
        <v>0</v>
      </c>
      <c r="Z770" s="275"/>
      <c r="AA770" s="275"/>
      <c r="AB770" s="275"/>
      <c r="AC770" s="275"/>
      <c r="AD770" s="275"/>
      <c r="AE770" s="275"/>
      <c r="AF770" s="275"/>
      <c r="AG770" s="275"/>
      <c r="AH770" s="275"/>
      <c r="AI770" s="275"/>
      <c r="AJ770" s="275"/>
      <c r="AK770" s="275"/>
      <c r="AL770" s="275"/>
      <c r="AM770" s="275"/>
      <c r="AN770" s="275"/>
      <c r="AO770" s="275"/>
      <c r="AP770" s="275"/>
      <c r="AQ770" s="275"/>
      <c r="AR770" s="275"/>
      <c r="AS770" s="275"/>
      <c r="AT770" s="275"/>
      <c r="AU770" s="275"/>
      <c r="AV770" s="275"/>
      <c r="AW770" s="275"/>
      <c r="AX770" s="275"/>
      <c r="AY770" s="275"/>
      <c r="AZ770" s="275"/>
      <c r="BA770" s="275"/>
      <c r="BB770" s="275"/>
      <c r="BC770" s="275"/>
      <c r="BD770" s="275"/>
      <c r="BE770" s="275"/>
      <c r="BF770" s="275"/>
      <c r="BG770" s="275"/>
      <c r="BH770" s="275"/>
      <c r="BI770" s="275"/>
      <c r="BJ770" s="275"/>
      <c r="BK770" s="275"/>
      <c r="BL770" s="275"/>
      <c r="BM770" s="275"/>
      <c r="BN770" s="275"/>
      <c r="BO770" s="275"/>
      <c r="BP770" s="275"/>
      <c r="BQ770" s="275"/>
      <c r="BR770" s="275"/>
      <c r="BS770" s="275"/>
      <c r="BT770" s="275"/>
      <c r="BU770" s="275"/>
      <c r="BV770" s="275"/>
      <c r="BW770" s="275"/>
      <c r="BX770" s="275"/>
      <c r="BY770" s="275"/>
      <c r="BZ770" s="275"/>
      <c r="CA770" s="275"/>
      <c r="CB770" s="275"/>
      <c r="CC770" s="275"/>
      <c r="CD770" s="275"/>
      <c r="CE770" s="275"/>
    </row>
    <row r="771" spans="1:83" ht="12.6" customHeight="1" x14ac:dyDescent="0.25">
      <c r="A771" s="209" t="str">
        <f>RIGHT($C$83,3)&amp;"*"&amp;RIGHT($C$82,4)&amp;"*"&amp;AN$55&amp;"*"&amp;"A"</f>
        <v>130*2017*7340*A</v>
      </c>
      <c r="B771" s="274">
        <f>ROUND(AN59,0)</f>
        <v>0</v>
      </c>
      <c r="C771" s="276">
        <f>ROUND(AN60,2)</f>
        <v>0</v>
      </c>
      <c r="D771" s="274">
        <f>ROUND(AN61,0)</f>
        <v>0</v>
      </c>
      <c r="E771" s="274">
        <f>ROUND(AN62,0)</f>
        <v>0</v>
      </c>
      <c r="F771" s="274">
        <f>ROUND(AN63,0)</f>
        <v>0</v>
      </c>
      <c r="G771" s="274">
        <f>ROUND(AN64,0)</f>
        <v>0</v>
      </c>
      <c r="H771" s="274">
        <f>ROUND(AN65,0)</f>
        <v>0</v>
      </c>
      <c r="I771" s="274">
        <f>ROUND(AN66,0)</f>
        <v>0</v>
      </c>
      <c r="J771" s="274">
        <f>ROUND(AN67,0)</f>
        <v>0</v>
      </c>
      <c r="K771" s="274">
        <f>ROUND(AN68,0)</f>
        <v>0</v>
      </c>
      <c r="L771" s="274">
        <f>ROUND(AN69,0)</f>
        <v>0</v>
      </c>
      <c r="M771" s="274">
        <f>ROUND(AN70,0)</f>
        <v>0</v>
      </c>
      <c r="N771" s="274">
        <f>ROUND(AN75,0)</f>
        <v>0</v>
      </c>
      <c r="O771" s="274">
        <f>ROUND(AN73,0)</f>
        <v>0</v>
      </c>
      <c r="P771" s="274">
        <f>IF(AN76&gt;0,ROUND(AN76,0),0)</f>
        <v>0</v>
      </c>
      <c r="Q771" s="274">
        <f>IF(AN77&gt;0,ROUND(AN77,0),0)</f>
        <v>0</v>
      </c>
      <c r="R771" s="274">
        <f>IF(AN78&gt;0,ROUND(AN78,0),0)</f>
        <v>0</v>
      </c>
      <c r="S771" s="274">
        <f>IF(AN79&gt;0,ROUND(AN79,0),0)</f>
        <v>0</v>
      </c>
      <c r="T771" s="276">
        <f>IF(AN80&gt;0,ROUND(AN80,2),0)</f>
        <v>0</v>
      </c>
      <c r="U771" s="274"/>
      <c r="V771" s="275"/>
      <c r="W771" s="274"/>
      <c r="X771" s="274"/>
      <c r="Y771" s="274">
        <f t="shared" si="21"/>
        <v>0</v>
      </c>
      <c r="Z771" s="275"/>
      <c r="AA771" s="275"/>
      <c r="AB771" s="275"/>
      <c r="AC771" s="275"/>
      <c r="AD771" s="275"/>
      <c r="AE771" s="275"/>
      <c r="AF771" s="275"/>
      <c r="AG771" s="275"/>
      <c r="AH771" s="275"/>
      <c r="AI771" s="275"/>
      <c r="AJ771" s="275"/>
      <c r="AK771" s="275"/>
      <c r="AL771" s="275"/>
      <c r="AM771" s="275"/>
      <c r="AN771" s="275"/>
      <c r="AO771" s="275"/>
      <c r="AP771" s="275"/>
      <c r="AQ771" s="275"/>
      <c r="AR771" s="275"/>
      <c r="AS771" s="275"/>
      <c r="AT771" s="275"/>
      <c r="AU771" s="275"/>
      <c r="AV771" s="275"/>
      <c r="AW771" s="275"/>
      <c r="AX771" s="275"/>
      <c r="AY771" s="275"/>
      <c r="AZ771" s="275"/>
      <c r="BA771" s="275"/>
      <c r="BB771" s="275"/>
      <c r="BC771" s="275"/>
      <c r="BD771" s="275"/>
      <c r="BE771" s="275"/>
      <c r="BF771" s="275"/>
      <c r="BG771" s="275"/>
      <c r="BH771" s="275"/>
      <c r="BI771" s="275"/>
      <c r="BJ771" s="275"/>
      <c r="BK771" s="275"/>
      <c r="BL771" s="275"/>
      <c r="BM771" s="275"/>
      <c r="BN771" s="275"/>
      <c r="BO771" s="275"/>
      <c r="BP771" s="275"/>
      <c r="BQ771" s="275"/>
      <c r="BR771" s="275"/>
      <c r="BS771" s="275"/>
      <c r="BT771" s="275"/>
      <c r="BU771" s="275"/>
      <c r="BV771" s="275"/>
      <c r="BW771" s="275"/>
      <c r="BX771" s="275"/>
      <c r="BY771" s="275"/>
      <c r="BZ771" s="275"/>
      <c r="CA771" s="275"/>
      <c r="CB771" s="275"/>
      <c r="CC771" s="275"/>
      <c r="CD771" s="275"/>
      <c r="CE771" s="275"/>
    </row>
    <row r="772" spans="1:83" ht="12.6" customHeight="1" x14ac:dyDescent="0.25">
      <c r="A772" s="209" t="str">
        <f>RIGHT($C$83,3)&amp;"*"&amp;RIGHT($C$82,4)&amp;"*"&amp;AO$55&amp;"*"&amp;"A"</f>
        <v>130*2017*7350*A</v>
      </c>
      <c r="B772" s="274">
        <f>ROUND(AO59,0)</f>
        <v>0</v>
      </c>
      <c r="C772" s="276">
        <f>ROUND(AO60,2)</f>
        <v>0</v>
      </c>
      <c r="D772" s="274">
        <f>ROUND(AO61,0)</f>
        <v>0</v>
      </c>
      <c r="E772" s="274">
        <f>ROUND(AO62,0)</f>
        <v>0</v>
      </c>
      <c r="F772" s="274">
        <f>ROUND(AO63,0)</f>
        <v>0</v>
      </c>
      <c r="G772" s="274">
        <f>ROUND(AO64,0)</f>
        <v>0</v>
      </c>
      <c r="H772" s="274">
        <f>ROUND(AO65,0)</f>
        <v>0</v>
      </c>
      <c r="I772" s="274">
        <f>ROUND(AO66,0)</f>
        <v>0</v>
      </c>
      <c r="J772" s="274">
        <f>ROUND(AO67,0)</f>
        <v>0</v>
      </c>
      <c r="K772" s="274">
        <f>ROUND(AO68,0)</f>
        <v>0</v>
      </c>
      <c r="L772" s="274">
        <f>ROUND(AO69,0)</f>
        <v>0</v>
      </c>
      <c r="M772" s="274">
        <f>ROUND(AO70,0)</f>
        <v>0</v>
      </c>
      <c r="N772" s="274">
        <f>ROUND(AO75,0)</f>
        <v>0</v>
      </c>
      <c r="O772" s="274">
        <f>ROUND(AO73,0)</f>
        <v>0</v>
      </c>
      <c r="P772" s="274">
        <f>IF(AO76&gt;0,ROUND(AO76,0),0)</f>
        <v>0</v>
      </c>
      <c r="Q772" s="274">
        <f>IF(AO77&gt;0,ROUND(AO77,0),0)</f>
        <v>0</v>
      </c>
      <c r="R772" s="274">
        <f>IF(AO78&gt;0,ROUND(AO78,0),0)</f>
        <v>0</v>
      </c>
      <c r="S772" s="274">
        <f>IF(AO79&gt;0,ROUND(AO79,0),0)</f>
        <v>0</v>
      </c>
      <c r="T772" s="276">
        <f>IF(AO80&gt;0,ROUND(AO80,2),0)</f>
        <v>0</v>
      </c>
      <c r="U772" s="274"/>
      <c r="V772" s="275"/>
      <c r="W772" s="274"/>
      <c r="X772" s="274"/>
      <c r="Y772" s="274">
        <f t="shared" si="21"/>
        <v>0</v>
      </c>
      <c r="Z772" s="275"/>
      <c r="AA772" s="275"/>
      <c r="AB772" s="275"/>
      <c r="AC772" s="275"/>
      <c r="AD772" s="275"/>
      <c r="AE772" s="275"/>
      <c r="AF772" s="275"/>
      <c r="AG772" s="275"/>
      <c r="AH772" s="275"/>
      <c r="AI772" s="275"/>
      <c r="AJ772" s="275"/>
      <c r="AK772" s="275"/>
      <c r="AL772" s="275"/>
      <c r="AM772" s="275"/>
      <c r="AN772" s="275"/>
      <c r="AO772" s="275"/>
      <c r="AP772" s="275"/>
      <c r="AQ772" s="275"/>
      <c r="AR772" s="275"/>
      <c r="AS772" s="275"/>
      <c r="AT772" s="275"/>
      <c r="AU772" s="275"/>
      <c r="AV772" s="275"/>
      <c r="AW772" s="275"/>
      <c r="AX772" s="275"/>
      <c r="AY772" s="275"/>
      <c r="AZ772" s="275"/>
      <c r="BA772" s="275"/>
      <c r="BB772" s="275"/>
      <c r="BC772" s="275"/>
      <c r="BD772" s="275"/>
      <c r="BE772" s="275"/>
      <c r="BF772" s="275"/>
      <c r="BG772" s="275"/>
      <c r="BH772" s="275"/>
      <c r="BI772" s="275"/>
      <c r="BJ772" s="275"/>
      <c r="BK772" s="275"/>
      <c r="BL772" s="275"/>
      <c r="BM772" s="275"/>
      <c r="BN772" s="275"/>
      <c r="BO772" s="275"/>
      <c r="BP772" s="275"/>
      <c r="BQ772" s="275"/>
      <c r="BR772" s="275"/>
      <c r="BS772" s="275"/>
      <c r="BT772" s="275"/>
      <c r="BU772" s="275"/>
      <c r="BV772" s="275"/>
      <c r="BW772" s="275"/>
      <c r="BX772" s="275"/>
      <c r="BY772" s="275"/>
      <c r="BZ772" s="275"/>
      <c r="CA772" s="275"/>
      <c r="CB772" s="275"/>
      <c r="CC772" s="275"/>
      <c r="CD772" s="275"/>
      <c r="CE772" s="275"/>
    </row>
    <row r="773" spans="1:83" ht="12.6" customHeight="1" x14ac:dyDescent="0.25">
      <c r="A773" s="209" t="str">
        <f>RIGHT($C$83,3)&amp;"*"&amp;RIGHT($C$82,4)&amp;"*"&amp;AP$55&amp;"*"&amp;"A"</f>
        <v>130*2017*7380*A</v>
      </c>
      <c r="B773" s="274">
        <f>ROUND(AP59,0)</f>
        <v>0</v>
      </c>
      <c r="C773" s="276">
        <f>ROUND(AP60,2)</f>
        <v>0</v>
      </c>
      <c r="D773" s="274">
        <f>ROUND(AP61,0)</f>
        <v>0</v>
      </c>
      <c r="E773" s="274">
        <f>ROUND(AP62,0)</f>
        <v>0</v>
      </c>
      <c r="F773" s="274">
        <f>ROUND(AP63,0)</f>
        <v>0</v>
      </c>
      <c r="G773" s="274">
        <f>ROUND(AP64,0)</f>
        <v>0</v>
      </c>
      <c r="H773" s="274">
        <f>ROUND(AP65,0)</f>
        <v>0</v>
      </c>
      <c r="I773" s="274">
        <f>ROUND(AP66,0)</f>
        <v>0</v>
      </c>
      <c r="J773" s="274">
        <f>ROUND(AP67,0)</f>
        <v>0</v>
      </c>
      <c r="K773" s="274">
        <f>ROUND(AP68,0)</f>
        <v>0</v>
      </c>
      <c r="L773" s="274">
        <f>ROUND(AP69,0)</f>
        <v>0</v>
      </c>
      <c r="M773" s="274">
        <f>ROUND(AP70,0)</f>
        <v>0</v>
      </c>
      <c r="N773" s="274">
        <f>ROUND(AP75,0)</f>
        <v>0</v>
      </c>
      <c r="O773" s="274">
        <f>ROUND(AP73,0)</f>
        <v>0</v>
      </c>
      <c r="P773" s="274">
        <f>IF(AP76&gt;0,ROUND(AP76,0),0)</f>
        <v>0</v>
      </c>
      <c r="Q773" s="274">
        <f>IF(AP77&gt;0,ROUND(AP77,0),0)</f>
        <v>0</v>
      </c>
      <c r="R773" s="274">
        <f>IF(AP78&gt;0,ROUND(AP78,0),0)</f>
        <v>0</v>
      </c>
      <c r="S773" s="274">
        <f>IF(AP79&gt;0,ROUND(AP79,0),0)</f>
        <v>0</v>
      </c>
      <c r="T773" s="276">
        <f>IF(AP80&gt;0,ROUND(AP80,2),0)</f>
        <v>0</v>
      </c>
      <c r="U773" s="274"/>
      <c r="V773" s="275"/>
      <c r="W773" s="274"/>
      <c r="X773" s="274"/>
      <c r="Y773" s="274">
        <f t="shared" si="21"/>
        <v>0</v>
      </c>
      <c r="Z773" s="275"/>
      <c r="AA773" s="275"/>
      <c r="AB773" s="275"/>
      <c r="AC773" s="275"/>
      <c r="AD773" s="275"/>
      <c r="AE773" s="275"/>
      <c r="AF773" s="275"/>
      <c r="AG773" s="275"/>
      <c r="AH773" s="275"/>
      <c r="AI773" s="275"/>
      <c r="AJ773" s="275"/>
      <c r="AK773" s="275"/>
      <c r="AL773" s="275"/>
      <c r="AM773" s="275"/>
      <c r="AN773" s="275"/>
      <c r="AO773" s="275"/>
      <c r="AP773" s="275"/>
      <c r="AQ773" s="275"/>
      <c r="AR773" s="275"/>
      <c r="AS773" s="275"/>
      <c r="AT773" s="275"/>
      <c r="AU773" s="275"/>
      <c r="AV773" s="275"/>
      <c r="AW773" s="275"/>
      <c r="AX773" s="275"/>
      <c r="AY773" s="275"/>
      <c r="AZ773" s="275"/>
      <c r="BA773" s="275"/>
      <c r="BB773" s="275"/>
      <c r="BC773" s="275"/>
      <c r="BD773" s="275"/>
      <c r="BE773" s="275"/>
      <c r="BF773" s="275"/>
      <c r="BG773" s="275"/>
      <c r="BH773" s="275"/>
      <c r="BI773" s="275"/>
      <c r="BJ773" s="275"/>
      <c r="BK773" s="275"/>
      <c r="BL773" s="275"/>
      <c r="BM773" s="275"/>
      <c r="BN773" s="275"/>
      <c r="BO773" s="275"/>
      <c r="BP773" s="275"/>
      <c r="BQ773" s="275"/>
      <c r="BR773" s="275"/>
      <c r="BS773" s="275"/>
      <c r="BT773" s="275"/>
      <c r="BU773" s="275"/>
      <c r="BV773" s="275"/>
      <c r="BW773" s="275"/>
      <c r="BX773" s="275"/>
      <c r="BY773" s="275"/>
      <c r="BZ773" s="275"/>
      <c r="CA773" s="275"/>
      <c r="CB773" s="275"/>
      <c r="CC773" s="275"/>
      <c r="CD773" s="275"/>
      <c r="CE773" s="275"/>
    </row>
    <row r="774" spans="1:83" ht="12.6" customHeight="1" x14ac:dyDescent="0.25">
      <c r="A774" s="209" t="str">
        <f>RIGHT($C$83,3)&amp;"*"&amp;RIGHT($C$82,4)&amp;"*"&amp;AQ$55&amp;"*"&amp;"A"</f>
        <v>130*2017*7390*A</v>
      </c>
      <c r="B774" s="274">
        <f>ROUND(AQ59,0)</f>
        <v>0</v>
      </c>
      <c r="C774" s="276">
        <f>ROUND(AQ60,2)</f>
        <v>0</v>
      </c>
      <c r="D774" s="274">
        <f>ROUND(AQ61,0)</f>
        <v>0</v>
      </c>
      <c r="E774" s="274">
        <f>ROUND(AQ62,0)</f>
        <v>0</v>
      </c>
      <c r="F774" s="274">
        <f>ROUND(AQ63,0)</f>
        <v>0</v>
      </c>
      <c r="G774" s="274">
        <f>ROUND(AQ64,0)</f>
        <v>0</v>
      </c>
      <c r="H774" s="274">
        <f>ROUND(AQ65,0)</f>
        <v>0</v>
      </c>
      <c r="I774" s="274">
        <f>ROUND(AQ66,0)</f>
        <v>0</v>
      </c>
      <c r="J774" s="274">
        <f>ROUND(AQ67,0)</f>
        <v>0</v>
      </c>
      <c r="K774" s="274">
        <f>ROUND(AQ68,0)</f>
        <v>0</v>
      </c>
      <c r="L774" s="274">
        <f>ROUND(AQ69,0)</f>
        <v>0</v>
      </c>
      <c r="M774" s="274">
        <f>ROUND(AQ70,0)</f>
        <v>0</v>
      </c>
      <c r="N774" s="274">
        <f>ROUND(AQ75,0)</f>
        <v>0</v>
      </c>
      <c r="O774" s="274">
        <f>ROUND(AQ73,0)</f>
        <v>0</v>
      </c>
      <c r="P774" s="274">
        <f>IF(AQ76&gt;0,ROUND(AQ76,0),0)</f>
        <v>0</v>
      </c>
      <c r="Q774" s="274">
        <f>IF(AQ77&gt;0,ROUND(AQ77,0),0)</f>
        <v>0</v>
      </c>
      <c r="R774" s="274">
        <f>IF(AQ78&gt;0,ROUND(AQ78,0),0)</f>
        <v>0</v>
      </c>
      <c r="S774" s="274">
        <f>IF(AQ79&gt;0,ROUND(AQ79,0),0)</f>
        <v>0</v>
      </c>
      <c r="T774" s="276">
        <f>IF(AQ80&gt;0,ROUND(AQ80,2),0)</f>
        <v>0</v>
      </c>
      <c r="U774" s="274"/>
      <c r="V774" s="275"/>
      <c r="W774" s="274"/>
      <c r="X774" s="274"/>
      <c r="Y774" s="274">
        <f t="shared" si="21"/>
        <v>0</v>
      </c>
      <c r="Z774" s="275"/>
      <c r="AA774" s="275"/>
      <c r="AB774" s="275"/>
      <c r="AC774" s="275"/>
      <c r="AD774" s="275"/>
      <c r="AE774" s="275"/>
      <c r="AF774" s="275"/>
      <c r="AG774" s="275"/>
      <c r="AH774" s="275"/>
      <c r="AI774" s="275"/>
      <c r="AJ774" s="275"/>
      <c r="AK774" s="275"/>
      <c r="AL774" s="275"/>
      <c r="AM774" s="275"/>
      <c r="AN774" s="275"/>
      <c r="AO774" s="275"/>
      <c r="AP774" s="275"/>
      <c r="AQ774" s="275"/>
      <c r="AR774" s="275"/>
      <c r="AS774" s="275"/>
      <c r="AT774" s="275"/>
      <c r="AU774" s="275"/>
      <c r="AV774" s="275"/>
      <c r="AW774" s="275"/>
      <c r="AX774" s="275"/>
      <c r="AY774" s="275"/>
      <c r="AZ774" s="275"/>
      <c r="BA774" s="275"/>
      <c r="BB774" s="275"/>
      <c r="BC774" s="275"/>
      <c r="BD774" s="275"/>
      <c r="BE774" s="275"/>
      <c r="BF774" s="275"/>
      <c r="BG774" s="275"/>
      <c r="BH774" s="275"/>
      <c r="BI774" s="275"/>
      <c r="BJ774" s="275"/>
      <c r="BK774" s="275"/>
      <c r="BL774" s="275"/>
      <c r="BM774" s="275"/>
      <c r="BN774" s="275"/>
      <c r="BO774" s="275"/>
      <c r="BP774" s="275"/>
      <c r="BQ774" s="275"/>
      <c r="BR774" s="275"/>
      <c r="BS774" s="275"/>
      <c r="BT774" s="275"/>
      <c r="BU774" s="275"/>
      <c r="BV774" s="275"/>
      <c r="BW774" s="275"/>
      <c r="BX774" s="275"/>
      <c r="BY774" s="275"/>
      <c r="BZ774" s="275"/>
      <c r="CA774" s="275"/>
      <c r="CB774" s="275"/>
      <c r="CC774" s="275"/>
      <c r="CD774" s="275"/>
      <c r="CE774" s="275"/>
    </row>
    <row r="775" spans="1:83" ht="12.6" customHeight="1" x14ac:dyDescent="0.25">
      <c r="A775" s="209" t="str">
        <f>RIGHT($C$83,3)&amp;"*"&amp;RIGHT($C$82,4)&amp;"*"&amp;AR$55&amp;"*"&amp;"A"</f>
        <v>130*2017*7400*A</v>
      </c>
      <c r="B775" s="274">
        <f>ROUND(AR59,0)</f>
        <v>0</v>
      </c>
      <c r="C775" s="276">
        <f>ROUND(AR60,2)</f>
        <v>0</v>
      </c>
      <c r="D775" s="274">
        <f>ROUND(AR61,0)</f>
        <v>0</v>
      </c>
      <c r="E775" s="274">
        <f>ROUND(AR62,0)</f>
        <v>0</v>
      </c>
      <c r="F775" s="274">
        <f>ROUND(AR63,0)</f>
        <v>0</v>
      </c>
      <c r="G775" s="274">
        <f>ROUND(AR64,0)</f>
        <v>0</v>
      </c>
      <c r="H775" s="274">
        <f>ROUND(AR65,0)</f>
        <v>0</v>
      </c>
      <c r="I775" s="274">
        <f>ROUND(AR66,0)</f>
        <v>0</v>
      </c>
      <c r="J775" s="274">
        <f>ROUND(AR67,0)</f>
        <v>0</v>
      </c>
      <c r="K775" s="274">
        <f>ROUND(AR68,0)</f>
        <v>0</v>
      </c>
      <c r="L775" s="274">
        <f>ROUND(AR69,0)</f>
        <v>0</v>
      </c>
      <c r="M775" s="274">
        <f>ROUND(AR70,0)</f>
        <v>0</v>
      </c>
      <c r="N775" s="274">
        <f>ROUND(AR75,0)</f>
        <v>0</v>
      </c>
      <c r="O775" s="274">
        <f>ROUND(AR73,0)</f>
        <v>0</v>
      </c>
      <c r="P775" s="274">
        <f>IF(AR76&gt;0,ROUND(AR76,0),0)</f>
        <v>0</v>
      </c>
      <c r="Q775" s="274">
        <f>IF(AR77&gt;0,ROUND(AR77,0),0)</f>
        <v>0</v>
      </c>
      <c r="R775" s="274">
        <f>IF(AR78&gt;0,ROUND(AR78,0),0)</f>
        <v>0</v>
      </c>
      <c r="S775" s="274">
        <f>IF(AR79&gt;0,ROUND(AR79,0),0)</f>
        <v>0</v>
      </c>
      <c r="T775" s="276">
        <f>IF(AR80&gt;0,ROUND(AR80,2),0)</f>
        <v>0</v>
      </c>
      <c r="U775" s="274"/>
      <c r="V775" s="275"/>
      <c r="W775" s="274"/>
      <c r="X775" s="274"/>
      <c r="Y775" s="274">
        <f t="shared" si="21"/>
        <v>0</v>
      </c>
      <c r="Z775" s="275"/>
      <c r="AA775" s="275"/>
      <c r="AB775" s="275"/>
      <c r="AC775" s="275"/>
      <c r="AD775" s="275"/>
      <c r="AE775" s="275"/>
      <c r="AF775" s="275"/>
      <c r="AG775" s="275"/>
      <c r="AH775" s="275"/>
      <c r="AI775" s="275"/>
      <c r="AJ775" s="275"/>
      <c r="AK775" s="275"/>
      <c r="AL775" s="275"/>
      <c r="AM775" s="275"/>
      <c r="AN775" s="275"/>
      <c r="AO775" s="275"/>
      <c r="AP775" s="275"/>
      <c r="AQ775" s="275"/>
      <c r="AR775" s="275"/>
      <c r="AS775" s="275"/>
      <c r="AT775" s="275"/>
      <c r="AU775" s="275"/>
      <c r="AV775" s="275"/>
      <c r="AW775" s="275"/>
      <c r="AX775" s="275"/>
      <c r="AY775" s="275"/>
      <c r="AZ775" s="275"/>
      <c r="BA775" s="275"/>
      <c r="BB775" s="275"/>
      <c r="BC775" s="275"/>
      <c r="BD775" s="275"/>
      <c r="BE775" s="275"/>
      <c r="BF775" s="275"/>
      <c r="BG775" s="275"/>
      <c r="BH775" s="275"/>
      <c r="BI775" s="275"/>
      <c r="BJ775" s="275"/>
      <c r="BK775" s="275"/>
      <c r="BL775" s="275"/>
      <c r="BM775" s="275"/>
      <c r="BN775" s="275"/>
      <c r="BO775" s="275"/>
      <c r="BP775" s="275"/>
      <c r="BQ775" s="275"/>
      <c r="BR775" s="275"/>
      <c r="BS775" s="275"/>
      <c r="BT775" s="275"/>
      <c r="BU775" s="275"/>
      <c r="BV775" s="275"/>
      <c r="BW775" s="275"/>
      <c r="BX775" s="275"/>
      <c r="BY775" s="275"/>
      <c r="BZ775" s="275"/>
      <c r="CA775" s="275"/>
      <c r="CB775" s="275"/>
      <c r="CC775" s="275"/>
      <c r="CD775" s="275"/>
      <c r="CE775" s="275"/>
    </row>
    <row r="776" spans="1:83" ht="12.6" customHeight="1" x14ac:dyDescent="0.25">
      <c r="A776" s="209" t="str">
        <f>RIGHT($C$83,3)&amp;"*"&amp;RIGHT($C$82,4)&amp;"*"&amp;AS$55&amp;"*"&amp;"A"</f>
        <v>130*2017*7410*A</v>
      </c>
      <c r="B776" s="274">
        <f>ROUND(AS59,0)</f>
        <v>0</v>
      </c>
      <c r="C776" s="276">
        <f>ROUND(AS60,2)</f>
        <v>0</v>
      </c>
      <c r="D776" s="274">
        <f>ROUND(AS61,0)</f>
        <v>0</v>
      </c>
      <c r="E776" s="274">
        <f>ROUND(AS62,0)</f>
        <v>0</v>
      </c>
      <c r="F776" s="274">
        <f>ROUND(AS63,0)</f>
        <v>0</v>
      </c>
      <c r="G776" s="274">
        <f>ROUND(AS64,0)</f>
        <v>0</v>
      </c>
      <c r="H776" s="274">
        <f>ROUND(AS65,0)</f>
        <v>0</v>
      </c>
      <c r="I776" s="274">
        <f>ROUND(AS66,0)</f>
        <v>0</v>
      </c>
      <c r="J776" s="274">
        <f>ROUND(AS67,0)</f>
        <v>0</v>
      </c>
      <c r="K776" s="274">
        <f>ROUND(AS68,0)</f>
        <v>0</v>
      </c>
      <c r="L776" s="274">
        <f>ROUND(AS69,0)</f>
        <v>0</v>
      </c>
      <c r="M776" s="274">
        <f>ROUND(AS70,0)</f>
        <v>0</v>
      </c>
      <c r="N776" s="274">
        <f>ROUND(AS75,0)</f>
        <v>0</v>
      </c>
      <c r="O776" s="274">
        <f>ROUND(AS73,0)</f>
        <v>0</v>
      </c>
      <c r="P776" s="274">
        <f>IF(AS76&gt;0,ROUND(AS76,0),0)</f>
        <v>0</v>
      </c>
      <c r="Q776" s="274">
        <f>IF(AS77&gt;0,ROUND(AS77,0),0)</f>
        <v>0</v>
      </c>
      <c r="R776" s="274">
        <f>IF(AS78&gt;0,ROUND(AS78,0),0)</f>
        <v>0</v>
      </c>
      <c r="S776" s="274">
        <f>IF(AS79&gt;0,ROUND(AS79,0),0)</f>
        <v>0</v>
      </c>
      <c r="T776" s="276">
        <f>IF(AS80&gt;0,ROUND(AS80,2),0)</f>
        <v>0</v>
      </c>
      <c r="U776" s="274"/>
      <c r="V776" s="275"/>
      <c r="W776" s="274"/>
      <c r="X776" s="274"/>
      <c r="Y776" s="274">
        <f t="shared" si="21"/>
        <v>0</v>
      </c>
      <c r="Z776" s="275"/>
      <c r="AA776" s="275"/>
      <c r="AB776" s="275"/>
      <c r="AC776" s="275"/>
      <c r="AD776" s="275"/>
      <c r="AE776" s="275"/>
      <c r="AF776" s="275"/>
      <c r="AG776" s="275"/>
      <c r="AH776" s="275"/>
      <c r="AI776" s="275"/>
      <c r="AJ776" s="275"/>
      <c r="AK776" s="275"/>
      <c r="AL776" s="275"/>
      <c r="AM776" s="275"/>
      <c r="AN776" s="275"/>
      <c r="AO776" s="275"/>
      <c r="AP776" s="275"/>
      <c r="AQ776" s="275"/>
      <c r="AR776" s="275"/>
      <c r="AS776" s="275"/>
      <c r="AT776" s="275"/>
      <c r="AU776" s="275"/>
      <c r="AV776" s="275"/>
      <c r="AW776" s="275"/>
      <c r="AX776" s="275"/>
      <c r="AY776" s="275"/>
      <c r="AZ776" s="275"/>
      <c r="BA776" s="275"/>
      <c r="BB776" s="275"/>
      <c r="BC776" s="275"/>
      <c r="BD776" s="275"/>
      <c r="BE776" s="275"/>
      <c r="BF776" s="275"/>
      <c r="BG776" s="275"/>
      <c r="BH776" s="275"/>
      <c r="BI776" s="275"/>
      <c r="BJ776" s="275"/>
      <c r="BK776" s="275"/>
      <c r="BL776" s="275"/>
      <c r="BM776" s="275"/>
      <c r="BN776" s="275"/>
      <c r="BO776" s="275"/>
      <c r="BP776" s="275"/>
      <c r="BQ776" s="275"/>
      <c r="BR776" s="275"/>
      <c r="BS776" s="275"/>
      <c r="BT776" s="275"/>
      <c r="BU776" s="275"/>
      <c r="BV776" s="275"/>
      <c r="BW776" s="275"/>
      <c r="BX776" s="275"/>
      <c r="BY776" s="275"/>
      <c r="BZ776" s="275"/>
      <c r="CA776" s="275"/>
      <c r="CB776" s="275"/>
      <c r="CC776" s="275"/>
      <c r="CD776" s="275"/>
      <c r="CE776" s="275"/>
    </row>
    <row r="777" spans="1:83" ht="12.6" customHeight="1" x14ac:dyDescent="0.25">
      <c r="A777" s="209" t="str">
        <f>RIGHT($C$83,3)&amp;"*"&amp;RIGHT($C$82,4)&amp;"*"&amp;AT$55&amp;"*"&amp;"A"</f>
        <v>130*2017*7420*A</v>
      </c>
      <c r="B777" s="274">
        <f>ROUND(AT59,0)</f>
        <v>0</v>
      </c>
      <c r="C777" s="276">
        <f>ROUND(AT60,2)</f>
        <v>0</v>
      </c>
      <c r="D777" s="274">
        <f>ROUND(AT61,0)</f>
        <v>0</v>
      </c>
      <c r="E777" s="274">
        <f>ROUND(AT62,0)</f>
        <v>0</v>
      </c>
      <c r="F777" s="274">
        <f>ROUND(AT63,0)</f>
        <v>0</v>
      </c>
      <c r="G777" s="274">
        <f>ROUND(AT64,0)</f>
        <v>0</v>
      </c>
      <c r="H777" s="274">
        <f>ROUND(AT65,0)</f>
        <v>0</v>
      </c>
      <c r="I777" s="274">
        <f>ROUND(AT66,0)</f>
        <v>0</v>
      </c>
      <c r="J777" s="274">
        <f>ROUND(AT67,0)</f>
        <v>0</v>
      </c>
      <c r="K777" s="274">
        <f>ROUND(AT68,0)</f>
        <v>0</v>
      </c>
      <c r="L777" s="274">
        <f>ROUND(AT69,0)</f>
        <v>0</v>
      </c>
      <c r="M777" s="274">
        <f>ROUND(AT70,0)</f>
        <v>0</v>
      </c>
      <c r="N777" s="274">
        <f>ROUND(AT75,0)</f>
        <v>0</v>
      </c>
      <c r="O777" s="274">
        <f>ROUND(AT73,0)</f>
        <v>0</v>
      </c>
      <c r="P777" s="274">
        <f>IF(AT76&gt;0,ROUND(AT76,0),0)</f>
        <v>0</v>
      </c>
      <c r="Q777" s="274">
        <f>IF(AT77&gt;0,ROUND(AT77,0),0)</f>
        <v>0</v>
      </c>
      <c r="R777" s="274">
        <f>IF(AT78&gt;0,ROUND(AT78,0),0)</f>
        <v>0</v>
      </c>
      <c r="S777" s="274">
        <f>IF(AT79&gt;0,ROUND(AT79,0),0)</f>
        <v>0</v>
      </c>
      <c r="T777" s="276">
        <f>IF(AT80&gt;0,ROUND(AT80,2),0)</f>
        <v>0</v>
      </c>
      <c r="U777" s="274"/>
      <c r="V777" s="275"/>
      <c r="W777" s="274"/>
      <c r="X777" s="274"/>
      <c r="Y777" s="274">
        <f t="shared" si="21"/>
        <v>0</v>
      </c>
      <c r="Z777" s="275"/>
      <c r="AA777" s="275"/>
      <c r="AB777" s="275"/>
      <c r="AC777" s="275"/>
      <c r="AD777" s="275"/>
      <c r="AE777" s="275"/>
      <c r="AF777" s="275"/>
      <c r="AG777" s="275"/>
      <c r="AH777" s="275"/>
      <c r="AI777" s="275"/>
      <c r="AJ777" s="275"/>
      <c r="AK777" s="275"/>
      <c r="AL777" s="275"/>
      <c r="AM777" s="275"/>
      <c r="AN777" s="275"/>
      <c r="AO777" s="275"/>
      <c r="AP777" s="275"/>
      <c r="AQ777" s="275"/>
      <c r="AR777" s="275"/>
      <c r="AS777" s="275"/>
      <c r="AT777" s="275"/>
      <c r="AU777" s="275"/>
      <c r="AV777" s="275"/>
      <c r="AW777" s="275"/>
      <c r="AX777" s="275"/>
      <c r="AY777" s="275"/>
      <c r="AZ777" s="275"/>
      <c r="BA777" s="275"/>
      <c r="BB777" s="275"/>
      <c r="BC777" s="275"/>
      <c r="BD777" s="275"/>
      <c r="BE777" s="275"/>
      <c r="BF777" s="275"/>
      <c r="BG777" s="275"/>
      <c r="BH777" s="275"/>
      <c r="BI777" s="275"/>
      <c r="BJ777" s="275"/>
      <c r="BK777" s="275"/>
      <c r="BL777" s="275"/>
      <c r="BM777" s="275"/>
      <c r="BN777" s="275"/>
      <c r="BO777" s="275"/>
      <c r="BP777" s="275"/>
      <c r="BQ777" s="275"/>
      <c r="BR777" s="275"/>
      <c r="BS777" s="275"/>
      <c r="BT777" s="275"/>
      <c r="BU777" s="275"/>
      <c r="BV777" s="275"/>
      <c r="BW777" s="275"/>
      <c r="BX777" s="275"/>
      <c r="BY777" s="275"/>
      <c r="BZ777" s="275"/>
      <c r="CA777" s="275"/>
      <c r="CB777" s="275"/>
      <c r="CC777" s="275"/>
      <c r="CD777" s="275"/>
      <c r="CE777" s="275"/>
    </row>
    <row r="778" spans="1:83" ht="12.6" customHeight="1" x14ac:dyDescent="0.25">
      <c r="A778" s="209" t="str">
        <f>RIGHT($C$83,3)&amp;"*"&amp;RIGHT($C$82,4)&amp;"*"&amp;AU$55&amp;"*"&amp;"A"</f>
        <v>130*2017*7430*A</v>
      </c>
      <c r="B778" s="274">
        <f>ROUND(AU59,0)</f>
        <v>0</v>
      </c>
      <c r="C778" s="276">
        <f>ROUND(AU60,2)</f>
        <v>0</v>
      </c>
      <c r="D778" s="274">
        <f>ROUND(AU61,0)</f>
        <v>0</v>
      </c>
      <c r="E778" s="274">
        <f>ROUND(AU62,0)</f>
        <v>0</v>
      </c>
      <c r="F778" s="274">
        <f>ROUND(AU63,0)</f>
        <v>0</v>
      </c>
      <c r="G778" s="274">
        <f>ROUND(AU64,0)</f>
        <v>0</v>
      </c>
      <c r="H778" s="274">
        <f>ROUND(AU65,0)</f>
        <v>0</v>
      </c>
      <c r="I778" s="274">
        <f>ROUND(AU66,0)</f>
        <v>0</v>
      </c>
      <c r="J778" s="274">
        <f>ROUND(AU67,0)</f>
        <v>0</v>
      </c>
      <c r="K778" s="274">
        <f>ROUND(AU68,0)</f>
        <v>0</v>
      </c>
      <c r="L778" s="274">
        <f>ROUND(AU69,0)</f>
        <v>0</v>
      </c>
      <c r="M778" s="274">
        <f>ROUND(AU70,0)</f>
        <v>0</v>
      </c>
      <c r="N778" s="274">
        <f>ROUND(AU75,0)</f>
        <v>0</v>
      </c>
      <c r="O778" s="274">
        <f>ROUND(AU73,0)</f>
        <v>0</v>
      </c>
      <c r="P778" s="274">
        <f>IF(AU76&gt;0,ROUND(AU76,0),0)</f>
        <v>0</v>
      </c>
      <c r="Q778" s="274">
        <f>IF(AU77&gt;0,ROUND(AU77,0),0)</f>
        <v>0</v>
      </c>
      <c r="R778" s="274">
        <f>IF(AU78&gt;0,ROUND(AU78,0),0)</f>
        <v>0</v>
      </c>
      <c r="S778" s="274">
        <f>IF(AU79&gt;0,ROUND(AU79,0),0)</f>
        <v>0</v>
      </c>
      <c r="T778" s="276">
        <f>IF(AU80&gt;0,ROUND(AU80,2),0)</f>
        <v>0</v>
      </c>
      <c r="U778" s="274"/>
      <c r="V778" s="275"/>
      <c r="W778" s="274"/>
      <c r="X778" s="274"/>
      <c r="Y778" s="274">
        <f t="shared" si="21"/>
        <v>0</v>
      </c>
      <c r="Z778" s="275"/>
      <c r="AA778" s="275"/>
      <c r="AB778" s="275"/>
      <c r="AC778" s="275"/>
      <c r="AD778" s="275"/>
      <c r="AE778" s="275"/>
      <c r="AF778" s="275"/>
      <c r="AG778" s="275"/>
      <c r="AH778" s="275"/>
      <c r="AI778" s="275"/>
      <c r="AJ778" s="275"/>
      <c r="AK778" s="275"/>
      <c r="AL778" s="275"/>
      <c r="AM778" s="275"/>
      <c r="AN778" s="275"/>
      <c r="AO778" s="275"/>
      <c r="AP778" s="275"/>
      <c r="AQ778" s="275"/>
      <c r="AR778" s="275"/>
      <c r="AS778" s="275"/>
      <c r="AT778" s="275"/>
      <c r="AU778" s="275"/>
      <c r="AV778" s="275"/>
      <c r="AW778" s="275"/>
      <c r="AX778" s="275"/>
      <c r="AY778" s="275"/>
      <c r="AZ778" s="275"/>
      <c r="BA778" s="275"/>
      <c r="BB778" s="275"/>
      <c r="BC778" s="275"/>
      <c r="BD778" s="275"/>
      <c r="BE778" s="275"/>
      <c r="BF778" s="275"/>
      <c r="BG778" s="275"/>
      <c r="BH778" s="275"/>
      <c r="BI778" s="275"/>
      <c r="BJ778" s="275"/>
      <c r="BK778" s="275"/>
      <c r="BL778" s="275"/>
      <c r="BM778" s="275"/>
      <c r="BN778" s="275"/>
      <c r="BO778" s="275"/>
      <c r="BP778" s="275"/>
      <c r="BQ778" s="275"/>
      <c r="BR778" s="275"/>
      <c r="BS778" s="275"/>
      <c r="BT778" s="275"/>
      <c r="BU778" s="275"/>
      <c r="BV778" s="275"/>
      <c r="BW778" s="275"/>
      <c r="BX778" s="275"/>
      <c r="BY778" s="275"/>
      <c r="BZ778" s="275"/>
      <c r="CA778" s="275"/>
      <c r="CB778" s="275"/>
      <c r="CC778" s="275"/>
      <c r="CD778" s="275"/>
      <c r="CE778" s="275"/>
    </row>
    <row r="779" spans="1:83" ht="12.6" customHeight="1" x14ac:dyDescent="0.25">
      <c r="A779" s="209" t="str">
        <f>RIGHT($C$83,3)&amp;"*"&amp;RIGHT($C$82,4)&amp;"*"&amp;AV$55&amp;"*"&amp;"A"</f>
        <v>130*2017*7490*A</v>
      </c>
      <c r="B779" s="274"/>
      <c r="C779" s="276">
        <f>ROUND(AV60,2)</f>
        <v>27.65</v>
      </c>
      <c r="D779" s="274">
        <f>ROUND(AV61,0)</f>
        <v>2388343</v>
      </c>
      <c r="E779" s="274">
        <f>ROUND(AV62,0)</f>
        <v>599435</v>
      </c>
      <c r="F779" s="274">
        <f>ROUND(AV63,0)</f>
        <v>252925</v>
      </c>
      <c r="G779" s="274">
        <f>ROUND(AV64,0)</f>
        <v>3863444</v>
      </c>
      <c r="H779" s="274">
        <f>ROUND(AV65,0)</f>
        <v>874</v>
      </c>
      <c r="I779" s="274">
        <f>ROUND(AV66,0)</f>
        <v>3345504</v>
      </c>
      <c r="J779" s="274">
        <f>ROUND(AV67,0)</f>
        <v>994974</v>
      </c>
      <c r="K779" s="274">
        <f>ROUND(AV68,0)</f>
        <v>558773</v>
      </c>
      <c r="L779" s="274">
        <f>ROUND(AV69,0)</f>
        <v>13700</v>
      </c>
      <c r="M779" s="274">
        <f>ROUND(AV70,0)</f>
        <v>113440</v>
      </c>
      <c r="N779" s="274">
        <f>ROUND(AV75,0)</f>
        <v>55512777</v>
      </c>
      <c r="O779" s="274">
        <f>ROUND(AV73,0)</f>
        <v>9991102</v>
      </c>
      <c r="P779" s="274">
        <f>IF(AV76&gt;0,ROUND(AV76,0),0)</f>
        <v>30230</v>
      </c>
      <c r="Q779" s="274">
        <f>IF(AV77&gt;0,ROUND(AV77,0),0)</f>
        <v>0</v>
      </c>
      <c r="R779" s="274">
        <f>IF(AV78&gt;0,ROUND(AV78,0),0)</f>
        <v>6708</v>
      </c>
      <c r="S779" s="274">
        <f>IF(AV79&gt;0,ROUND(AV79,0),0)</f>
        <v>86346</v>
      </c>
      <c r="T779" s="276">
        <f>IF(AV80&gt;0,ROUND(AV80,2),0)</f>
        <v>15.21</v>
      </c>
      <c r="U779" s="274"/>
      <c r="V779" s="275"/>
      <c r="W779" s="274"/>
      <c r="X779" s="274"/>
      <c r="Y779" s="274">
        <f t="shared" si="21"/>
        <v>5886149</v>
      </c>
      <c r="Z779" s="275"/>
      <c r="AA779" s="275"/>
      <c r="AB779" s="275"/>
      <c r="AC779" s="275"/>
      <c r="AD779" s="275"/>
      <c r="AE779" s="275"/>
      <c r="AF779" s="275"/>
      <c r="AG779" s="275"/>
      <c r="AH779" s="275"/>
      <c r="AI779" s="275"/>
      <c r="AJ779" s="275"/>
      <c r="AK779" s="275"/>
      <c r="AL779" s="275"/>
      <c r="AM779" s="275"/>
      <c r="AN779" s="275"/>
      <c r="AO779" s="275"/>
      <c r="AP779" s="275"/>
      <c r="AQ779" s="275"/>
      <c r="AR779" s="275"/>
      <c r="AS779" s="275"/>
      <c r="AT779" s="275"/>
      <c r="AU779" s="275"/>
      <c r="AV779" s="275"/>
      <c r="AW779" s="275"/>
      <c r="AX779" s="275"/>
      <c r="AY779" s="275"/>
      <c r="AZ779" s="275"/>
      <c r="BA779" s="275"/>
      <c r="BB779" s="275"/>
      <c r="BC779" s="275"/>
      <c r="BD779" s="275"/>
      <c r="BE779" s="275"/>
      <c r="BF779" s="275"/>
      <c r="BG779" s="275"/>
      <c r="BH779" s="275"/>
      <c r="BI779" s="275"/>
      <c r="BJ779" s="275"/>
      <c r="BK779" s="275"/>
      <c r="BL779" s="275"/>
      <c r="BM779" s="275"/>
      <c r="BN779" s="275"/>
      <c r="BO779" s="275"/>
      <c r="BP779" s="275"/>
      <c r="BQ779" s="275"/>
      <c r="BR779" s="275"/>
      <c r="BS779" s="275"/>
      <c r="BT779" s="275"/>
      <c r="BU779" s="275"/>
      <c r="BV779" s="275"/>
      <c r="BW779" s="275"/>
      <c r="BX779" s="275"/>
      <c r="BY779" s="275"/>
      <c r="BZ779" s="275"/>
      <c r="CA779" s="275"/>
      <c r="CB779" s="275"/>
      <c r="CC779" s="275"/>
      <c r="CD779" s="275"/>
      <c r="CE779" s="275"/>
    </row>
    <row r="780" spans="1:83" ht="12.6" customHeight="1" x14ac:dyDescent="0.25">
      <c r="A780" s="209" t="str">
        <f>RIGHT($C$83,3)&amp;"*"&amp;RIGHT($C$82,4)&amp;"*"&amp;AW$55&amp;"*"&amp;"A"</f>
        <v>130*2017*8200*A</v>
      </c>
      <c r="B780" s="274"/>
      <c r="C780" s="276">
        <f>ROUND(AW60,2)</f>
        <v>0</v>
      </c>
      <c r="D780" s="274">
        <f>ROUND(AW61,0)</f>
        <v>0</v>
      </c>
      <c r="E780" s="274">
        <f>ROUND(AW62,0)</f>
        <v>0</v>
      </c>
      <c r="F780" s="274">
        <f>ROUND(AW63,0)</f>
        <v>0</v>
      </c>
      <c r="G780" s="274">
        <f>ROUND(AW64,0)</f>
        <v>0</v>
      </c>
      <c r="H780" s="274">
        <f>ROUND(AW65,0)</f>
        <v>0</v>
      </c>
      <c r="I780" s="274">
        <f>ROUND(AW66,0)</f>
        <v>0</v>
      </c>
      <c r="J780" s="274">
        <f>ROUND(AW67,0)</f>
        <v>0</v>
      </c>
      <c r="K780" s="274">
        <f>ROUND(AW68,0)</f>
        <v>0</v>
      </c>
      <c r="L780" s="274">
        <f>ROUND(AW69,0)</f>
        <v>0</v>
      </c>
      <c r="M780" s="274">
        <f>ROUND(AW70,0)</f>
        <v>0</v>
      </c>
      <c r="N780" s="274"/>
      <c r="O780" s="274"/>
      <c r="P780" s="274">
        <f>IF(AW76&gt;0,ROUND(AW76,0),0)</f>
        <v>0</v>
      </c>
      <c r="Q780" s="274">
        <f>IF(AW77&gt;0,ROUND(AW77,0),0)</f>
        <v>0</v>
      </c>
      <c r="R780" s="274">
        <f>IF(AW78&gt;0,ROUND(AW78,0),0)</f>
        <v>0</v>
      </c>
      <c r="S780" s="274">
        <f>IF(AW79&gt;0,ROUND(AW79,0),0)</f>
        <v>0</v>
      </c>
      <c r="T780" s="276">
        <f>IF(AW80&gt;0,ROUND(AW80,2),0)</f>
        <v>0</v>
      </c>
      <c r="U780" s="274"/>
      <c r="V780" s="275"/>
      <c r="W780" s="274"/>
      <c r="X780" s="274"/>
      <c r="Y780" s="274"/>
      <c r="Z780" s="275"/>
      <c r="AA780" s="275"/>
      <c r="AB780" s="275"/>
      <c r="AC780" s="275"/>
      <c r="AD780" s="275"/>
      <c r="AE780" s="275"/>
      <c r="AF780" s="275"/>
      <c r="AG780" s="275"/>
      <c r="AH780" s="275"/>
      <c r="AI780" s="275"/>
      <c r="AJ780" s="275"/>
      <c r="AK780" s="275"/>
      <c r="AL780" s="275"/>
      <c r="AM780" s="275"/>
      <c r="AN780" s="275"/>
      <c r="AO780" s="275"/>
      <c r="AP780" s="275"/>
      <c r="AQ780" s="275"/>
      <c r="AR780" s="275"/>
      <c r="AS780" s="275"/>
      <c r="AT780" s="275"/>
      <c r="AU780" s="275"/>
      <c r="AV780" s="275"/>
      <c r="AW780" s="275"/>
      <c r="AX780" s="275"/>
      <c r="AY780" s="275"/>
      <c r="AZ780" s="275"/>
      <c r="BA780" s="275"/>
      <c r="BB780" s="275"/>
      <c r="BC780" s="275"/>
      <c r="BD780" s="275"/>
      <c r="BE780" s="275"/>
      <c r="BF780" s="275"/>
      <c r="BG780" s="275"/>
      <c r="BH780" s="275"/>
      <c r="BI780" s="275"/>
      <c r="BJ780" s="275"/>
      <c r="BK780" s="275"/>
      <c r="BL780" s="275"/>
      <c r="BM780" s="275"/>
      <c r="BN780" s="275"/>
      <c r="BO780" s="275"/>
      <c r="BP780" s="275"/>
      <c r="BQ780" s="275"/>
      <c r="BR780" s="275"/>
      <c r="BS780" s="275"/>
      <c r="BT780" s="275"/>
      <c r="BU780" s="275"/>
      <c r="BV780" s="275"/>
      <c r="BW780" s="275"/>
      <c r="BX780" s="275"/>
      <c r="BY780" s="275"/>
      <c r="BZ780" s="275"/>
      <c r="CA780" s="275"/>
      <c r="CB780" s="275"/>
      <c r="CC780" s="275"/>
      <c r="CD780" s="275"/>
      <c r="CE780" s="275"/>
    </row>
    <row r="781" spans="1:83" ht="12.6" customHeight="1" x14ac:dyDescent="0.25">
      <c r="A781" s="209" t="str">
        <f>RIGHT($C$83,3)&amp;"*"&amp;RIGHT($C$82,4)&amp;"*"&amp;AX$55&amp;"*"&amp;"A"</f>
        <v>130*2017*8310*A</v>
      </c>
      <c r="B781" s="274"/>
      <c r="C781" s="276">
        <f>ROUND(AX60,2)</f>
        <v>0</v>
      </c>
      <c r="D781" s="274">
        <f>ROUND(AX61,0)</f>
        <v>0</v>
      </c>
      <c r="E781" s="274">
        <f>ROUND(AX62,0)</f>
        <v>0</v>
      </c>
      <c r="F781" s="274">
        <f>ROUND(AX63,0)</f>
        <v>0</v>
      </c>
      <c r="G781" s="274">
        <f>ROUND(AX64,0)</f>
        <v>0</v>
      </c>
      <c r="H781" s="274">
        <f>ROUND(AX65,0)</f>
        <v>0</v>
      </c>
      <c r="I781" s="274">
        <f>ROUND(AX66,0)</f>
        <v>0</v>
      </c>
      <c r="J781" s="274">
        <f>ROUND(AX67,0)</f>
        <v>0</v>
      </c>
      <c r="K781" s="274">
        <f>ROUND(AX68,0)</f>
        <v>0</v>
      </c>
      <c r="L781" s="274">
        <f>ROUND(AX69,0)</f>
        <v>0</v>
      </c>
      <c r="M781" s="274">
        <f>ROUND(AX70,0)</f>
        <v>0</v>
      </c>
      <c r="N781" s="274"/>
      <c r="O781" s="274"/>
      <c r="P781" s="274">
        <f>IF(AX76&gt;0,ROUND(AX76,0),0)</f>
        <v>0</v>
      </c>
      <c r="Q781" s="274">
        <f>IF(AX77&gt;0,ROUND(AX77,0),0)</f>
        <v>0</v>
      </c>
      <c r="R781" s="274">
        <f>IF(AX78&gt;0,ROUND(AX78,0),0)</f>
        <v>0</v>
      </c>
      <c r="S781" s="274">
        <f>IF(AX79&gt;0,ROUND(AX79,0),0)</f>
        <v>0</v>
      </c>
      <c r="T781" s="276">
        <f>IF(AX80&gt;0,ROUND(AX80,2),0)</f>
        <v>0</v>
      </c>
      <c r="U781" s="274"/>
      <c r="V781" s="275"/>
      <c r="W781" s="274"/>
      <c r="X781" s="274"/>
      <c r="Y781" s="274"/>
      <c r="Z781" s="275"/>
      <c r="AA781" s="275"/>
      <c r="AB781" s="275"/>
      <c r="AC781" s="275"/>
      <c r="AD781" s="275"/>
      <c r="AE781" s="275"/>
      <c r="AF781" s="275"/>
      <c r="AG781" s="275"/>
      <c r="AH781" s="275"/>
      <c r="AI781" s="275"/>
      <c r="AJ781" s="275"/>
      <c r="AK781" s="275"/>
      <c r="AL781" s="275"/>
      <c r="AM781" s="275"/>
      <c r="AN781" s="275"/>
      <c r="AO781" s="275"/>
      <c r="AP781" s="275"/>
      <c r="AQ781" s="275"/>
      <c r="AR781" s="275"/>
      <c r="AS781" s="275"/>
      <c r="AT781" s="275"/>
      <c r="AU781" s="275"/>
      <c r="AV781" s="275"/>
      <c r="AW781" s="275"/>
      <c r="AX781" s="275"/>
      <c r="AY781" s="275"/>
      <c r="AZ781" s="275"/>
      <c r="BA781" s="275"/>
      <c r="BB781" s="275"/>
      <c r="BC781" s="275"/>
      <c r="BD781" s="275"/>
      <c r="BE781" s="275"/>
      <c r="BF781" s="275"/>
      <c r="BG781" s="275"/>
      <c r="BH781" s="275"/>
      <c r="BI781" s="275"/>
      <c r="BJ781" s="275"/>
      <c r="BK781" s="275"/>
      <c r="BL781" s="275"/>
      <c r="BM781" s="275"/>
      <c r="BN781" s="275"/>
      <c r="BO781" s="275"/>
      <c r="BP781" s="275"/>
      <c r="BQ781" s="275"/>
      <c r="BR781" s="275"/>
      <c r="BS781" s="275"/>
      <c r="BT781" s="275"/>
      <c r="BU781" s="275"/>
      <c r="BV781" s="275"/>
      <c r="BW781" s="275"/>
      <c r="BX781" s="275"/>
      <c r="BY781" s="275"/>
      <c r="BZ781" s="275"/>
      <c r="CA781" s="275"/>
      <c r="CB781" s="275"/>
      <c r="CC781" s="275"/>
      <c r="CD781" s="275"/>
      <c r="CE781" s="275"/>
    </row>
    <row r="782" spans="1:83" ht="12.6" customHeight="1" x14ac:dyDescent="0.25">
      <c r="A782" s="209" t="str">
        <f>RIGHT($C$83,3)&amp;"*"&amp;RIGHT($C$82,4)&amp;"*"&amp;AY$55&amp;"*"&amp;"A"</f>
        <v>130*2017*8320*A</v>
      </c>
      <c r="B782" s="274">
        <f>ROUND(AY59,0)</f>
        <v>208031</v>
      </c>
      <c r="C782" s="276">
        <f>ROUND(AY60,2)</f>
        <v>22.8</v>
      </c>
      <c r="D782" s="274">
        <f>ROUND(AY61,0)</f>
        <v>1003760</v>
      </c>
      <c r="E782" s="274">
        <f>ROUND(AY62,0)</f>
        <v>253012</v>
      </c>
      <c r="F782" s="274">
        <f>ROUND(AY63,0)</f>
        <v>2112</v>
      </c>
      <c r="G782" s="274">
        <f>ROUND(AY64,0)</f>
        <v>388964</v>
      </c>
      <c r="H782" s="274">
        <f>ROUND(AY65,0)</f>
        <v>225</v>
      </c>
      <c r="I782" s="274">
        <f>ROUND(AY66,0)</f>
        <v>36289</v>
      </c>
      <c r="J782" s="274">
        <f>ROUND(AY67,0)</f>
        <v>34527</v>
      </c>
      <c r="K782" s="274">
        <f>ROUND(AY68,0)</f>
        <v>126</v>
      </c>
      <c r="L782" s="274">
        <f>ROUND(AY69,0)</f>
        <v>43929</v>
      </c>
      <c r="M782" s="274">
        <f>ROUND(AY70,0)</f>
        <v>651137</v>
      </c>
      <c r="N782" s="274"/>
      <c r="O782" s="274"/>
      <c r="P782" s="274">
        <f>IF(AY76&gt;0,ROUND(AY76,0),0)</f>
        <v>4626</v>
      </c>
      <c r="Q782" s="274">
        <f>IF(AY77&gt;0,ROUND(AY77,0),0)</f>
        <v>0</v>
      </c>
      <c r="R782" s="274">
        <f>IF(AY78&gt;0,ROUND(AY78,0),0)</f>
        <v>0</v>
      </c>
      <c r="S782" s="274">
        <f>IF(AY79&gt;0,ROUND(AY79,0),0)</f>
        <v>0</v>
      </c>
      <c r="T782" s="276">
        <f>IF(AY80&gt;0,ROUND(AY80,2),0)</f>
        <v>0</v>
      </c>
      <c r="U782" s="274"/>
      <c r="V782" s="275"/>
      <c r="W782" s="274"/>
      <c r="X782" s="274"/>
      <c r="Y782" s="274"/>
      <c r="Z782" s="275"/>
      <c r="AA782" s="275"/>
      <c r="AB782" s="275"/>
      <c r="AC782" s="275"/>
      <c r="AD782" s="275"/>
      <c r="AE782" s="275"/>
      <c r="AF782" s="275"/>
      <c r="AG782" s="275"/>
      <c r="AH782" s="275"/>
      <c r="AI782" s="275"/>
      <c r="AJ782" s="275"/>
      <c r="AK782" s="275"/>
      <c r="AL782" s="275"/>
      <c r="AM782" s="275"/>
      <c r="AN782" s="275"/>
      <c r="AO782" s="275"/>
      <c r="AP782" s="275"/>
      <c r="AQ782" s="275"/>
      <c r="AR782" s="275"/>
      <c r="AS782" s="275"/>
      <c r="AT782" s="275"/>
      <c r="AU782" s="275"/>
      <c r="AV782" s="275"/>
      <c r="AW782" s="275"/>
      <c r="AX782" s="275"/>
      <c r="AY782" s="275"/>
      <c r="AZ782" s="275"/>
      <c r="BA782" s="275"/>
      <c r="BB782" s="275"/>
      <c r="BC782" s="275"/>
      <c r="BD782" s="275"/>
      <c r="BE782" s="275"/>
      <c r="BF782" s="275"/>
      <c r="BG782" s="275"/>
      <c r="BH782" s="275"/>
      <c r="BI782" s="275"/>
      <c r="BJ782" s="275"/>
      <c r="BK782" s="275"/>
      <c r="BL782" s="275"/>
      <c r="BM782" s="275"/>
      <c r="BN782" s="275"/>
      <c r="BO782" s="275"/>
      <c r="BP782" s="275"/>
      <c r="BQ782" s="275"/>
      <c r="BR782" s="275"/>
      <c r="BS782" s="275"/>
      <c r="BT782" s="275"/>
      <c r="BU782" s="275"/>
      <c r="BV782" s="275"/>
      <c r="BW782" s="275"/>
      <c r="BX782" s="275"/>
      <c r="BY782" s="275"/>
      <c r="BZ782" s="275"/>
      <c r="CA782" s="275"/>
      <c r="CB782" s="275"/>
      <c r="CC782" s="275"/>
      <c r="CD782" s="275"/>
      <c r="CE782" s="275"/>
    </row>
    <row r="783" spans="1:83" ht="12.6" customHeight="1" x14ac:dyDescent="0.25">
      <c r="A783" s="209" t="str">
        <f>RIGHT($C$83,3)&amp;"*"&amp;RIGHT($C$82,4)&amp;"*"&amp;AZ$55&amp;"*"&amp;"A"</f>
        <v>130*2017*8330*A</v>
      </c>
      <c r="B783" s="274">
        <f>ROUND(AZ59,0)</f>
        <v>441678</v>
      </c>
      <c r="C783" s="276">
        <f>ROUND(AZ60,2)</f>
        <v>48.42</v>
      </c>
      <c r="D783" s="274">
        <f>ROUND(AZ61,0)</f>
        <v>2131120</v>
      </c>
      <c r="E783" s="274">
        <f>ROUND(AZ62,0)</f>
        <v>537179</v>
      </c>
      <c r="F783" s="274">
        <f>ROUND(AZ63,0)</f>
        <v>4483</v>
      </c>
      <c r="G783" s="274">
        <f>ROUND(AZ64,0)</f>
        <v>825824</v>
      </c>
      <c r="H783" s="274">
        <f>ROUND(AZ65,0)</f>
        <v>477</v>
      </c>
      <c r="I783" s="274">
        <f>ROUND(AZ66,0)</f>
        <v>77048</v>
      </c>
      <c r="J783" s="274">
        <f>ROUND(AZ67,0)</f>
        <v>73307</v>
      </c>
      <c r="K783" s="274">
        <f>ROUND(AZ68,0)</f>
        <v>269</v>
      </c>
      <c r="L783" s="274">
        <f>ROUND(AZ69,0)</f>
        <v>94268</v>
      </c>
      <c r="M783" s="274">
        <f>ROUND(AZ70,0)</f>
        <v>1382451</v>
      </c>
      <c r="N783" s="274"/>
      <c r="O783" s="274"/>
      <c r="P783" s="274">
        <f>IF(AZ76&gt;0,ROUND(AZ76,0),0)</f>
        <v>9822</v>
      </c>
      <c r="Q783" s="274">
        <f>IF(AZ77&gt;0,ROUND(AZ77,0),0)</f>
        <v>0</v>
      </c>
      <c r="R783" s="274">
        <f>IF(AZ78&gt;0,ROUND(AZ78,0),0)</f>
        <v>0</v>
      </c>
      <c r="S783" s="274">
        <f>IF(AZ79&gt;0,ROUND(AZ79,0),0)</f>
        <v>0</v>
      </c>
      <c r="T783" s="276">
        <f>IF(AZ80&gt;0,ROUND(AZ80,2),0)</f>
        <v>0</v>
      </c>
      <c r="U783" s="274"/>
      <c r="V783" s="275"/>
      <c r="W783" s="274"/>
      <c r="X783" s="274"/>
      <c r="Y783" s="274"/>
      <c r="Z783" s="275"/>
      <c r="AA783" s="275"/>
      <c r="AB783" s="275"/>
      <c r="AC783" s="275"/>
      <c r="AD783" s="275"/>
      <c r="AE783" s="275"/>
      <c r="AF783" s="275"/>
      <c r="AG783" s="275"/>
      <c r="AH783" s="275"/>
      <c r="AI783" s="275"/>
      <c r="AJ783" s="275"/>
      <c r="AK783" s="275"/>
      <c r="AL783" s="275"/>
      <c r="AM783" s="275"/>
      <c r="AN783" s="275"/>
      <c r="AO783" s="275"/>
      <c r="AP783" s="275"/>
      <c r="AQ783" s="275"/>
      <c r="AR783" s="275"/>
      <c r="AS783" s="275"/>
      <c r="AT783" s="275"/>
      <c r="AU783" s="275"/>
      <c r="AV783" s="275"/>
      <c r="AW783" s="275"/>
      <c r="AX783" s="275"/>
      <c r="AY783" s="275"/>
      <c r="AZ783" s="275"/>
      <c r="BA783" s="275"/>
      <c r="BB783" s="275"/>
      <c r="BC783" s="275"/>
      <c r="BD783" s="275"/>
      <c r="BE783" s="275"/>
      <c r="BF783" s="275"/>
      <c r="BG783" s="275"/>
      <c r="BH783" s="275"/>
      <c r="BI783" s="275"/>
      <c r="BJ783" s="275"/>
      <c r="BK783" s="275"/>
      <c r="BL783" s="275"/>
      <c r="BM783" s="275"/>
      <c r="BN783" s="275"/>
      <c r="BO783" s="275"/>
      <c r="BP783" s="275"/>
      <c r="BQ783" s="275"/>
      <c r="BR783" s="275"/>
      <c r="BS783" s="275"/>
      <c r="BT783" s="275"/>
      <c r="BU783" s="275"/>
      <c r="BV783" s="275"/>
      <c r="BW783" s="275"/>
      <c r="BX783" s="275"/>
      <c r="BY783" s="275"/>
      <c r="BZ783" s="275"/>
      <c r="CA783" s="275"/>
      <c r="CB783" s="275"/>
      <c r="CC783" s="275"/>
      <c r="CD783" s="275"/>
      <c r="CE783" s="275"/>
    </row>
    <row r="784" spans="1:83" ht="12.6" customHeight="1" x14ac:dyDescent="0.25">
      <c r="A784" s="209" t="str">
        <f>RIGHT($C$83,3)&amp;"*"&amp;RIGHT($C$82,4)&amp;"*"&amp;BA$55&amp;"*"&amp;"A"</f>
        <v>130*2017*8350*A</v>
      </c>
      <c r="B784" s="274">
        <f>ROUND(BA59,0)</f>
        <v>0</v>
      </c>
      <c r="C784" s="276">
        <f>ROUND(BA60,2)</f>
        <v>1.88</v>
      </c>
      <c r="D784" s="274">
        <f>ROUND(BA61,0)</f>
        <v>74103</v>
      </c>
      <c r="E784" s="274">
        <f>ROUND(BA62,0)</f>
        <v>18615</v>
      </c>
      <c r="F784" s="274">
        <f>ROUND(BA63,0)</f>
        <v>0</v>
      </c>
      <c r="G784" s="274">
        <f>ROUND(BA64,0)</f>
        <v>0</v>
      </c>
      <c r="H784" s="274">
        <f>ROUND(BA65,0)</f>
        <v>0</v>
      </c>
      <c r="I784" s="274">
        <f>ROUND(BA66,0)</f>
        <v>-22485</v>
      </c>
      <c r="J784" s="274">
        <f>ROUND(BA67,0)</f>
        <v>0</v>
      </c>
      <c r="K784" s="274">
        <f>ROUND(BA68,0)</f>
        <v>0</v>
      </c>
      <c r="L784" s="274">
        <f>ROUND(BA69,0)</f>
        <v>0</v>
      </c>
      <c r="M784" s="274">
        <f>ROUND(BA70,0)</f>
        <v>1268</v>
      </c>
      <c r="N784" s="274"/>
      <c r="O784" s="274"/>
      <c r="P784" s="274">
        <f>IF(BA76&gt;0,ROUND(BA76,0),0)</f>
        <v>0</v>
      </c>
      <c r="Q784" s="274">
        <f>IF(BA77&gt;0,ROUND(BA77,0),0)</f>
        <v>0</v>
      </c>
      <c r="R784" s="274">
        <f>IF(BA78&gt;0,ROUND(BA78,0),0)</f>
        <v>0</v>
      </c>
      <c r="S784" s="274">
        <f>IF(BA79&gt;0,ROUND(BA79,0),0)</f>
        <v>0</v>
      </c>
      <c r="T784" s="276">
        <f>IF(BA80&gt;0,ROUND(BA80,2),0)</f>
        <v>0</v>
      </c>
      <c r="U784" s="274"/>
      <c r="V784" s="275"/>
      <c r="W784" s="274"/>
      <c r="X784" s="274"/>
      <c r="Y784" s="274"/>
      <c r="Z784" s="275"/>
      <c r="AA784" s="275"/>
      <c r="AB784" s="275"/>
      <c r="AC784" s="275"/>
      <c r="AD784" s="275"/>
      <c r="AE784" s="275"/>
      <c r="AF784" s="275"/>
      <c r="AG784" s="275"/>
      <c r="AH784" s="275"/>
      <c r="AI784" s="275"/>
      <c r="AJ784" s="275"/>
      <c r="AK784" s="275"/>
      <c r="AL784" s="275"/>
      <c r="AM784" s="275"/>
      <c r="AN784" s="275"/>
      <c r="AO784" s="275"/>
      <c r="AP784" s="275"/>
      <c r="AQ784" s="275"/>
      <c r="AR784" s="275"/>
      <c r="AS784" s="275"/>
      <c r="AT784" s="275"/>
      <c r="AU784" s="275"/>
      <c r="AV784" s="275"/>
      <c r="AW784" s="275"/>
      <c r="AX784" s="275"/>
      <c r="AY784" s="275"/>
      <c r="AZ784" s="275"/>
      <c r="BA784" s="275"/>
      <c r="BB784" s="275"/>
      <c r="BC784" s="275"/>
      <c r="BD784" s="275"/>
      <c r="BE784" s="275"/>
      <c r="BF784" s="275"/>
      <c r="BG784" s="275"/>
      <c r="BH784" s="275"/>
      <c r="BI784" s="275"/>
      <c r="BJ784" s="275"/>
      <c r="BK784" s="275"/>
      <c r="BL784" s="275"/>
      <c r="BM784" s="275"/>
      <c r="BN784" s="275"/>
      <c r="BO784" s="275"/>
      <c r="BP784" s="275"/>
      <c r="BQ784" s="275"/>
      <c r="BR784" s="275"/>
      <c r="BS784" s="275"/>
      <c r="BT784" s="275"/>
      <c r="BU784" s="275"/>
      <c r="BV784" s="275"/>
      <c r="BW784" s="275"/>
      <c r="BX784" s="275"/>
      <c r="BY784" s="275"/>
      <c r="BZ784" s="275"/>
      <c r="CA784" s="275"/>
      <c r="CB784" s="275"/>
      <c r="CC784" s="275"/>
      <c r="CD784" s="275"/>
      <c r="CE784" s="275"/>
    </row>
    <row r="785" spans="1:83" ht="12.6" customHeight="1" x14ac:dyDescent="0.25">
      <c r="A785" s="209" t="str">
        <f>RIGHT($C$83,3)&amp;"*"&amp;RIGHT($C$82,4)&amp;"*"&amp;BB$55&amp;"*"&amp;"A"</f>
        <v>130*2017*8360*A</v>
      </c>
      <c r="B785" s="274"/>
      <c r="C785" s="276">
        <f>ROUND(BB60,2)</f>
        <v>0</v>
      </c>
      <c r="D785" s="274">
        <f>ROUND(BB61,0)</f>
        <v>0</v>
      </c>
      <c r="E785" s="274">
        <f>ROUND(BB62,0)</f>
        <v>0</v>
      </c>
      <c r="F785" s="274">
        <f>ROUND(BB63,0)</f>
        <v>0</v>
      </c>
      <c r="G785" s="274">
        <f>ROUND(BB64,0)</f>
        <v>0</v>
      </c>
      <c r="H785" s="274">
        <f>ROUND(BB65,0)</f>
        <v>0</v>
      </c>
      <c r="I785" s="274">
        <f>ROUND(BB66,0)</f>
        <v>0</v>
      </c>
      <c r="J785" s="274">
        <f>ROUND(BB67,0)</f>
        <v>0</v>
      </c>
      <c r="K785" s="274">
        <f>ROUND(BB68,0)</f>
        <v>0</v>
      </c>
      <c r="L785" s="274">
        <f>ROUND(BB69,0)</f>
        <v>0</v>
      </c>
      <c r="M785" s="274">
        <f>ROUND(BB70,0)</f>
        <v>0</v>
      </c>
      <c r="N785" s="274"/>
      <c r="O785" s="274"/>
      <c r="P785" s="274">
        <f>IF(BB76&gt;0,ROUND(BB76,0),0)</f>
        <v>0</v>
      </c>
      <c r="Q785" s="274">
        <f>IF(BB77&gt;0,ROUND(BB77,0),0)</f>
        <v>0</v>
      </c>
      <c r="R785" s="274">
        <f>IF(BB78&gt;0,ROUND(BB78,0),0)</f>
        <v>0</v>
      </c>
      <c r="S785" s="274">
        <f>IF(BB79&gt;0,ROUND(BB79,0),0)</f>
        <v>0</v>
      </c>
      <c r="T785" s="276">
        <f>IF(BB80&gt;0,ROUND(BB80,2),0)</f>
        <v>0</v>
      </c>
      <c r="U785" s="274"/>
      <c r="V785" s="275"/>
      <c r="W785" s="274"/>
      <c r="X785" s="274"/>
      <c r="Y785" s="274"/>
      <c r="Z785" s="275"/>
      <c r="AA785" s="275"/>
      <c r="AB785" s="275"/>
      <c r="AC785" s="275"/>
      <c r="AD785" s="275"/>
      <c r="AE785" s="275"/>
      <c r="AF785" s="275"/>
      <c r="AG785" s="275"/>
      <c r="AH785" s="275"/>
      <c r="AI785" s="275"/>
      <c r="AJ785" s="275"/>
      <c r="AK785" s="275"/>
      <c r="AL785" s="275"/>
      <c r="AM785" s="275"/>
      <c r="AN785" s="275"/>
      <c r="AO785" s="275"/>
      <c r="AP785" s="275"/>
      <c r="AQ785" s="275"/>
      <c r="AR785" s="275"/>
      <c r="AS785" s="275"/>
      <c r="AT785" s="275"/>
      <c r="AU785" s="275"/>
      <c r="AV785" s="275"/>
      <c r="AW785" s="275"/>
      <c r="AX785" s="275"/>
      <c r="AY785" s="275"/>
      <c r="AZ785" s="275"/>
      <c r="BA785" s="275"/>
      <c r="BB785" s="275"/>
      <c r="BC785" s="275"/>
      <c r="BD785" s="275"/>
      <c r="BE785" s="275"/>
      <c r="BF785" s="275"/>
      <c r="BG785" s="275"/>
      <c r="BH785" s="275"/>
      <c r="BI785" s="275"/>
      <c r="BJ785" s="275"/>
      <c r="BK785" s="275"/>
      <c r="BL785" s="275"/>
      <c r="BM785" s="275"/>
      <c r="BN785" s="275"/>
      <c r="BO785" s="275"/>
      <c r="BP785" s="275"/>
      <c r="BQ785" s="275"/>
      <c r="BR785" s="275"/>
      <c r="BS785" s="275"/>
      <c r="BT785" s="275"/>
      <c r="BU785" s="275"/>
      <c r="BV785" s="275"/>
      <c r="BW785" s="275"/>
      <c r="BX785" s="275"/>
      <c r="BY785" s="275"/>
      <c r="BZ785" s="275"/>
      <c r="CA785" s="275"/>
      <c r="CB785" s="275"/>
      <c r="CC785" s="275"/>
      <c r="CD785" s="275"/>
      <c r="CE785" s="275"/>
    </row>
    <row r="786" spans="1:83" ht="12.6" customHeight="1" x14ac:dyDescent="0.25">
      <c r="A786" s="209" t="str">
        <f>RIGHT($C$83,3)&amp;"*"&amp;RIGHT($C$82,4)&amp;"*"&amp;BC$55&amp;"*"&amp;"A"</f>
        <v>130*2017*8370*A</v>
      </c>
      <c r="B786" s="274"/>
      <c r="C786" s="276">
        <f>ROUND(BC60,2)</f>
        <v>0</v>
      </c>
      <c r="D786" s="274">
        <f>ROUND(BC61,0)</f>
        <v>0</v>
      </c>
      <c r="E786" s="274">
        <f>ROUND(BC62,0)</f>
        <v>0</v>
      </c>
      <c r="F786" s="274">
        <f>ROUND(BC63,0)</f>
        <v>0</v>
      </c>
      <c r="G786" s="274">
        <f>ROUND(BC64,0)</f>
        <v>0</v>
      </c>
      <c r="H786" s="274">
        <f>ROUND(BC65,0)</f>
        <v>0</v>
      </c>
      <c r="I786" s="274">
        <f>ROUND(BC66,0)</f>
        <v>0</v>
      </c>
      <c r="J786" s="274">
        <f>ROUND(BC67,0)</f>
        <v>0</v>
      </c>
      <c r="K786" s="274">
        <f>ROUND(BC68,0)</f>
        <v>0</v>
      </c>
      <c r="L786" s="274">
        <f>ROUND(BC69,0)</f>
        <v>0</v>
      </c>
      <c r="M786" s="274">
        <f>ROUND(BC70,0)</f>
        <v>0</v>
      </c>
      <c r="N786" s="274"/>
      <c r="O786" s="274"/>
      <c r="P786" s="274">
        <f>IF(BC76&gt;0,ROUND(BC76,0),0)</f>
        <v>0</v>
      </c>
      <c r="Q786" s="274">
        <f>IF(BC77&gt;0,ROUND(BC77,0),0)</f>
        <v>0</v>
      </c>
      <c r="R786" s="274">
        <f>IF(BC78&gt;0,ROUND(BC78,0),0)</f>
        <v>0</v>
      </c>
      <c r="S786" s="274">
        <f>IF(BC79&gt;0,ROUND(BC79,0),0)</f>
        <v>0</v>
      </c>
      <c r="T786" s="276">
        <f>IF(BC80&gt;0,ROUND(BC80,2),0)</f>
        <v>0</v>
      </c>
      <c r="U786" s="274"/>
      <c r="V786" s="275"/>
      <c r="W786" s="274"/>
      <c r="X786" s="274"/>
      <c r="Y786" s="274"/>
      <c r="Z786" s="275"/>
      <c r="AA786" s="275"/>
      <c r="AB786" s="275"/>
      <c r="AC786" s="275"/>
      <c r="AD786" s="275"/>
      <c r="AE786" s="275"/>
      <c r="AF786" s="275"/>
      <c r="AG786" s="275"/>
      <c r="AH786" s="275"/>
      <c r="AI786" s="275"/>
      <c r="AJ786" s="275"/>
      <c r="AK786" s="275"/>
      <c r="AL786" s="275"/>
      <c r="AM786" s="275"/>
      <c r="AN786" s="275"/>
      <c r="AO786" s="275"/>
      <c r="AP786" s="275"/>
      <c r="AQ786" s="275"/>
      <c r="AR786" s="275"/>
      <c r="AS786" s="275"/>
      <c r="AT786" s="275"/>
      <c r="AU786" s="275"/>
      <c r="AV786" s="275"/>
      <c r="AW786" s="275"/>
      <c r="AX786" s="275"/>
      <c r="AY786" s="275"/>
      <c r="AZ786" s="275"/>
      <c r="BA786" s="275"/>
      <c r="BB786" s="275"/>
      <c r="BC786" s="275"/>
      <c r="BD786" s="275"/>
      <c r="BE786" s="275"/>
      <c r="BF786" s="275"/>
      <c r="BG786" s="275"/>
      <c r="BH786" s="275"/>
      <c r="BI786" s="275"/>
      <c r="BJ786" s="275"/>
      <c r="BK786" s="275"/>
      <c r="BL786" s="275"/>
      <c r="BM786" s="275"/>
      <c r="BN786" s="275"/>
      <c r="BO786" s="275"/>
      <c r="BP786" s="275"/>
      <c r="BQ786" s="275"/>
      <c r="BR786" s="275"/>
      <c r="BS786" s="275"/>
      <c r="BT786" s="275"/>
      <c r="BU786" s="275"/>
      <c r="BV786" s="275"/>
      <c r="BW786" s="275"/>
      <c r="BX786" s="275"/>
      <c r="BY786" s="275"/>
      <c r="BZ786" s="275"/>
      <c r="CA786" s="275"/>
      <c r="CB786" s="275"/>
      <c r="CC786" s="275"/>
      <c r="CD786" s="275"/>
      <c r="CE786" s="275"/>
    </row>
    <row r="787" spans="1:83" ht="12.6" customHeight="1" x14ac:dyDescent="0.25">
      <c r="A787" s="209" t="str">
        <f>RIGHT($C$83,3)&amp;"*"&amp;RIGHT($C$82,4)&amp;"*"&amp;BD$55&amp;"*"&amp;"A"</f>
        <v>130*2017*8420*A</v>
      </c>
      <c r="B787" s="274"/>
      <c r="C787" s="276">
        <f>ROUND(BD60,2)</f>
        <v>24.34</v>
      </c>
      <c r="D787" s="274">
        <f>ROUND(BD61,0)</f>
        <v>1231634</v>
      </c>
      <c r="E787" s="274">
        <f>ROUND(BD62,0)</f>
        <v>310987</v>
      </c>
      <c r="F787" s="274">
        <f>ROUND(BD63,0)</f>
        <v>0</v>
      </c>
      <c r="G787" s="274">
        <f>ROUND(BD64,0)</f>
        <v>-695094</v>
      </c>
      <c r="H787" s="274">
        <f>ROUND(BD65,0)</f>
        <v>5634</v>
      </c>
      <c r="I787" s="274">
        <f>ROUND(BD66,0)</f>
        <v>636980</v>
      </c>
      <c r="J787" s="274">
        <f>ROUND(BD67,0)</f>
        <v>61298</v>
      </c>
      <c r="K787" s="274">
        <f>ROUND(BD68,0)</f>
        <v>534904</v>
      </c>
      <c r="L787" s="274">
        <f>ROUND(BD69,0)</f>
        <v>85326</v>
      </c>
      <c r="M787" s="274">
        <f>ROUND(BD70,0)</f>
        <v>6137</v>
      </c>
      <c r="N787" s="274"/>
      <c r="O787" s="274"/>
      <c r="P787" s="274">
        <f>IF(BD76&gt;0,ROUND(BD76,0),0)</f>
        <v>4643</v>
      </c>
      <c r="Q787" s="274">
        <f>IF(BD77&gt;0,ROUND(BD77,0),0)</f>
        <v>0</v>
      </c>
      <c r="R787" s="274">
        <f>IF(BD78&gt;0,ROUND(BD78,0),0)</f>
        <v>0</v>
      </c>
      <c r="S787" s="274">
        <f>IF(BD79&gt;0,ROUND(BD79,0),0)</f>
        <v>0</v>
      </c>
      <c r="T787" s="276">
        <f>IF(BD80&gt;0,ROUND(BD80,2),0)</f>
        <v>0</v>
      </c>
      <c r="U787" s="274"/>
      <c r="V787" s="275"/>
      <c r="W787" s="274"/>
      <c r="X787" s="274"/>
      <c r="Y787" s="274"/>
      <c r="Z787" s="275"/>
      <c r="AA787" s="275"/>
      <c r="AB787" s="275"/>
      <c r="AC787" s="275"/>
      <c r="AD787" s="275"/>
      <c r="AE787" s="275"/>
      <c r="AF787" s="275"/>
      <c r="AG787" s="275"/>
      <c r="AH787" s="275"/>
      <c r="AI787" s="275"/>
      <c r="AJ787" s="275"/>
      <c r="AK787" s="275"/>
      <c r="AL787" s="275"/>
      <c r="AM787" s="275"/>
      <c r="AN787" s="275"/>
      <c r="AO787" s="275"/>
      <c r="AP787" s="275"/>
      <c r="AQ787" s="275"/>
      <c r="AR787" s="275"/>
      <c r="AS787" s="275"/>
      <c r="AT787" s="275"/>
      <c r="AU787" s="275"/>
      <c r="AV787" s="275"/>
      <c r="AW787" s="275"/>
      <c r="AX787" s="275"/>
      <c r="AY787" s="275"/>
      <c r="AZ787" s="275"/>
      <c r="BA787" s="275"/>
      <c r="BB787" s="275"/>
      <c r="BC787" s="275"/>
      <c r="BD787" s="275"/>
      <c r="BE787" s="275"/>
      <c r="BF787" s="275"/>
      <c r="BG787" s="275"/>
      <c r="BH787" s="275"/>
      <c r="BI787" s="275"/>
      <c r="BJ787" s="275"/>
      <c r="BK787" s="275"/>
      <c r="BL787" s="275"/>
      <c r="BM787" s="275"/>
      <c r="BN787" s="275"/>
      <c r="BO787" s="275"/>
      <c r="BP787" s="275"/>
      <c r="BQ787" s="275"/>
      <c r="BR787" s="275"/>
      <c r="BS787" s="275"/>
      <c r="BT787" s="275"/>
      <c r="BU787" s="275"/>
      <c r="BV787" s="275"/>
      <c r="BW787" s="275"/>
      <c r="BX787" s="275"/>
      <c r="BY787" s="275"/>
      <c r="BZ787" s="275"/>
      <c r="CA787" s="275"/>
      <c r="CB787" s="275"/>
      <c r="CC787" s="275"/>
      <c r="CD787" s="275"/>
      <c r="CE787" s="275"/>
    </row>
    <row r="788" spans="1:83" ht="12.6" customHeight="1" x14ac:dyDescent="0.25">
      <c r="A788" s="209" t="str">
        <f>RIGHT($C$83,3)&amp;"*"&amp;RIGHT($C$82,4)&amp;"*"&amp;BE$55&amp;"*"&amp;"A"</f>
        <v>130*2017*8430*A</v>
      </c>
      <c r="B788" s="274">
        <f>ROUND(BE59,0)</f>
        <v>435312</v>
      </c>
      <c r="C788" s="276">
        <f>ROUND(BE60,2)</f>
        <v>53.53</v>
      </c>
      <c r="D788" s="274">
        <f>ROUND(BE61,0)</f>
        <v>3075095</v>
      </c>
      <c r="E788" s="274">
        <f>ROUND(BE62,0)</f>
        <v>775944</v>
      </c>
      <c r="F788" s="274">
        <f>ROUND(BE63,0)</f>
        <v>0</v>
      </c>
      <c r="G788" s="274">
        <f>ROUND(BE64,0)</f>
        <v>595411</v>
      </c>
      <c r="H788" s="274">
        <f>ROUND(BE65,0)</f>
        <v>1678860</v>
      </c>
      <c r="I788" s="274">
        <f>ROUND(BE66,0)</f>
        <v>1409201</v>
      </c>
      <c r="J788" s="274">
        <f>ROUND(BE67,0)</f>
        <v>1896136</v>
      </c>
      <c r="K788" s="274">
        <f>ROUND(BE68,0)</f>
        <v>228047</v>
      </c>
      <c r="L788" s="274">
        <f>ROUND(BE69,0)</f>
        <v>515349</v>
      </c>
      <c r="M788" s="274">
        <f>ROUND(BE70,0)</f>
        <v>1942060</v>
      </c>
      <c r="N788" s="274"/>
      <c r="O788" s="274"/>
      <c r="P788" s="274">
        <f>IF(BE76&gt;0,ROUND(BE76,0),0)</f>
        <v>7617</v>
      </c>
      <c r="Q788" s="274">
        <f>IF(BE77&gt;0,ROUND(BE77,0),0)</f>
        <v>0</v>
      </c>
      <c r="R788" s="274">
        <f>IF(BE78&gt;0,ROUND(BE78,0),0)</f>
        <v>0</v>
      </c>
      <c r="S788" s="274">
        <f>IF(BE79&gt;0,ROUND(BE79,0),0)</f>
        <v>0</v>
      </c>
      <c r="T788" s="276">
        <f>IF(BE80&gt;0,ROUND(BE80,2),0)</f>
        <v>0</v>
      </c>
      <c r="U788" s="274"/>
      <c r="V788" s="275"/>
      <c r="W788" s="274"/>
      <c r="X788" s="274"/>
      <c r="Y788" s="274"/>
      <c r="Z788" s="275"/>
      <c r="AA788" s="275"/>
      <c r="AB788" s="275"/>
      <c r="AC788" s="275"/>
      <c r="AD788" s="275"/>
      <c r="AE788" s="275"/>
      <c r="AF788" s="275"/>
      <c r="AG788" s="275"/>
      <c r="AH788" s="275"/>
      <c r="AI788" s="275"/>
      <c r="AJ788" s="275"/>
      <c r="AK788" s="275"/>
      <c r="AL788" s="275"/>
      <c r="AM788" s="275"/>
      <c r="AN788" s="275"/>
      <c r="AO788" s="275"/>
      <c r="AP788" s="275"/>
      <c r="AQ788" s="275"/>
      <c r="AR788" s="275"/>
      <c r="AS788" s="275"/>
      <c r="AT788" s="275"/>
      <c r="AU788" s="275"/>
      <c r="AV788" s="275"/>
      <c r="AW788" s="275"/>
      <c r="AX788" s="275"/>
      <c r="AY788" s="275"/>
      <c r="AZ788" s="275"/>
      <c r="BA788" s="275"/>
      <c r="BB788" s="275"/>
      <c r="BC788" s="275"/>
      <c r="BD788" s="275"/>
      <c r="BE788" s="275"/>
      <c r="BF788" s="275"/>
      <c r="BG788" s="275"/>
      <c r="BH788" s="275"/>
      <c r="BI788" s="275"/>
      <c r="BJ788" s="275"/>
      <c r="BK788" s="275"/>
      <c r="BL788" s="275"/>
      <c r="BM788" s="275"/>
      <c r="BN788" s="275"/>
      <c r="BO788" s="275"/>
      <c r="BP788" s="275"/>
      <c r="BQ788" s="275"/>
      <c r="BR788" s="275"/>
      <c r="BS788" s="275"/>
      <c r="BT788" s="275"/>
      <c r="BU788" s="275"/>
      <c r="BV788" s="275"/>
      <c r="BW788" s="275"/>
      <c r="BX788" s="275"/>
      <c r="BY788" s="275"/>
      <c r="BZ788" s="275"/>
      <c r="CA788" s="275"/>
      <c r="CB788" s="275"/>
      <c r="CC788" s="275"/>
      <c r="CD788" s="275"/>
      <c r="CE788" s="275"/>
    </row>
    <row r="789" spans="1:83" ht="12.6" customHeight="1" x14ac:dyDescent="0.25">
      <c r="A789" s="209" t="str">
        <f>RIGHT($C$83,3)&amp;"*"&amp;RIGHT($C$82,4)&amp;"*"&amp;BF$55&amp;"*"&amp;"A"</f>
        <v>130*2017*8460*A</v>
      </c>
      <c r="B789" s="274"/>
      <c r="C789" s="276">
        <f>ROUND(BF60,2)</f>
        <v>60.49</v>
      </c>
      <c r="D789" s="274">
        <f>ROUND(BF61,0)</f>
        <v>2435140</v>
      </c>
      <c r="E789" s="274">
        <f>ROUND(BF62,0)</f>
        <v>612265</v>
      </c>
      <c r="F789" s="274">
        <f>ROUND(BF63,0)</f>
        <v>0</v>
      </c>
      <c r="G789" s="274">
        <f>ROUND(BF64,0)</f>
        <v>300610</v>
      </c>
      <c r="H789" s="274">
        <f>ROUND(BF65,0)</f>
        <v>297726</v>
      </c>
      <c r="I789" s="274">
        <f>ROUND(BF66,0)</f>
        <v>122408</v>
      </c>
      <c r="J789" s="274">
        <f>ROUND(BF67,0)</f>
        <v>1023</v>
      </c>
      <c r="K789" s="274">
        <f>ROUND(BF68,0)</f>
        <v>689</v>
      </c>
      <c r="L789" s="274">
        <f>ROUND(BF69,0)</f>
        <v>647</v>
      </c>
      <c r="M789" s="274">
        <f>ROUND(BF70,0)</f>
        <v>0</v>
      </c>
      <c r="N789" s="274"/>
      <c r="O789" s="274"/>
      <c r="P789" s="274">
        <f>IF(BF76&gt;0,ROUND(BF76,0),0)</f>
        <v>4126</v>
      </c>
      <c r="Q789" s="274">
        <f>IF(BF77&gt;0,ROUND(BF77,0),0)</f>
        <v>0</v>
      </c>
      <c r="R789" s="274">
        <f>IF(BF78&gt;0,ROUND(BF78,0),0)</f>
        <v>0</v>
      </c>
      <c r="S789" s="274">
        <f>IF(BF79&gt;0,ROUND(BF79,0),0)</f>
        <v>0</v>
      </c>
      <c r="T789" s="276">
        <f>IF(BF80&gt;0,ROUND(BF80,2),0)</f>
        <v>0</v>
      </c>
      <c r="U789" s="274"/>
      <c r="V789" s="275"/>
      <c r="W789" s="274"/>
      <c r="X789" s="274"/>
      <c r="Y789" s="274"/>
      <c r="Z789" s="275"/>
      <c r="AA789" s="275"/>
      <c r="AB789" s="275"/>
      <c r="AC789" s="275"/>
      <c r="AD789" s="275"/>
      <c r="AE789" s="275"/>
      <c r="AF789" s="275"/>
      <c r="AG789" s="275"/>
      <c r="AH789" s="275"/>
      <c r="AI789" s="275"/>
      <c r="AJ789" s="275"/>
      <c r="AK789" s="275"/>
      <c r="AL789" s="275"/>
      <c r="AM789" s="275"/>
      <c r="AN789" s="275"/>
      <c r="AO789" s="275"/>
      <c r="AP789" s="275"/>
      <c r="AQ789" s="275"/>
      <c r="AR789" s="275"/>
      <c r="AS789" s="275"/>
      <c r="AT789" s="275"/>
      <c r="AU789" s="275"/>
      <c r="AV789" s="275"/>
      <c r="AW789" s="275"/>
      <c r="AX789" s="275"/>
      <c r="AY789" s="275"/>
      <c r="AZ789" s="275"/>
      <c r="BA789" s="275"/>
      <c r="BB789" s="275"/>
      <c r="BC789" s="275"/>
      <c r="BD789" s="275"/>
      <c r="BE789" s="275"/>
      <c r="BF789" s="275"/>
      <c r="BG789" s="275"/>
      <c r="BH789" s="275"/>
      <c r="BI789" s="275"/>
      <c r="BJ789" s="275"/>
      <c r="BK789" s="275"/>
      <c r="BL789" s="275"/>
      <c r="BM789" s="275"/>
      <c r="BN789" s="275"/>
      <c r="BO789" s="275"/>
      <c r="BP789" s="275"/>
      <c r="BQ789" s="275"/>
      <c r="BR789" s="275"/>
      <c r="BS789" s="275"/>
      <c r="BT789" s="275"/>
      <c r="BU789" s="275"/>
      <c r="BV789" s="275"/>
      <c r="BW789" s="275"/>
      <c r="BX789" s="275"/>
      <c r="BY789" s="275"/>
      <c r="BZ789" s="275"/>
      <c r="CA789" s="275"/>
      <c r="CB789" s="275"/>
      <c r="CC789" s="275"/>
      <c r="CD789" s="275"/>
      <c r="CE789" s="275"/>
    </row>
    <row r="790" spans="1:83" ht="12.6" customHeight="1" x14ac:dyDescent="0.25">
      <c r="A790" s="209" t="str">
        <f>RIGHT($C$83,3)&amp;"*"&amp;RIGHT($C$82,4)&amp;"*"&amp;BG$55&amp;"*"&amp;"A"</f>
        <v>130*2017*8470*A</v>
      </c>
      <c r="B790" s="274"/>
      <c r="C790" s="276">
        <f>ROUND(BG60,2)</f>
        <v>0</v>
      </c>
      <c r="D790" s="274">
        <f>ROUND(BG61,0)</f>
        <v>0</v>
      </c>
      <c r="E790" s="274">
        <f>ROUND(BG62,0)</f>
        <v>0</v>
      </c>
      <c r="F790" s="274">
        <f>ROUND(BG63,0)</f>
        <v>0</v>
      </c>
      <c r="G790" s="274">
        <f>ROUND(BG64,0)</f>
        <v>0</v>
      </c>
      <c r="H790" s="274">
        <f>ROUND(BG65,0)</f>
        <v>0</v>
      </c>
      <c r="I790" s="274">
        <f>ROUND(BG66,0)</f>
        <v>0</v>
      </c>
      <c r="J790" s="274">
        <f>ROUND(BG67,0)</f>
        <v>0</v>
      </c>
      <c r="K790" s="274">
        <f>ROUND(BG68,0)</f>
        <v>0</v>
      </c>
      <c r="L790" s="274">
        <f>ROUND(BG69,0)</f>
        <v>0</v>
      </c>
      <c r="M790" s="274">
        <f>ROUND(BG70,0)</f>
        <v>0</v>
      </c>
      <c r="N790" s="274"/>
      <c r="O790" s="274"/>
      <c r="P790" s="274">
        <f>IF(BG76&gt;0,ROUND(BG76,0),0)</f>
        <v>0</v>
      </c>
      <c r="Q790" s="274">
        <f>IF(BG77&gt;0,ROUND(BG77,0),0)</f>
        <v>0</v>
      </c>
      <c r="R790" s="274">
        <f>IF(BG78&gt;0,ROUND(BG78,0),0)</f>
        <v>0</v>
      </c>
      <c r="S790" s="274">
        <f>IF(BG79&gt;0,ROUND(BG79,0),0)</f>
        <v>0</v>
      </c>
      <c r="T790" s="276">
        <f>IF(BG80&gt;0,ROUND(BG80,2),0)</f>
        <v>0</v>
      </c>
      <c r="U790" s="274"/>
      <c r="V790" s="275"/>
      <c r="W790" s="274"/>
      <c r="X790" s="274"/>
      <c r="Y790" s="274"/>
      <c r="Z790" s="275"/>
      <c r="AA790" s="275"/>
      <c r="AB790" s="275"/>
      <c r="AC790" s="275"/>
      <c r="AD790" s="275"/>
      <c r="AE790" s="275"/>
      <c r="AF790" s="275"/>
      <c r="AG790" s="275"/>
      <c r="AH790" s="275"/>
      <c r="AI790" s="275"/>
      <c r="AJ790" s="275"/>
      <c r="AK790" s="275"/>
      <c r="AL790" s="275"/>
      <c r="AM790" s="275"/>
      <c r="AN790" s="275"/>
      <c r="AO790" s="275"/>
      <c r="AP790" s="275"/>
      <c r="AQ790" s="275"/>
      <c r="AR790" s="275"/>
      <c r="AS790" s="275"/>
      <c r="AT790" s="275"/>
      <c r="AU790" s="275"/>
      <c r="AV790" s="275"/>
      <c r="AW790" s="275"/>
      <c r="AX790" s="275"/>
      <c r="AY790" s="275"/>
      <c r="AZ790" s="275"/>
      <c r="BA790" s="275"/>
      <c r="BB790" s="275"/>
      <c r="BC790" s="275"/>
      <c r="BD790" s="275"/>
      <c r="BE790" s="275"/>
      <c r="BF790" s="275"/>
      <c r="BG790" s="275"/>
      <c r="BH790" s="275"/>
      <c r="BI790" s="275"/>
      <c r="BJ790" s="275"/>
      <c r="BK790" s="275"/>
      <c r="BL790" s="275"/>
      <c r="BM790" s="275"/>
      <c r="BN790" s="275"/>
      <c r="BO790" s="275"/>
      <c r="BP790" s="275"/>
      <c r="BQ790" s="275"/>
      <c r="BR790" s="275"/>
      <c r="BS790" s="275"/>
      <c r="BT790" s="275"/>
      <c r="BU790" s="275"/>
      <c r="BV790" s="275"/>
      <c r="BW790" s="275"/>
      <c r="BX790" s="275"/>
      <c r="BY790" s="275"/>
      <c r="BZ790" s="275"/>
      <c r="CA790" s="275"/>
      <c r="CB790" s="275"/>
      <c r="CC790" s="275"/>
      <c r="CD790" s="275"/>
      <c r="CE790" s="275"/>
    </row>
    <row r="791" spans="1:83" ht="12.6" customHeight="1" x14ac:dyDescent="0.25">
      <c r="A791" s="209" t="str">
        <f>RIGHT($C$83,3)&amp;"*"&amp;RIGHT($C$82,4)&amp;"*"&amp;BH$55&amp;"*"&amp;"A"</f>
        <v>130*2017*8480*A</v>
      </c>
      <c r="B791" s="274"/>
      <c r="C791" s="276">
        <f>ROUND(BH60,2)</f>
        <v>10.42</v>
      </c>
      <c r="D791" s="274">
        <f>ROUND(BH61,0)</f>
        <v>1316358</v>
      </c>
      <c r="E791" s="274">
        <f>ROUND(BH62,0)</f>
        <v>285604</v>
      </c>
      <c r="F791" s="274">
        <f>ROUND(BH63,0)</f>
        <v>0</v>
      </c>
      <c r="G791" s="274">
        <f>ROUND(BH64,0)</f>
        <v>163211</v>
      </c>
      <c r="H791" s="274">
        <f>ROUND(BH65,0)</f>
        <v>464433</v>
      </c>
      <c r="I791" s="274">
        <f>ROUND(BH66,0)</f>
        <v>3771722</v>
      </c>
      <c r="J791" s="274">
        <f>ROUND(BH67,0)</f>
        <v>3575983</v>
      </c>
      <c r="K791" s="274">
        <f>ROUND(BH68,0)</f>
        <v>770750</v>
      </c>
      <c r="L791" s="274">
        <f>ROUND(BH69,0)</f>
        <v>36954</v>
      </c>
      <c r="M791" s="274">
        <f>ROUND(BH70,0)</f>
        <v>28317</v>
      </c>
      <c r="N791" s="274"/>
      <c r="O791" s="274"/>
      <c r="P791" s="274">
        <f>IF(BH76&gt;0,ROUND(BH76,0),0)</f>
        <v>16263</v>
      </c>
      <c r="Q791" s="274">
        <f>IF(BH77&gt;0,ROUND(BH77,0),0)</f>
        <v>0</v>
      </c>
      <c r="R791" s="274">
        <f>IF(BH78&gt;0,ROUND(BH78,0),0)</f>
        <v>1796</v>
      </c>
      <c r="S791" s="274">
        <f>IF(BH79&gt;0,ROUND(BH79,0),0)</f>
        <v>0</v>
      </c>
      <c r="T791" s="276">
        <f>IF(BH80&gt;0,ROUND(BH80,2),0)</f>
        <v>0</v>
      </c>
      <c r="U791" s="274"/>
      <c r="V791" s="275"/>
      <c r="W791" s="274"/>
      <c r="X791" s="274"/>
      <c r="Y791" s="274"/>
      <c r="Z791" s="275"/>
      <c r="AA791" s="275"/>
      <c r="AB791" s="275"/>
      <c r="AC791" s="275"/>
      <c r="AD791" s="275"/>
      <c r="AE791" s="275"/>
      <c r="AF791" s="275"/>
      <c r="AG791" s="275"/>
      <c r="AH791" s="275"/>
      <c r="AI791" s="275"/>
      <c r="AJ791" s="275"/>
      <c r="AK791" s="275"/>
      <c r="AL791" s="275"/>
      <c r="AM791" s="275"/>
      <c r="AN791" s="275"/>
      <c r="AO791" s="275"/>
      <c r="AP791" s="275"/>
      <c r="AQ791" s="275"/>
      <c r="AR791" s="275"/>
      <c r="AS791" s="275"/>
      <c r="AT791" s="275"/>
      <c r="AU791" s="275"/>
      <c r="AV791" s="275"/>
      <c r="AW791" s="275"/>
      <c r="AX791" s="275"/>
      <c r="AY791" s="275"/>
      <c r="AZ791" s="275"/>
      <c r="BA791" s="275"/>
      <c r="BB791" s="275"/>
      <c r="BC791" s="275"/>
      <c r="BD791" s="275"/>
      <c r="BE791" s="275"/>
      <c r="BF791" s="275"/>
      <c r="BG791" s="275"/>
      <c r="BH791" s="275"/>
      <c r="BI791" s="275"/>
      <c r="BJ791" s="275"/>
      <c r="BK791" s="275"/>
      <c r="BL791" s="275"/>
      <c r="BM791" s="275"/>
      <c r="BN791" s="275"/>
      <c r="BO791" s="275"/>
      <c r="BP791" s="275"/>
      <c r="BQ791" s="275"/>
      <c r="BR791" s="275"/>
      <c r="BS791" s="275"/>
      <c r="BT791" s="275"/>
      <c r="BU791" s="275"/>
      <c r="BV791" s="275"/>
      <c r="BW791" s="275"/>
      <c r="BX791" s="275"/>
      <c r="BY791" s="275"/>
      <c r="BZ791" s="275"/>
      <c r="CA791" s="275"/>
      <c r="CB791" s="275"/>
      <c r="CC791" s="275"/>
      <c r="CD791" s="275"/>
      <c r="CE791" s="275"/>
    </row>
    <row r="792" spans="1:83" ht="12.6" customHeight="1" x14ac:dyDescent="0.25">
      <c r="A792" s="209" t="str">
        <f>RIGHT($C$83,3)&amp;"*"&amp;RIGHT($C$82,4)&amp;"*"&amp;BI$55&amp;"*"&amp;"A"</f>
        <v>130*2017*8490*A</v>
      </c>
      <c r="B792" s="274"/>
      <c r="C792" s="276">
        <f>ROUND(BI60,2)</f>
        <v>0</v>
      </c>
      <c r="D792" s="274">
        <f>ROUND(BI61,0)</f>
        <v>0</v>
      </c>
      <c r="E792" s="274">
        <f>ROUND(BI62,0)</f>
        <v>0</v>
      </c>
      <c r="F792" s="274">
        <f>ROUND(BI63,0)</f>
        <v>0</v>
      </c>
      <c r="G792" s="274">
        <f>ROUND(BI64,0)</f>
        <v>0</v>
      </c>
      <c r="H792" s="274">
        <f>ROUND(BI65,0)</f>
        <v>0</v>
      </c>
      <c r="I792" s="274">
        <f>ROUND(BI66,0)</f>
        <v>0</v>
      </c>
      <c r="J792" s="274">
        <f>ROUND(BI67,0)</f>
        <v>0</v>
      </c>
      <c r="K792" s="274">
        <f>ROUND(BI68,0)</f>
        <v>0</v>
      </c>
      <c r="L792" s="274">
        <f>ROUND(BI69,0)</f>
        <v>0</v>
      </c>
      <c r="M792" s="274">
        <f>ROUND(BI70,0)</f>
        <v>0</v>
      </c>
      <c r="N792" s="274"/>
      <c r="O792" s="274"/>
      <c r="P792" s="274">
        <f>IF(BI76&gt;0,ROUND(BI76,0),0)</f>
        <v>0</v>
      </c>
      <c r="Q792" s="274">
        <f>IF(BI77&gt;0,ROUND(BI77,0),0)</f>
        <v>0</v>
      </c>
      <c r="R792" s="274">
        <f>IF(BI78&gt;0,ROUND(BI78,0),0)</f>
        <v>0</v>
      </c>
      <c r="S792" s="274">
        <f>IF(BI79&gt;0,ROUND(BI79,0),0)</f>
        <v>0</v>
      </c>
      <c r="T792" s="276">
        <f>IF(BI80&gt;0,ROUND(BI80,2),0)</f>
        <v>0</v>
      </c>
      <c r="U792" s="274"/>
      <c r="V792" s="275"/>
      <c r="W792" s="274"/>
      <c r="X792" s="274"/>
      <c r="Y792" s="274"/>
      <c r="Z792" s="275"/>
      <c r="AA792" s="275"/>
      <c r="AB792" s="275"/>
      <c r="AC792" s="275"/>
      <c r="AD792" s="275"/>
      <c r="AE792" s="275"/>
      <c r="AF792" s="275"/>
      <c r="AG792" s="275"/>
      <c r="AH792" s="275"/>
      <c r="AI792" s="275"/>
      <c r="AJ792" s="275"/>
      <c r="AK792" s="275"/>
      <c r="AL792" s="275"/>
      <c r="AM792" s="275"/>
      <c r="AN792" s="275"/>
      <c r="AO792" s="275"/>
      <c r="AP792" s="275"/>
      <c r="AQ792" s="275"/>
      <c r="AR792" s="275"/>
      <c r="AS792" s="275"/>
      <c r="AT792" s="275"/>
      <c r="AU792" s="275"/>
      <c r="AV792" s="275"/>
      <c r="AW792" s="275"/>
      <c r="AX792" s="275"/>
      <c r="AY792" s="275"/>
      <c r="AZ792" s="275"/>
      <c r="BA792" s="275"/>
      <c r="BB792" s="275"/>
      <c r="BC792" s="275"/>
      <c r="BD792" s="275"/>
      <c r="BE792" s="275"/>
      <c r="BF792" s="275"/>
      <c r="BG792" s="275"/>
      <c r="BH792" s="275"/>
      <c r="BI792" s="275"/>
      <c r="BJ792" s="275"/>
      <c r="BK792" s="275"/>
      <c r="BL792" s="275"/>
      <c r="BM792" s="275"/>
      <c r="BN792" s="275"/>
      <c r="BO792" s="275"/>
      <c r="BP792" s="275"/>
      <c r="BQ792" s="275"/>
      <c r="BR792" s="275"/>
      <c r="BS792" s="275"/>
      <c r="BT792" s="275"/>
      <c r="BU792" s="275"/>
      <c r="BV792" s="275"/>
      <c r="BW792" s="275"/>
      <c r="BX792" s="275"/>
      <c r="BY792" s="275"/>
      <c r="BZ792" s="275"/>
      <c r="CA792" s="275"/>
      <c r="CB792" s="275"/>
      <c r="CC792" s="275"/>
      <c r="CD792" s="275"/>
      <c r="CE792" s="275"/>
    </row>
    <row r="793" spans="1:83" ht="12.6" customHeight="1" x14ac:dyDescent="0.25">
      <c r="A793" s="209" t="str">
        <f>RIGHT($C$83,3)&amp;"*"&amp;RIGHT($C$82,4)&amp;"*"&amp;BJ$55&amp;"*"&amp;"A"</f>
        <v>130*2017*8510*A</v>
      </c>
      <c r="B793" s="274"/>
      <c r="C793" s="276">
        <f>ROUND(BJ60,2)</f>
        <v>16.91</v>
      </c>
      <c r="D793" s="274">
        <f>ROUND(BJ61,0)</f>
        <v>1281320</v>
      </c>
      <c r="E793" s="274">
        <f>ROUND(BJ62,0)</f>
        <v>323252</v>
      </c>
      <c r="F793" s="274">
        <f>ROUND(BJ63,0)</f>
        <v>158541</v>
      </c>
      <c r="G793" s="274">
        <f>ROUND(BJ64,0)</f>
        <v>13109</v>
      </c>
      <c r="H793" s="274">
        <f>ROUND(BJ65,0)</f>
        <v>0</v>
      </c>
      <c r="I793" s="274">
        <f>ROUND(BJ66,0)</f>
        <v>-33064</v>
      </c>
      <c r="J793" s="274">
        <f>ROUND(BJ67,0)</f>
        <v>6093</v>
      </c>
      <c r="K793" s="274">
        <f>ROUND(BJ68,0)</f>
        <v>91479</v>
      </c>
      <c r="L793" s="274">
        <f>ROUND(BJ69,0)</f>
        <v>10851</v>
      </c>
      <c r="M793" s="274">
        <f>ROUND(BJ70,0)</f>
        <v>58133</v>
      </c>
      <c r="N793" s="274"/>
      <c r="O793" s="274"/>
      <c r="P793" s="274">
        <f>IF(BJ76&gt;0,ROUND(BJ76,0),0)</f>
        <v>3306</v>
      </c>
      <c r="Q793" s="274">
        <f>IF(BJ77&gt;0,ROUND(BJ77,0),0)</f>
        <v>0</v>
      </c>
      <c r="R793" s="274">
        <f>IF(BJ78&gt;0,ROUND(BJ78,0),0)</f>
        <v>0</v>
      </c>
      <c r="S793" s="274">
        <f>IF(BJ79&gt;0,ROUND(BJ79,0),0)</f>
        <v>0</v>
      </c>
      <c r="T793" s="276">
        <f>IF(BJ80&gt;0,ROUND(BJ80,2),0)</f>
        <v>0</v>
      </c>
      <c r="U793" s="274"/>
      <c r="V793" s="275"/>
      <c r="W793" s="274"/>
      <c r="X793" s="274"/>
      <c r="Y793" s="274"/>
      <c r="Z793" s="275"/>
      <c r="AA793" s="275"/>
      <c r="AB793" s="275"/>
      <c r="AC793" s="275"/>
      <c r="AD793" s="275"/>
      <c r="AE793" s="275"/>
      <c r="AF793" s="275"/>
      <c r="AG793" s="275"/>
      <c r="AH793" s="275"/>
      <c r="AI793" s="275"/>
      <c r="AJ793" s="275"/>
      <c r="AK793" s="275"/>
      <c r="AL793" s="275"/>
      <c r="AM793" s="275"/>
      <c r="AN793" s="275"/>
      <c r="AO793" s="275"/>
      <c r="AP793" s="275"/>
      <c r="AQ793" s="275"/>
      <c r="AR793" s="275"/>
      <c r="AS793" s="275"/>
      <c r="AT793" s="275"/>
      <c r="AU793" s="275"/>
      <c r="AV793" s="275"/>
      <c r="AW793" s="275"/>
      <c r="AX793" s="275"/>
      <c r="AY793" s="275"/>
      <c r="AZ793" s="275"/>
      <c r="BA793" s="275"/>
      <c r="BB793" s="275"/>
      <c r="BC793" s="275"/>
      <c r="BD793" s="275"/>
      <c r="BE793" s="275"/>
      <c r="BF793" s="275"/>
      <c r="BG793" s="275"/>
      <c r="BH793" s="275"/>
      <c r="BI793" s="275"/>
      <c r="BJ793" s="275"/>
      <c r="BK793" s="275"/>
      <c r="BL793" s="275"/>
      <c r="BM793" s="275"/>
      <c r="BN793" s="275"/>
      <c r="BO793" s="275"/>
      <c r="BP793" s="275"/>
      <c r="BQ793" s="275"/>
      <c r="BR793" s="275"/>
      <c r="BS793" s="275"/>
      <c r="BT793" s="275"/>
      <c r="BU793" s="275"/>
      <c r="BV793" s="275"/>
      <c r="BW793" s="275"/>
      <c r="BX793" s="275"/>
      <c r="BY793" s="275"/>
      <c r="BZ793" s="275"/>
      <c r="CA793" s="275"/>
      <c r="CB793" s="275"/>
      <c r="CC793" s="275"/>
      <c r="CD793" s="275"/>
      <c r="CE793" s="275"/>
    </row>
    <row r="794" spans="1:83" ht="12.6" customHeight="1" x14ac:dyDescent="0.25">
      <c r="A794" s="209" t="str">
        <f>RIGHT($C$83,3)&amp;"*"&amp;RIGHT($C$82,4)&amp;"*"&amp;BK$55&amp;"*"&amp;"A"</f>
        <v>130*2017*8530*A</v>
      </c>
      <c r="B794" s="274"/>
      <c r="C794" s="276">
        <f>ROUND(BK60,2)</f>
        <v>33.090000000000003</v>
      </c>
      <c r="D794" s="274">
        <f>ROUND(BK61,0)</f>
        <v>1738456</v>
      </c>
      <c r="E794" s="274">
        <f>ROUND(BK62,0)</f>
        <v>439074</v>
      </c>
      <c r="F794" s="274">
        <f>ROUND(BK63,0)</f>
        <v>248728</v>
      </c>
      <c r="G794" s="274">
        <f>ROUND(BK64,0)</f>
        <v>62762</v>
      </c>
      <c r="H794" s="274">
        <f>ROUND(BK65,0)</f>
        <v>7111</v>
      </c>
      <c r="I794" s="274">
        <f>ROUND(BK66,0)</f>
        <v>823330</v>
      </c>
      <c r="J794" s="274">
        <f>ROUND(BK67,0)</f>
        <v>14038</v>
      </c>
      <c r="K794" s="274">
        <f>ROUND(BK68,0)</f>
        <v>397</v>
      </c>
      <c r="L794" s="274">
        <f>ROUND(BK69,0)</f>
        <v>8814</v>
      </c>
      <c r="M794" s="274">
        <f>ROUND(BK70,0)</f>
        <v>71176</v>
      </c>
      <c r="N794" s="274"/>
      <c r="O794" s="274"/>
      <c r="P794" s="274">
        <f>IF(BK76&gt;0,ROUND(BK76,0),0)</f>
        <v>5123</v>
      </c>
      <c r="Q794" s="274">
        <f>IF(BK77&gt;0,ROUND(BK77,0),0)</f>
        <v>0</v>
      </c>
      <c r="R794" s="274">
        <f>IF(BK78&gt;0,ROUND(BK78,0),0)</f>
        <v>0</v>
      </c>
      <c r="S794" s="274">
        <f>IF(BK79&gt;0,ROUND(BK79,0),0)</f>
        <v>0</v>
      </c>
      <c r="T794" s="276">
        <f>IF(BK80&gt;0,ROUND(BK80,2),0)</f>
        <v>0</v>
      </c>
      <c r="U794" s="274"/>
      <c r="V794" s="275"/>
      <c r="W794" s="274"/>
      <c r="X794" s="274"/>
      <c r="Y794" s="274"/>
      <c r="Z794" s="275"/>
      <c r="AA794" s="275"/>
      <c r="AB794" s="275"/>
      <c r="AC794" s="275"/>
      <c r="AD794" s="275"/>
      <c r="AE794" s="275"/>
      <c r="AF794" s="275"/>
      <c r="AG794" s="275"/>
      <c r="AH794" s="275"/>
      <c r="AI794" s="275"/>
      <c r="AJ794" s="275"/>
      <c r="AK794" s="275"/>
      <c r="AL794" s="275"/>
      <c r="AM794" s="275"/>
      <c r="AN794" s="275"/>
      <c r="AO794" s="275"/>
      <c r="AP794" s="275"/>
      <c r="AQ794" s="275"/>
      <c r="AR794" s="275"/>
      <c r="AS794" s="275"/>
      <c r="AT794" s="275"/>
      <c r="AU794" s="275"/>
      <c r="AV794" s="275"/>
      <c r="AW794" s="275"/>
      <c r="AX794" s="275"/>
      <c r="AY794" s="275"/>
      <c r="AZ794" s="275"/>
      <c r="BA794" s="275"/>
      <c r="BB794" s="275"/>
      <c r="BC794" s="275"/>
      <c r="BD794" s="275"/>
      <c r="BE794" s="275"/>
      <c r="BF794" s="275"/>
      <c r="BG794" s="275"/>
      <c r="BH794" s="275"/>
      <c r="BI794" s="275"/>
      <c r="BJ794" s="275"/>
      <c r="BK794" s="275"/>
      <c r="BL794" s="275"/>
      <c r="BM794" s="275"/>
      <c r="BN794" s="275"/>
      <c r="BO794" s="275"/>
      <c r="BP794" s="275"/>
      <c r="BQ794" s="275"/>
      <c r="BR794" s="275"/>
      <c r="BS794" s="275"/>
      <c r="BT794" s="275"/>
      <c r="BU794" s="275"/>
      <c r="BV794" s="275"/>
      <c r="BW794" s="275"/>
      <c r="BX794" s="275"/>
      <c r="BY794" s="275"/>
      <c r="BZ794" s="275"/>
      <c r="CA794" s="275"/>
      <c r="CB794" s="275"/>
      <c r="CC794" s="275"/>
      <c r="CD794" s="275"/>
      <c r="CE794" s="275"/>
    </row>
    <row r="795" spans="1:83" ht="12.6" customHeight="1" x14ac:dyDescent="0.25">
      <c r="A795" s="209" t="str">
        <f>RIGHT($C$83,3)&amp;"*"&amp;RIGHT($C$82,4)&amp;"*"&amp;BL$55&amp;"*"&amp;"A"</f>
        <v>130*2017*8560*A</v>
      </c>
      <c r="B795" s="274"/>
      <c r="C795" s="276">
        <f>ROUND(BL60,2)</f>
        <v>77.56</v>
      </c>
      <c r="D795" s="274">
        <f>ROUND(BL61,0)</f>
        <v>3587676</v>
      </c>
      <c r="E795" s="274">
        <f>ROUND(BL62,0)</f>
        <v>905143</v>
      </c>
      <c r="F795" s="274">
        <f>ROUND(BL63,0)</f>
        <v>0</v>
      </c>
      <c r="G795" s="274">
        <f>ROUND(BL64,0)</f>
        <v>96475</v>
      </c>
      <c r="H795" s="274">
        <f>ROUND(BL65,0)</f>
        <v>970</v>
      </c>
      <c r="I795" s="274">
        <f>ROUND(BL66,0)</f>
        <v>84754</v>
      </c>
      <c r="J795" s="274">
        <f>ROUND(BL67,0)</f>
        <v>2217</v>
      </c>
      <c r="K795" s="274">
        <f>ROUND(BL68,0)</f>
        <v>77</v>
      </c>
      <c r="L795" s="274">
        <f>ROUND(BL69,0)</f>
        <v>1273</v>
      </c>
      <c r="M795" s="274">
        <f>ROUND(BL70,0)</f>
        <v>0</v>
      </c>
      <c r="N795" s="274"/>
      <c r="O795" s="274"/>
      <c r="P795" s="274">
        <f>IF(BL76&gt;0,ROUND(BL76,0),0)</f>
        <v>4513</v>
      </c>
      <c r="Q795" s="274">
        <f>IF(BL77&gt;0,ROUND(BL77,0),0)</f>
        <v>0</v>
      </c>
      <c r="R795" s="274">
        <f>IF(BL78&gt;0,ROUND(BL78,0),0)</f>
        <v>1886</v>
      </c>
      <c r="S795" s="274">
        <f>IF(BL79&gt;0,ROUND(BL79,0),0)</f>
        <v>0</v>
      </c>
      <c r="T795" s="276">
        <f>IF(BL80&gt;0,ROUND(BL80,2),0)</f>
        <v>0</v>
      </c>
      <c r="U795" s="274"/>
      <c r="V795" s="275"/>
      <c r="W795" s="274"/>
      <c r="X795" s="274"/>
      <c r="Y795" s="274"/>
      <c r="Z795" s="275"/>
      <c r="AA795" s="275"/>
      <c r="AB795" s="275"/>
      <c r="AC795" s="275"/>
      <c r="AD795" s="275"/>
      <c r="AE795" s="275"/>
      <c r="AF795" s="275"/>
      <c r="AG795" s="275"/>
      <c r="AH795" s="275"/>
      <c r="AI795" s="275"/>
      <c r="AJ795" s="275"/>
      <c r="AK795" s="275"/>
      <c r="AL795" s="275"/>
      <c r="AM795" s="275"/>
      <c r="AN795" s="275"/>
      <c r="AO795" s="275"/>
      <c r="AP795" s="275"/>
      <c r="AQ795" s="275"/>
      <c r="AR795" s="275"/>
      <c r="AS795" s="275"/>
      <c r="AT795" s="275"/>
      <c r="AU795" s="275"/>
      <c r="AV795" s="275"/>
      <c r="AW795" s="275"/>
      <c r="AX795" s="275"/>
      <c r="AY795" s="275"/>
      <c r="AZ795" s="275"/>
      <c r="BA795" s="275"/>
      <c r="BB795" s="275"/>
      <c r="BC795" s="275"/>
      <c r="BD795" s="275"/>
      <c r="BE795" s="275"/>
      <c r="BF795" s="275"/>
      <c r="BG795" s="275"/>
      <c r="BH795" s="275"/>
      <c r="BI795" s="275"/>
      <c r="BJ795" s="275"/>
      <c r="BK795" s="275"/>
      <c r="BL795" s="275"/>
      <c r="BM795" s="275"/>
      <c r="BN795" s="275"/>
      <c r="BO795" s="275"/>
      <c r="BP795" s="275"/>
      <c r="BQ795" s="275"/>
      <c r="BR795" s="275"/>
      <c r="BS795" s="275"/>
      <c r="BT795" s="275"/>
      <c r="BU795" s="275"/>
      <c r="BV795" s="275"/>
      <c r="BW795" s="275"/>
      <c r="BX795" s="275"/>
      <c r="BY795" s="275"/>
      <c r="BZ795" s="275"/>
      <c r="CA795" s="275"/>
      <c r="CB795" s="275"/>
      <c r="CC795" s="275"/>
      <c r="CD795" s="275"/>
      <c r="CE795" s="275"/>
    </row>
    <row r="796" spans="1:83" ht="12.6" customHeight="1" x14ac:dyDescent="0.25">
      <c r="A796" s="209" t="str">
        <f>RIGHT($C$83,3)&amp;"*"&amp;RIGHT($C$82,4)&amp;"*"&amp;BM$55&amp;"*"&amp;"A"</f>
        <v>130*2017*8590*A</v>
      </c>
      <c r="B796" s="274"/>
      <c r="C796" s="276">
        <f>ROUND(BM60,2)</f>
        <v>0</v>
      </c>
      <c r="D796" s="274">
        <f>ROUND(BM61,0)</f>
        <v>0</v>
      </c>
      <c r="E796" s="274">
        <f>ROUND(BM62,0)</f>
        <v>0</v>
      </c>
      <c r="F796" s="274">
        <f>ROUND(BM63,0)</f>
        <v>0</v>
      </c>
      <c r="G796" s="274">
        <f>ROUND(BM64,0)</f>
        <v>0</v>
      </c>
      <c r="H796" s="274">
        <f>ROUND(BM65,0)</f>
        <v>0</v>
      </c>
      <c r="I796" s="274">
        <f>ROUND(BM66,0)</f>
        <v>0</v>
      </c>
      <c r="J796" s="274">
        <f>ROUND(BM67,0)</f>
        <v>0</v>
      </c>
      <c r="K796" s="274">
        <f>ROUND(BM68,0)</f>
        <v>0</v>
      </c>
      <c r="L796" s="274">
        <f>ROUND(BM69,0)</f>
        <v>0</v>
      </c>
      <c r="M796" s="274">
        <f>ROUND(BM70,0)</f>
        <v>0</v>
      </c>
      <c r="N796" s="274"/>
      <c r="O796" s="274"/>
      <c r="P796" s="274">
        <f>IF(BM76&gt;0,ROUND(BM76,0),0)</f>
        <v>0</v>
      </c>
      <c r="Q796" s="274">
        <f>IF(BM77&gt;0,ROUND(BM77,0),0)</f>
        <v>0</v>
      </c>
      <c r="R796" s="274">
        <f>IF(BM78&gt;0,ROUND(BM78,0),0)</f>
        <v>0</v>
      </c>
      <c r="S796" s="274">
        <f>IF(BM79&gt;0,ROUND(BM79,0),0)</f>
        <v>0</v>
      </c>
      <c r="T796" s="276">
        <f>IF(BM80&gt;0,ROUND(BM80,2),0)</f>
        <v>0</v>
      </c>
      <c r="U796" s="274"/>
      <c r="V796" s="275"/>
      <c r="W796" s="274"/>
      <c r="X796" s="274"/>
      <c r="Y796" s="274"/>
      <c r="Z796" s="275"/>
      <c r="AA796" s="275"/>
      <c r="AB796" s="275"/>
      <c r="AC796" s="275"/>
      <c r="AD796" s="275"/>
      <c r="AE796" s="275"/>
      <c r="AF796" s="275"/>
      <c r="AG796" s="275"/>
      <c r="AH796" s="275"/>
      <c r="AI796" s="275"/>
      <c r="AJ796" s="275"/>
      <c r="AK796" s="275"/>
      <c r="AL796" s="275"/>
      <c r="AM796" s="275"/>
      <c r="AN796" s="275"/>
      <c r="AO796" s="275"/>
      <c r="AP796" s="275"/>
      <c r="AQ796" s="275"/>
      <c r="AR796" s="275"/>
      <c r="AS796" s="275"/>
      <c r="AT796" s="275"/>
      <c r="AU796" s="275"/>
      <c r="AV796" s="275"/>
      <c r="AW796" s="275"/>
      <c r="AX796" s="275"/>
      <c r="AY796" s="275"/>
      <c r="AZ796" s="275"/>
      <c r="BA796" s="275"/>
      <c r="BB796" s="275"/>
      <c r="BC796" s="275"/>
      <c r="BD796" s="275"/>
      <c r="BE796" s="275"/>
      <c r="BF796" s="275"/>
      <c r="BG796" s="275"/>
      <c r="BH796" s="275"/>
      <c r="BI796" s="275"/>
      <c r="BJ796" s="275"/>
      <c r="BK796" s="275"/>
      <c r="BL796" s="275"/>
      <c r="BM796" s="275"/>
      <c r="BN796" s="275"/>
      <c r="BO796" s="275"/>
      <c r="BP796" s="275"/>
      <c r="BQ796" s="275"/>
      <c r="BR796" s="275"/>
      <c r="BS796" s="275"/>
      <c r="BT796" s="275"/>
      <c r="BU796" s="275"/>
      <c r="BV796" s="275"/>
      <c r="BW796" s="275"/>
      <c r="BX796" s="275"/>
      <c r="BY796" s="275"/>
      <c r="BZ796" s="275"/>
      <c r="CA796" s="275"/>
      <c r="CB796" s="275"/>
      <c r="CC796" s="275"/>
      <c r="CD796" s="275"/>
      <c r="CE796" s="275"/>
    </row>
    <row r="797" spans="1:83" ht="12.6" customHeight="1" x14ac:dyDescent="0.25">
      <c r="A797" s="209" t="str">
        <f>RIGHT($C$83,3)&amp;"*"&amp;RIGHT($C$82,4)&amp;"*"&amp;BN$55&amp;"*"&amp;"A"</f>
        <v>130*2017*8610*A</v>
      </c>
      <c r="B797" s="274"/>
      <c r="C797" s="276">
        <f>ROUND(BN60,2)</f>
        <v>15.05</v>
      </c>
      <c r="D797" s="274">
        <f>ROUND(BN61,0)</f>
        <v>2424237</v>
      </c>
      <c r="E797" s="274">
        <f>ROUND(BN62,0)</f>
        <v>514534</v>
      </c>
      <c r="F797" s="274">
        <f>ROUND(BN63,0)</f>
        <v>1130920</v>
      </c>
      <c r="G797" s="274">
        <f>ROUND(BN64,0)</f>
        <v>108533</v>
      </c>
      <c r="H797" s="274">
        <f>ROUND(BN65,0)</f>
        <v>6210</v>
      </c>
      <c r="I797" s="274">
        <f>ROUND(BN66,0)</f>
        <v>26720745</v>
      </c>
      <c r="J797" s="274">
        <f>ROUND(BN67,0)</f>
        <v>23999</v>
      </c>
      <c r="K797" s="274">
        <f>ROUND(BN68,0)</f>
        <v>111228</v>
      </c>
      <c r="L797" s="274">
        <f>ROUND(BN69,0)</f>
        <v>695584</v>
      </c>
      <c r="M797" s="274">
        <f>ROUND(BN70,0)</f>
        <v>315213</v>
      </c>
      <c r="N797" s="274"/>
      <c r="O797" s="274"/>
      <c r="P797" s="274">
        <f>IF(BN76&gt;0,ROUND(BN76,0),0)</f>
        <v>1475</v>
      </c>
      <c r="Q797" s="274">
        <f>IF(BN77&gt;0,ROUND(BN77,0),0)</f>
        <v>0</v>
      </c>
      <c r="R797" s="274">
        <f>IF(BN78&gt;0,ROUND(BN78,0),0)</f>
        <v>0</v>
      </c>
      <c r="S797" s="274">
        <f>IF(BN79&gt;0,ROUND(BN79,0),0)</f>
        <v>0</v>
      </c>
      <c r="T797" s="276">
        <f>IF(BN80&gt;0,ROUND(BN80,2),0)</f>
        <v>0</v>
      </c>
      <c r="U797" s="274"/>
      <c r="V797" s="275"/>
      <c r="W797" s="274"/>
      <c r="X797" s="274"/>
      <c r="Y797" s="274"/>
      <c r="Z797" s="275"/>
      <c r="AA797" s="275"/>
      <c r="AB797" s="275"/>
      <c r="AC797" s="275"/>
      <c r="AD797" s="275"/>
      <c r="AE797" s="275"/>
      <c r="AF797" s="275"/>
      <c r="AG797" s="275"/>
      <c r="AH797" s="275"/>
      <c r="AI797" s="275"/>
      <c r="AJ797" s="275"/>
      <c r="AK797" s="275"/>
      <c r="AL797" s="275"/>
      <c r="AM797" s="275"/>
      <c r="AN797" s="275"/>
      <c r="AO797" s="275"/>
      <c r="AP797" s="275"/>
      <c r="AQ797" s="275"/>
      <c r="AR797" s="275"/>
      <c r="AS797" s="275"/>
      <c r="AT797" s="275"/>
      <c r="AU797" s="275"/>
      <c r="AV797" s="275"/>
      <c r="AW797" s="275"/>
      <c r="AX797" s="275"/>
      <c r="AY797" s="275"/>
      <c r="AZ797" s="275"/>
      <c r="BA797" s="275"/>
      <c r="BB797" s="275"/>
      <c r="BC797" s="275"/>
      <c r="BD797" s="275"/>
      <c r="BE797" s="275"/>
      <c r="BF797" s="275"/>
      <c r="BG797" s="275"/>
      <c r="BH797" s="275"/>
      <c r="BI797" s="275"/>
      <c r="BJ797" s="275"/>
      <c r="BK797" s="275"/>
      <c r="BL797" s="275"/>
      <c r="BM797" s="275"/>
      <c r="BN797" s="275"/>
      <c r="BO797" s="275"/>
      <c r="BP797" s="275"/>
      <c r="BQ797" s="275"/>
      <c r="BR797" s="275"/>
      <c r="BS797" s="275"/>
      <c r="BT797" s="275"/>
      <c r="BU797" s="275"/>
      <c r="BV797" s="275"/>
      <c r="BW797" s="275"/>
      <c r="BX797" s="275"/>
      <c r="BY797" s="275"/>
      <c r="BZ797" s="275"/>
      <c r="CA797" s="275"/>
      <c r="CB797" s="275"/>
      <c r="CC797" s="275"/>
      <c r="CD797" s="275"/>
      <c r="CE797" s="275"/>
    </row>
    <row r="798" spans="1:83" ht="12.6" customHeight="1" x14ac:dyDescent="0.25">
      <c r="A798" s="209" t="str">
        <f>RIGHT($C$83,3)&amp;"*"&amp;RIGHT($C$82,4)&amp;"*"&amp;BO$55&amp;"*"&amp;"A"</f>
        <v>130*2017*8620*A</v>
      </c>
      <c r="B798" s="274"/>
      <c r="C798" s="276">
        <f>ROUND(BO60,2)</f>
        <v>2.12</v>
      </c>
      <c r="D798" s="274">
        <f>ROUND(BO61,0)</f>
        <v>472849</v>
      </c>
      <c r="E798" s="274">
        <f>ROUND(BO62,0)</f>
        <v>85889</v>
      </c>
      <c r="F798" s="274">
        <f>ROUND(BO63,0)</f>
        <v>0</v>
      </c>
      <c r="G798" s="274">
        <f>ROUND(BO64,0)</f>
        <v>61880</v>
      </c>
      <c r="H798" s="274">
        <f>ROUND(BO65,0)</f>
        <v>0</v>
      </c>
      <c r="I798" s="274">
        <f>ROUND(BO66,0)</f>
        <v>93588</v>
      </c>
      <c r="J798" s="274">
        <f>ROUND(BO67,0)</f>
        <v>0</v>
      </c>
      <c r="K798" s="274">
        <f>ROUND(BO68,0)</f>
        <v>56</v>
      </c>
      <c r="L798" s="274">
        <f>ROUND(BO69,0)</f>
        <v>656</v>
      </c>
      <c r="M798" s="274">
        <f>ROUND(BO70,0)</f>
        <v>0</v>
      </c>
      <c r="N798" s="274"/>
      <c r="O798" s="274"/>
      <c r="P798" s="274">
        <f>IF(BO76&gt;0,ROUND(BO76,0),0)</f>
        <v>965</v>
      </c>
      <c r="Q798" s="274">
        <f>IF(BO77&gt;0,ROUND(BO77,0),0)</f>
        <v>0</v>
      </c>
      <c r="R798" s="274">
        <f>IF(BO78&gt;0,ROUND(BO78,0),0)</f>
        <v>0</v>
      </c>
      <c r="S798" s="274">
        <f>IF(BO79&gt;0,ROUND(BO79,0),0)</f>
        <v>0</v>
      </c>
      <c r="T798" s="276">
        <f>IF(BO80&gt;0,ROUND(BO80,2),0)</f>
        <v>0</v>
      </c>
      <c r="U798" s="274"/>
      <c r="V798" s="275"/>
      <c r="W798" s="274"/>
      <c r="X798" s="274"/>
      <c r="Y798" s="274"/>
      <c r="Z798" s="275"/>
      <c r="AA798" s="275"/>
      <c r="AB798" s="275"/>
      <c r="AC798" s="275"/>
      <c r="AD798" s="275"/>
      <c r="AE798" s="275"/>
      <c r="AF798" s="275"/>
      <c r="AG798" s="275"/>
      <c r="AH798" s="275"/>
      <c r="AI798" s="275"/>
      <c r="AJ798" s="275"/>
      <c r="AK798" s="275"/>
      <c r="AL798" s="275"/>
      <c r="AM798" s="275"/>
      <c r="AN798" s="275"/>
      <c r="AO798" s="275"/>
      <c r="AP798" s="275"/>
      <c r="AQ798" s="275"/>
      <c r="AR798" s="275"/>
      <c r="AS798" s="275"/>
      <c r="AT798" s="275"/>
      <c r="AU798" s="275"/>
      <c r="AV798" s="275"/>
      <c r="AW798" s="275"/>
      <c r="AX798" s="275"/>
      <c r="AY798" s="275"/>
      <c r="AZ798" s="275"/>
      <c r="BA798" s="275"/>
      <c r="BB798" s="275"/>
      <c r="BC798" s="275"/>
      <c r="BD798" s="275"/>
      <c r="BE798" s="275"/>
      <c r="BF798" s="275"/>
      <c r="BG798" s="275"/>
      <c r="BH798" s="275"/>
      <c r="BI798" s="275"/>
      <c r="BJ798" s="275"/>
      <c r="BK798" s="275"/>
      <c r="BL798" s="275"/>
      <c r="BM798" s="275"/>
      <c r="BN798" s="275"/>
      <c r="BO798" s="275"/>
      <c r="BP798" s="275"/>
      <c r="BQ798" s="275"/>
      <c r="BR798" s="275"/>
      <c r="BS798" s="275"/>
      <c r="BT798" s="275"/>
      <c r="BU798" s="275"/>
      <c r="BV798" s="275"/>
      <c r="BW798" s="275"/>
      <c r="BX798" s="275"/>
      <c r="BY798" s="275"/>
      <c r="BZ798" s="275"/>
      <c r="CA798" s="275"/>
      <c r="CB798" s="275"/>
      <c r="CC798" s="275"/>
      <c r="CD798" s="275"/>
      <c r="CE798" s="275"/>
    </row>
    <row r="799" spans="1:83" ht="12.6" customHeight="1" x14ac:dyDescent="0.25">
      <c r="A799" s="209" t="str">
        <f>RIGHT($C$83,3)&amp;"*"&amp;RIGHT($C$82,4)&amp;"*"&amp;BP$55&amp;"*"&amp;"A"</f>
        <v>130*2017*8630*A</v>
      </c>
      <c r="B799" s="274"/>
      <c r="C799" s="276">
        <f>ROUND(BP60,2)</f>
        <v>2.0299999999999998</v>
      </c>
      <c r="D799" s="274">
        <f>ROUND(BP61,0)</f>
        <v>1452419</v>
      </c>
      <c r="E799" s="274">
        <f>ROUND(BP62,0)</f>
        <v>181987</v>
      </c>
      <c r="F799" s="274">
        <f>ROUND(BP63,0)</f>
        <v>0</v>
      </c>
      <c r="G799" s="274">
        <f>ROUND(BP64,0)</f>
        <v>-123047</v>
      </c>
      <c r="H799" s="274">
        <f>ROUND(BP65,0)</f>
        <v>600</v>
      </c>
      <c r="I799" s="274">
        <f>ROUND(BP66,0)</f>
        <v>98696</v>
      </c>
      <c r="J799" s="274">
        <f>ROUND(BP67,0)</f>
        <v>120137</v>
      </c>
      <c r="K799" s="274">
        <f>ROUND(BP68,0)</f>
        <v>8</v>
      </c>
      <c r="L799" s="274">
        <f>ROUND(BP69,0)</f>
        <v>2886</v>
      </c>
      <c r="M799" s="274">
        <f>ROUND(BP70,0)</f>
        <v>41618</v>
      </c>
      <c r="N799" s="274"/>
      <c r="O799" s="274"/>
      <c r="P799" s="274">
        <f>IF(BP76&gt;0,ROUND(BP76,0),0)</f>
        <v>2679</v>
      </c>
      <c r="Q799" s="274">
        <f>IF(BP77&gt;0,ROUND(BP77,0),0)</f>
        <v>0</v>
      </c>
      <c r="R799" s="274">
        <f>IF(BP78&gt;0,ROUND(BP78,0),0)</f>
        <v>0</v>
      </c>
      <c r="S799" s="274">
        <f>IF(BP79&gt;0,ROUND(BP79,0),0)</f>
        <v>0</v>
      </c>
      <c r="T799" s="276">
        <f>IF(BP80&gt;0,ROUND(BP80,2),0)</f>
        <v>0</v>
      </c>
      <c r="U799" s="274"/>
      <c r="V799" s="275"/>
      <c r="W799" s="274"/>
      <c r="X799" s="274"/>
      <c r="Y799" s="274"/>
      <c r="Z799" s="275"/>
      <c r="AA799" s="275"/>
      <c r="AB799" s="275"/>
      <c r="AC799" s="275"/>
      <c r="AD799" s="275"/>
      <c r="AE799" s="275"/>
      <c r="AF799" s="275"/>
      <c r="AG799" s="275"/>
      <c r="AH799" s="275"/>
      <c r="AI799" s="275"/>
      <c r="AJ799" s="275"/>
      <c r="AK799" s="275"/>
      <c r="AL799" s="275"/>
      <c r="AM799" s="275"/>
      <c r="AN799" s="275"/>
      <c r="AO799" s="275"/>
      <c r="AP799" s="275"/>
      <c r="AQ799" s="275"/>
      <c r="AR799" s="275"/>
      <c r="AS799" s="275"/>
      <c r="AT799" s="275"/>
      <c r="AU799" s="275"/>
      <c r="AV799" s="275"/>
      <c r="AW799" s="275"/>
      <c r="AX799" s="275"/>
      <c r="AY799" s="275"/>
      <c r="AZ799" s="275"/>
      <c r="BA799" s="275"/>
      <c r="BB799" s="275"/>
      <c r="BC799" s="275"/>
      <c r="BD799" s="275"/>
      <c r="BE799" s="275"/>
      <c r="BF799" s="275"/>
      <c r="BG799" s="275"/>
      <c r="BH799" s="275"/>
      <c r="BI799" s="275"/>
      <c r="BJ799" s="275"/>
      <c r="BK799" s="275"/>
      <c r="BL799" s="275"/>
      <c r="BM799" s="275"/>
      <c r="BN799" s="275"/>
      <c r="BO799" s="275"/>
      <c r="BP799" s="275"/>
      <c r="BQ799" s="275"/>
      <c r="BR799" s="275"/>
      <c r="BS799" s="275"/>
      <c r="BT799" s="275"/>
      <c r="BU799" s="275"/>
      <c r="BV799" s="275"/>
      <c r="BW799" s="275"/>
      <c r="BX799" s="275"/>
      <c r="BY799" s="275"/>
      <c r="BZ799" s="275"/>
      <c r="CA799" s="275"/>
      <c r="CB799" s="275"/>
      <c r="CC799" s="275"/>
      <c r="CD799" s="275"/>
      <c r="CE799" s="275"/>
    </row>
    <row r="800" spans="1:83" ht="12.6" customHeight="1" x14ac:dyDescent="0.25">
      <c r="A800" s="209" t="str">
        <f>RIGHT($C$83,3)&amp;"*"&amp;RIGHT($C$82,4)&amp;"*"&amp;BQ$55&amp;"*"&amp;"A"</f>
        <v>130*2017*8640*A</v>
      </c>
      <c r="B800" s="274"/>
      <c r="C800" s="276">
        <f>ROUND(BQ60,2)</f>
        <v>0</v>
      </c>
      <c r="D800" s="274">
        <f>ROUND(BQ61,0)</f>
        <v>0</v>
      </c>
      <c r="E800" s="274">
        <f>ROUND(BQ62,0)</f>
        <v>0</v>
      </c>
      <c r="F800" s="274">
        <f>ROUND(BQ63,0)</f>
        <v>0</v>
      </c>
      <c r="G800" s="274">
        <f>ROUND(BQ64,0)</f>
        <v>0</v>
      </c>
      <c r="H800" s="274">
        <f>ROUND(BQ65,0)</f>
        <v>0</v>
      </c>
      <c r="I800" s="274">
        <f>ROUND(BQ66,0)</f>
        <v>0</v>
      </c>
      <c r="J800" s="274">
        <f>ROUND(BQ67,0)</f>
        <v>0</v>
      </c>
      <c r="K800" s="274">
        <f>ROUND(BQ68,0)</f>
        <v>0</v>
      </c>
      <c r="L800" s="274">
        <f>ROUND(BQ69,0)</f>
        <v>0</v>
      </c>
      <c r="M800" s="274">
        <f>ROUND(BQ70,0)</f>
        <v>0</v>
      </c>
      <c r="N800" s="274"/>
      <c r="O800" s="274"/>
      <c r="P800" s="274">
        <f>IF(BQ76&gt;0,ROUND(BQ76,0),0)</f>
        <v>0</v>
      </c>
      <c r="Q800" s="274">
        <f>IF(BQ77&gt;0,ROUND(BQ77,0),0)</f>
        <v>0</v>
      </c>
      <c r="R800" s="274">
        <f>IF(BQ78&gt;0,ROUND(BQ78,0),0)</f>
        <v>0</v>
      </c>
      <c r="S800" s="274">
        <f>IF(BQ79&gt;0,ROUND(BQ79,0),0)</f>
        <v>0</v>
      </c>
      <c r="T800" s="276">
        <f>IF(BQ80&gt;0,ROUND(BQ80,2),0)</f>
        <v>0</v>
      </c>
      <c r="U800" s="274"/>
      <c r="V800" s="275"/>
      <c r="W800" s="274"/>
      <c r="X800" s="274"/>
      <c r="Y800" s="274"/>
      <c r="Z800" s="275"/>
      <c r="AA800" s="275"/>
      <c r="AB800" s="275"/>
      <c r="AC800" s="275"/>
      <c r="AD800" s="275"/>
      <c r="AE800" s="275"/>
      <c r="AF800" s="275"/>
      <c r="AG800" s="275"/>
      <c r="AH800" s="275"/>
      <c r="AI800" s="275"/>
      <c r="AJ800" s="275"/>
      <c r="AK800" s="275"/>
      <c r="AL800" s="275"/>
      <c r="AM800" s="275"/>
      <c r="AN800" s="275"/>
      <c r="AO800" s="275"/>
      <c r="AP800" s="275"/>
      <c r="AQ800" s="275"/>
      <c r="AR800" s="275"/>
      <c r="AS800" s="275"/>
      <c r="AT800" s="275"/>
      <c r="AU800" s="275"/>
      <c r="AV800" s="275"/>
      <c r="AW800" s="275"/>
      <c r="AX800" s="275"/>
      <c r="AY800" s="275"/>
      <c r="AZ800" s="275"/>
      <c r="BA800" s="275"/>
      <c r="BB800" s="275"/>
      <c r="BC800" s="275"/>
      <c r="BD800" s="275"/>
      <c r="BE800" s="275"/>
      <c r="BF800" s="275"/>
      <c r="BG800" s="275"/>
      <c r="BH800" s="275"/>
      <c r="BI800" s="275"/>
      <c r="BJ800" s="275"/>
      <c r="BK800" s="275"/>
      <c r="BL800" s="275"/>
      <c r="BM800" s="275"/>
      <c r="BN800" s="275"/>
      <c r="BO800" s="275"/>
      <c r="BP800" s="275"/>
      <c r="BQ800" s="275"/>
      <c r="BR800" s="275"/>
      <c r="BS800" s="275"/>
      <c r="BT800" s="275"/>
      <c r="BU800" s="275"/>
      <c r="BV800" s="275"/>
      <c r="BW800" s="275"/>
      <c r="BX800" s="275"/>
      <c r="BY800" s="275"/>
      <c r="BZ800" s="275"/>
      <c r="CA800" s="275"/>
      <c r="CB800" s="275"/>
      <c r="CC800" s="275"/>
      <c r="CD800" s="275"/>
      <c r="CE800" s="275"/>
    </row>
    <row r="801" spans="1:83" ht="12.6" customHeight="1" x14ac:dyDescent="0.25">
      <c r="A801" s="209" t="str">
        <f>RIGHT($C$83,3)&amp;"*"&amp;RIGHT($C$82,4)&amp;"*"&amp;BR$55&amp;"*"&amp;"A"</f>
        <v>130*2017*8650*A</v>
      </c>
      <c r="B801" s="274"/>
      <c r="C801" s="276">
        <f>ROUND(BR60,2)</f>
        <v>17.52</v>
      </c>
      <c r="D801" s="274">
        <f>ROUND(BR61,0)</f>
        <v>1459081</v>
      </c>
      <c r="E801" s="274">
        <f>ROUND(BR62,0)</f>
        <v>1884385</v>
      </c>
      <c r="F801" s="274">
        <f>ROUND(BR63,0)</f>
        <v>35234</v>
      </c>
      <c r="G801" s="274">
        <f>ROUND(BR64,0)</f>
        <v>13073</v>
      </c>
      <c r="H801" s="274">
        <f>ROUND(BR65,0)</f>
        <v>0</v>
      </c>
      <c r="I801" s="274">
        <f>ROUND(BR66,0)</f>
        <v>332996</v>
      </c>
      <c r="J801" s="274">
        <f>ROUND(BR67,0)</f>
        <v>0</v>
      </c>
      <c r="K801" s="274">
        <f>ROUND(BR68,0)</f>
        <v>80086</v>
      </c>
      <c r="L801" s="274">
        <f>ROUND(BR69,0)</f>
        <v>346900</v>
      </c>
      <c r="M801" s="274">
        <f>ROUND(BR70,0)</f>
        <v>14592</v>
      </c>
      <c r="N801" s="274"/>
      <c r="O801" s="274"/>
      <c r="P801" s="274">
        <f>IF(BR76&gt;0,ROUND(BR76,0),0)</f>
        <v>2898</v>
      </c>
      <c r="Q801" s="274">
        <f>IF(BR77&gt;0,ROUND(BR77,0),0)</f>
        <v>0</v>
      </c>
      <c r="R801" s="274">
        <f>IF(BR78&gt;0,ROUND(BR78,0),0)</f>
        <v>0</v>
      </c>
      <c r="S801" s="274">
        <f>IF(BR79&gt;0,ROUND(BR79,0),0)</f>
        <v>0</v>
      </c>
      <c r="T801" s="276">
        <f>IF(BR80&gt;0,ROUND(BR80,2),0)</f>
        <v>0</v>
      </c>
      <c r="U801" s="274"/>
      <c r="V801" s="275"/>
      <c r="W801" s="274"/>
      <c r="X801" s="274"/>
      <c r="Y801" s="274"/>
      <c r="Z801" s="275"/>
      <c r="AA801" s="275"/>
      <c r="AB801" s="275"/>
      <c r="AC801" s="275"/>
      <c r="AD801" s="275"/>
      <c r="AE801" s="275"/>
      <c r="AF801" s="275"/>
      <c r="AG801" s="275"/>
      <c r="AH801" s="275"/>
      <c r="AI801" s="275"/>
      <c r="AJ801" s="275"/>
      <c r="AK801" s="275"/>
      <c r="AL801" s="275"/>
      <c r="AM801" s="275"/>
      <c r="AN801" s="275"/>
      <c r="AO801" s="275"/>
      <c r="AP801" s="275"/>
      <c r="AQ801" s="275"/>
      <c r="AR801" s="275"/>
      <c r="AS801" s="275"/>
      <c r="AT801" s="275"/>
      <c r="AU801" s="275"/>
      <c r="AV801" s="275"/>
      <c r="AW801" s="275"/>
      <c r="AX801" s="275"/>
      <c r="AY801" s="275"/>
      <c r="AZ801" s="275"/>
      <c r="BA801" s="275"/>
      <c r="BB801" s="275"/>
      <c r="BC801" s="275"/>
      <c r="BD801" s="275"/>
      <c r="BE801" s="275"/>
      <c r="BF801" s="275"/>
      <c r="BG801" s="275"/>
      <c r="BH801" s="275"/>
      <c r="BI801" s="275"/>
      <c r="BJ801" s="275"/>
      <c r="BK801" s="275"/>
      <c r="BL801" s="275"/>
      <c r="BM801" s="275"/>
      <c r="BN801" s="275"/>
      <c r="BO801" s="275"/>
      <c r="BP801" s="275"/>
      <c r="BQ801" s="275"/>
      <c r="BR801" s="275"/>
      <c r="BS801" s="275"/>
      <c r="BT801" s="275"/>
      <c r="BU801" s="275"/>
      <c r="BV801" s="275"/>
      <c r="BW801" s="275"/>
      <c r="BX801" s="275"/>
      <c r="BY801" s="275"/>
      <c r="BZ801" s="275"/>
      <c r="CA801" s="275"/>
      <c r="CB801" s="275"/>
      <c r="CC801" s="275"/>
      <c r="CD801" s="275"/>
      <c r="CE801" s="275"/>
    </row>
    <row r="802" spans="1:83" ht="12.6" customHeight="1" x14ac:dyDescent="0.25">
      <c r="A802" s="209" t="str">
        <f>RIGHT($C$83,3)&amp;"*"&amp;RIGHT($C$82,4)&amp;"*"&amp;BS$55&amp;"*"&amp;"A"</f>
        <v>130*2017*8660*A</v>
      </c>
      <c r="B802" s="274"/>
      <c r="C802" s="276">
        <f>ROUND(BS60,2)</f>
        <v>0.99</v>
      </c>
      <c r="D802" s="274">
        <f>ROUND(BS61,0)</f>
        <v>65010</v>
      </c>
      <c r="E802" s="274">
        <f>ROUND(BS62,0)</f>
        <v>16421</v>
      </c>
      <c r="F802" s="274">
        <f>ROUND(BS63,0)</f>
        <v>0</v>
      </c>
      <c r="G802" s="274">
        <f>ROUND(BS64,0)</f>
        <v>1839</v>
      </c>
      <c r="H802" s="274">
        <f>ROUND(BS65,0)</f>
        <v>0</v>
      </c>
      <c r="I802" s="274">
        <f>ROUND(BS66,0)</f>
        <v>0</v>
      </c>
      <c r="J802" s="274">
        <f>ROUND(BS67,0)</f>
        <v>225</v>
      </c>
      <c r="K802" s="274">
        <f>ROUND(BS68,0)</f>
        <v>0</v>
      </c>
      <c r="L802" s="274">
        <f>ROUND(BS69,0)</f>
        <v>50</v>
      </c>
      <c r="M802" s="274">
        <f>ROUND(BS70,0)</f>
        <v>0</v>
      </c>
      <c r="N802" s="274"/>
      <c r="O802" s="274"/>
      <c r="P802" s="274">
        <f>IF(BS76&gt;0,ROUND(BS76,0),0)</f>
        <v>0</v>
      </c>
      <c r="Q802" s="274">
        <f>IF(BS77&gt;0,ROUND(BS77,0),0)</f>
        <v>0</v>
      </c>
      <c r="R802" s="274">
        <f>IF(BS78&gt;0,ROUND(BS78,0),0)</f>
        <v>0</v>
      </c>
      <c r="S802" s="274">
        <f>IF(BS79&gt;0,ROUND(BS79,0),0)</f>
        <v>0</v>
      </c>
      <c r="T802" s="276">
        <f>IF(BS80&gt;0,ROUND(BS80,2),0)</f>
        <v>0</v>
      </c>
      <c r="U802" s="274"/>
      <c r="V802" s="275"/>
      <c r="W802" s="274"/>
      <c r="X802" s="274"/>
      <c r="Y802" s="274"/>
      <c r="Z802" s="275"/>
      <c r="AA802" s="275"/>
      <c r="AB802" s="275"/>
      <c r="AC802" s="275"/>
      <c r="AD802" s="275"/>
      <c r="AE802" s="275"/>
      <c r="AF802" s="275"/>
      <c r="AG802" s="275"/>
      <c r="AH802" s="275"/>
      <c r="AI802" s="275"/>
      <c r="AJ802" s="275"/>
      <c r="AK802" s="275"/>
      <c r="AL802" s="275"/>
      <c r="AM802" s="275"/>
      <c r="AN802" s="275"/>
      <c r="AO802" s="275"/>
      <c r="AP802" s="275"/>
      <c r="AQ802" s="275"/>
      <c r="AR802" s="275"/>
      <c r="AS802" s="275"/>
      <c r="AT802" s="275"/>
      <c r="AU802" s="275"/>
      <c r="AV802" s="275"/>
      <c r="AW802" s="275"/>
      <c r="AX802" s="275"/>
      <c r="AY802" s="275"/>
      <c r="AZ802" s="275"/>
      <c r="BA802" s="275"/>
      <c r="BB802" s="275"/>
      <c r="BC802" s="275"/>
      <c r="BD802" s="275"/>
      <c r="BE802" s="275"/>
      <c r="BF802" s="275"/>
      <c r="BG802" s="275"/>
      <c r="BH802" s="275"/>
      <c r="BI802" s="275"/>
      <c r="BJ802" s="275"/>
      <c r="BK802" s="275"/>
      <c r="BL802" s="275"/>
      <c r="BM802" s="275"/>
      <c r="BN802" s="275"/>
      <c r="BO802" s="275"/>
      <c r="BP802" s="275"/>
      <c r="BQ802" s="275"/>
      <c r="BR802" s="275"/>
      <c r="BS802" s="275"/>
      <c r="BT802" s="275"/>
      <c r="BU802" s="275"/>
      <c r="BV802" s="275"/>
      <c r="BW802" s="275"/>
      <c r="BX802" s="275"/>
      <c r="BY802" s="275"/>
      <c r="BZ802" s="275"/>
      <c r="CA802" s="275"/>
      <c r="CB802" s="275"/>
      <c r="CC802" s="275"/>
      <c r="CD802" s="275"/>
      <c r="CE802" s="275"/>
    </row>
    <row r="803" spans="1:83" ht="12.6" customHeight="1" x14ac:dyDescent="0.25">
      <c r="A803" s="209" t="str">
        <f>RIGHT($C$83,3)&amp;"*"&amp;RIGHT($C$82,4)&amp;"*"&amp;BT$55&amp;"*"&amp;"A"</f>
        <v>130*2017*8670*A</v>
      </c>
      <c r="B803" s="274"/>
      <c r="C803" s="276">
        <f>ROUND(BT60,2)</f>
        <v>0</v>
      </c>
      <c r="D803" s="274">
        <f>ROUND(BT61,0)</f>
        <v>0</v>
      </c>
      <c r="E803" s="274">
        <f>ROUND(BT62,0)</f>
        <v>0</v>
      </c>
      <c r="F803" s="274">
        <f>ROUND(BT63,0)</f>
        <v>0</v>
      </c>
      <c r="G803" s="274">
        <f>ROUND(BT64,0)</f>
        <v>0</v>
      </c>
      <c r="H803" s="274">
        <f>ROUND(BT65,0)</f>
        <v>0</v>
      </c>
      <c r="I803" s="274">
        <f>ROUND(BT66,0)</f>
        <v>0</v>
      </c>
      <c r="J803" s="274">
        <f>ROUND(BT67,0)</f>
        <v>0</v>
      </c>
      <c r="K803" s="274">
        <f>ROUND(BT68,0)</f>
        <v>0</v>
      </c>
      <c r="L803" s="274">
        <f>ROUND(BT69,0)</f>
        <v>0</v>
      </c>
      <c r="M803" s="274">
        <f>ROUND(BT70,0)</f>
        <v>0</v>
      </c>
      <c r="N803" s="274"/>
      <c r="O803" s="274"/>
      <c r="P803" s="274">
        <f>IF(BT76&gt;0,ROUND(BT76,0),0)</f>
        <v>0</v>
      </c>
      <c r="Q803" s="274">
        <f>IF(BT77&gt;0,ROUND(BT77,0),0)</f>
        <v>0</v>
      </c>
      <c r="R803" s="274">
        <f>IF(BT78&gt;0,ROUND(BT78,0),0)</f>
        <v>0</v>
      </c>
      <c r="S803" s="274">
        <f>IF(BT79&gt;0,ROUND(BT79,0),0)</f>
        <v>0</v>
      </c>
      <c r="T803" s="276">
        <f>IF(BT80&gt;0,ROUND(BT80,2),0)</f>
        <v>0</v>
      </c>
      <c r="U803" s="274"/>
      <c r="V803" s="275"/>
      <c r="W803" s="274"/>
      <c r="X803" s="274"/>
      <c r="Y803" s="274"/>
      <c r="Z803" s="275"/>
      <c r="AA803" s="275"/>
      <c r="AB803" s="275"/>
      <c r="AC803" s="275"/>
      <c r="AD803" s="275"/>
      <c r="AE803" s="275"/>
      <c r="AF803" s="275"/>
      <c r="AG803" s="275"/>
      <c r="AH803" s="275"/>
      <c r="AI803" s="275"/>
      <c r="AJ803" s="275"/>
      <c r="AK803" s="275"/>
      <c r="AL803" s="275"/>
      <c r="AM803" s="275"/>
      <c r="AN803" s="275"/>
      <c r="AO803" s="275"/>
      <c r="AP803" s="275"/>
      <c r="AQ803" s="275"/>
      <c r="AR803" s="275"/>
      <c r="AS803" s="275"/>
      <c r="AT803" s="275"/>
      <c r="AU803" s="275"/>
      <c r="AV803" s="275"/>
      <c r="AW803" s="275"/>
      <c r="AX803" s="275"/>
      <c r="AY803" s="275"/>
      <c r="AZ803" s="275"/>
      <c r="BA803" s="275"/>
      <c r="BB803" s="275"/>
      <c r="BC803" s="275"/>
      <c r="BD803" s="275"/>
      <c r="BE803" s="275"/>
      <c r="BF803" s="275"/>
      <c r="BG803" s="275"/>
      <c r="BH803" s="275"/>
      <c r="BI803" s="275"/>
      <c r="BJ803" s="275"/>
      <c r="BK803" s="275"/>
      <c r="BL803" s="275"/>
      <c r="BM803" s="275"/>
      <c r="BN803" s="275"/>
      <c r="BO803" s="275"/>
      <c r="BP803" s="275"/>
      <c r="BQ803" s="275"/>
      <c r="BR803" s="275"/>
      <c r="BS803" s="275"/>
      <c r="BT803" s="275"/>
      <c r="BU803" s="275"/>
      <c r="BV803" s="275"/>
      <c r="BW803" s="275"/>
      <c r="BX803" s="275"/>
      <c r="BY803" s="275"/>
      <c r="BZ803" s="275"/>
      <c r="CA803" s="275"/>
      <c r="CB803" s="275"/>
      <c r="CC803" s="275"/>
      <c r="CD803" s="275"/>
      <c r="CE803" s="275"/>
    </row>
    <row r="804" spans="1:83" ht="12.6" customHeight="1" x14ac:dyDescent="0.25">
      <c r="A804" s="209" t="str">
        <f>RIGHT($C$83,3)&amp;"*"&amp;RIGHT($C$82,4)&amp;"*"&amp;BU$55&amp;"*"&amp;"A"</f>
        <v>130*2017*8680*A</v>
      </c>
      <c r="B804" s="274"/>
      <c r="C804" s="276">
        <f>ROUND(BU60,2)</f>
        <v>0</v>
      </c>
      <c r="D804" s="274">
        <f>ROUND(BU61,0)</f>
        <v>0</v>
      </c>
      <c r="E804" s="274">
        <f>ROUND(BU62,0)</f>
        <v>0</v>
      </c>
      <c r="F804" s="274">
        <f>ROUND(BU63,0)</f>
        <v>0</v>
      </c>
      <c r="G804" s="274">
        <f>ROUND(BU64,0)</f>
        <v>0</v>
      </c>
      <c r="H804" s="274">
        <f>ROUND(BU65,0)</f>
        <v>0</v>
      </c>
      <c r="I804" s="274">
        <f>ROUND(BU66,0)</f>
        <v>0</v>
      </c>
      <c r="J804" s="274">
        <f>ROUND(BU67,0)</f>
        <v>0</v>
      </c>
      <c r="K804" s="274">
        <f>ROUND(BU68,0)</f>
        <v>0</v>
      </c>
      <c r="L804" s="274">
        <f>ROUND(BU69,0)</f>
        <v>0</v>
      </c>
      <c r="M804" s="274">
        <f>ROUND(BU70,0)</f>
        <v>0</v>
      </c>
      <c r="N804" s="274"/>
      <c r="O804" s="274"/>
      <c r="P804" s="274">
        <f>IF(BU76&gt;0,ROUND(BU76,0),0)</f>
        <v>0</v>
      </c>
      <c r="Q804" s="274">
        <f>IF(BU77&gt;0,ROUND(BU77,0),0)</f>
        <v>0</v>
      </c>
      <c r="R804" s="274">
        <f>IF(BU78&gt;0,ROUND(BU78,0),0)</f>
        <v>0</v>
      </c>
      <c r="S804" s="274">
        <f>IF(BU79&gt;0,ROUND(BU79,0),0)</f>
        <v>0</v>
      </c>
      <c r="T804" s="276">
        <f>IF(BU80&gt;0,ROUND(BU80,2),0)</f>
        <v>0</v>
      </c>
      <c r="U804" s="274"/>
      <c r="V804" s="275"/>
      <c r="W804" s="274"/>
      <c r="X804" s="274"/>
      <c r="Y804" s="274"/>
      <c r="Z804" s="275"/>
      <c r="AA804" s="275"/>
      <c r="AB804" s="275"/>
      <c r="AC804" s="275"/>
      <c r="AD804" s="275"/>
      <c r="AE804" s="275"/>
      <c r="AF804" s="275"/>
      <c r="AG804" s="275"/>
      <c r="AH804" s="275"/>
      <c r="AI804" s="275"/>
      <c r="AJ804" s="275"/>
      <c r="AK804" s="275"/>
      <c r="AL804" s="275"/>
      <c r="AM804" s="275"/>
      <c r="AN804" s="275"/>
      <c r="AO804" s="275"/>
      <c r="AP804" s="275"/>
      <c r="AQ804" s="275"/>
      <c r="AR804" s="275"/>
      <c r="AS804" s="275"/>
      <c r="AT804" s="275"/>
      <c r="AU804" s="275"/>
      <c r="AV804" s="275"/>
      <c r="AW804" s="275"/>
      <c r="AX804" s="275"/>
      <c r="AY804" s="275"/>
      <c r="AZ804" s="275"/>
      <c r="BA804" s="275"/>
      <c r="BB804" s="275"/>
      <c r="BC804" s="275"/>
      <c r="BD804" s="275"/>
      <c r="BE804" s="275"/>
      <c r="BF804" s="275"/>
      <c r="BG804" s="275"/>
      <c r="BH804" s="275"/>
      <c r="BI804" s="275"/>
      <c r="BJ804" s="275"/>
      <c r="BK804" s="275"/>
      <c r="BL804" s="275"/>
      <c r="BM804" s="275"/>
      <c r="BN804" s="275"/>
      <c r="BO804" s="275"/>
      <c r="BP804" s="275"/>
      <c r="BQ804" s="275"/>
      <c r="BR804" s="275"/>
      <c r="BS804" s="275"/>
      <c r="BT804" s="275"/>
      <c r="BU804" s="275"/>
      <c r="BV804" s="275"/>
      <c r="BW804" s="275"/>
      <c r="BX804" s="275"/>
      <c r="BY804" s="275"/>
      <c r="BZ804" s="275"/>
      <c r="CA804" s="275"/>
      <c r="CB804" s="275"/>
      <c r="CC804" s="275"/>
      <c r="CD804" s="275"/>
      <c r="CE804" s="275"/>
    </row>
    <row r="805" spans="1:83" ht="12.6" customHeight="1" x14ac:dyDescent="0.25">
      <c r="A805" s="209" t="str">
        <f>RIGHT($C$83,3)&amp;"*"&amp;RIGHT($C$82,4)&amp;"*"&amp;BV$55&amp;"*"&amp;"A"</f>
        <v>130*2017*8690*A</v>
      </c>
      <c r="B805" s="274"/>
      <c r="C805" s="276">
        <f>ROUND(BV60,2)</f>
        <v>37.4</v>
      </c>
      <c r="D805" s="274">
        <f>ROUND(BV61,0)</f>
        <v>2061578</v>
      </c>
      <c r="E805" s="274">
        <f>ROUND(BV62,0)</f>
        <v>520425</v>
      </c>
      <c r="F805" s="274">
        <f>ROUND(BV63,0)</f>
        <v>0</v>
      </c>
      <c r="G805" s="274">
        <f>ROUND(BV64,0)</f>
        <v>16763</v>
      </c>
      <c r="H805" s="274">
        <f>ROUND(BV65,0)</f>
        <v>477</v>
      </c>
      <c r="I805" s="274">
        <f>ROUND(BV66,0)</f>
        <v>904196</v>
      </c>
      <c r="J805" s="274">
        <f>ROUND(BV67,0)</f>
        <v>8954</v>
      </c>
      <c r="K805" s="274">
        <f>ROUND(BV68,0)</f>
        <v>14</v>
      </c>
      <c r="L805" s="274">
        <f>ROUND(BV69,0)</f>
        <v>13973</v>
      </c>
      <c r="M805" s="274">
        <f>ROUND(BV70,0)</f>
        <v>73099</v>
      </c>
      <c r="N805" s="274"/>
      <c r="O805" s="274"/>
      <c r="P805" s="274">
        <f>IF(BV76&gt;0,ROUND(BV76,0),0)</f>
        <v>5499</v>
      </c>
      <c r="Q805" s="274">
        <f>IF(BV77&gt;0,ROUND(BV77,0),0)</f>
        <v>0</v>
      </c>
      <c r="R805" s="274">
        <f>IF(BV78&gt;0,ROUND(BV78,0),0)</f>
        <v>2657</v>
      </c>
      <c r="S805" s="274">
        <f>IF(BV79&gt;0,ROUND(BV79,0),0)</f>
        <v>0</v>
      </c>
      <c r="T805" s="276">
        <f>IF(BV80&gt;0,ROUND(BV80,2),0)</f>
        <v>0</v>
      </c>
      <c r="U805" s="274"/>
      <c r="V805" s="275"/>
      <c r="W805" s="274"/>
      <c r="X805" s="274"/>
      <c r="Y805" s="274"/>
      <c r="Z805" s="275"/>
      <c r="AA805" s="275"/>
      <c r="AB805" s="275"/>
      <c r="AC805" s="275"/>
      <c r="AD805" s="275"/>
      <c r="AE805" s="275"/>
      <c r="AF805" s="275"/>
      <c r="AG805" s="275"/>
      <c r="AH805" s="275"/>
      <c r="AI805" s="275"/>
      <c r="AJ805" s="275"/>
      <c r="AK805" s="275"/>
      <c r="AL805" s="275"/>
      <c r="AM805" s="275"/>
      <c r="AN805" s="275"/>
      <c r="AO805" s="275"/>
      <c r="AP805" s="275"/>
      <c r="AQ805" s="275"/>
      <c r="AR805" s="275"/>
      <c r="AS805" s="275"/>
      <c r="AT805" s="275"/>
      <c r="AU805" s="275"/>
      <c r="AV805" s="275"/>
      <c r="AW805" s="275"/>
      <c r="AX805" s="275"/>
      <c r="AY805" s="275"/>
      <c r="AZ805" s="275"/>
      <c r="BA805" s="275"/>
      <c r="BB805" s="275"/>
      <c r="BC805" s="275"/>
      <c r="BD805" s="275"/>
      <c r="BE805" s="275"/>
      <c r="BF805" s="275"/>
      <c r="BG805" s="275"/>
      <c r="BH805" s="275"/>
      <c r="BI805" s="275"/>
      <c r="BJ805" s="275"/>
      <c r="BK805" s="275"/>
      <c r="BL805" s="275"/>
      <c r="BM805" s="275"/>
      <c r="BN805" s="275"/>
      <c r="BO805" s="275"/>
      <c r="BP805" s="275"/>
      <c r="BQ805" s="275"/>
      <c r="BR805" s="275"/>
      <c r="BS805" s="275"/>
      <c r="BT805" s="275"/>
      <c r="BU805" s="275"/>
      <c r="BV805" s="275"/>
      <c r="BW805" s="275"/>
      <c r="BX805" s="275"/>
      <c r="BY805" s="275"/>
      <c r="BZ805" s="275"/>
      <c r="CA805" s="275"/>
      <c r="CB805" s="275"/>
      <c r="CC805" s="275"/>
      <c r="CD805" s="275"/>
      <c r="CE805" s="275"/>
    </row>
    <row r="806" spans="1:83" ht="12.6" customHeight="1" x14ac:dyDescent="0.25">
      <c r="A806" s="209" t="str">
        <f>RIGHT($C$83,3)&amp;"*"&amp;RIGHT($C$82,4)&amp;"*"&amp;BW$55&amp;"*"&amp;"A"</f>
        <v>130*2017*8700*A</v>
      </c>
      <c r="B806" s="274"/>
      <c r="C806" s="276">
        <f>ROUND(BW60,2)</f>
        <v>5.99</v>
      </c>
      <c r="D806" s="274">
        <f>ROUND(BW61,0)</f>
        <v>678617</v>
      </c>
      <c r="E806" s="274">
        <f>ROUND(BW62,0)</f>
        <v>132190</v>
      </c>
      <c r="F806" s="274">
        <f>ROUND(BW63,0)</f>
        <v>0</v>
      </c>
      <c r="G806" s="274">
        <f>ROUND(BW64,0)</f>
        <v>11764</v>
      </c>
      <c r="H806" s="274">
        <f>ROUND(BW65,0)</f>
        <v>0</v>
      </c>
      <c r="I806" s="274">
        <f>ROUND(BW66,0)</f>
        <v>168682</v>
      </c>
      <c r="J806" s="274">
        <f>ROUND(BW67,0)</f>
        <v>0</v>
      </c>
      <c r="K806" s="274">
        <f>ROUND(BW68,0)</f>
        <v>0</v>
      </c>
      <c r="L806" s="274">
        <f>ROUND(BW69,0)</f>
        <v>61049</v>
      </c>
      <c r="M806" s="274">
        <f>ROUND(BW70,0)</f>
        <v>314</v>
      </c>
      <c r="N806" s="274"/>
      <c r="O806" s="274"/>
      <c r="P806" s="274">
        <f>IF(BW76&gt;0,ROUND(BW76,0),0)</f>
        <v>2275</v>
      </c>
      <c r="Q806" s="274">
        <f>IF(BW77&gt;0,ROUND(BW77,0),0)</f>
        <v>0</v>
      </c>
      <c r="R806" s="274">
        <f>IF(BW78&gt;0,ROUND(BW78,0),0)</f>
        <v>1099</v>
      </c>
      <c r="S806" s="274">
        <f>IF(BW79&gt;0,ROUND(BW79,0),0)</f>
        <v>0</v>
      </c>
      <c r="T806" s="276">
        <f>IF(BW80&gt;0,ROUND(BW80,2),0)</f>
        <v>0</v>
      </c>
      <c r="U806" s="274"/>
      <c r="V806" s="275"/>
      <c r="W806" s="274"/>
      <c r="X806" s="274"/>
      <c r="Y806" s="274"/>
      <c r="Z806" s="275"/>
      <c r="AA806" s="275"/>
      <c r="AB806" s="275"/>
      <c r="AC806" s="275"/>
      <c r="AD806" s="275"/>
      <c r="AE806" s="275"/>
      <c r="AF806" s="275"/>
      <c r="AG806" s="275"/>
      <c r="AH806" s="275"/>
      <c r="AI806" s="275"/>
      <c r="AJ806" s="275"/>
      <c r="AK806" s="275"/>
      <c r="AL806" s="275"/>
      <c r="AM806" s="275"/>
      <c r="AN806" s="275"/>
      <c r="AO806" s="275"/>
      <c r="AP806" s="275"/>
      <c r="AQ806" s="275"/>
      <c r="AR806" s="275"/>
      <c r="AS806" s="275"/>
      <c r="AT806" s="275"/>
      <c r="AU806" s="275"/>
      <c r="AV806" s="275"/>
      <c r="AW806" s="275"/>
      <c r="AX806" s="275"/>
      <c r="AY806" s="275"/>
      <c r="AZ806" s="275"/>
      <c r="BA806" s="275"/>
      <c r="BB806" s="275"/>
      <c r="BC806" s="275"/>
      <c r="BD806" s="275"/>
      <c r="BE806" s="275"/>
      <c r="BF806" s="275"/>
      <c r="BG806" s="275"/>
      <c r="BH806" s="275"/>
      <c r="BI806" s="275"/>
      <c r="BJ806" s="275"/>
      <c r="BK806" s="275"/>
      <c r="BL806" s="275"/>
      <c r="BM806" s="275"/>
      <c r="BN806" s="275"/>
      <c r="BO806" s="275"/>
      <c r="BP806" s="275"/>
      <c r="BQ806" s="275"/>
      <c r="BR806" s="275"/>
      <c r="BS806" s="275"/>
      <c r="BT806" s="275"/>
      <c r="BU806" s="275"/>
      <c r="BV806" s="275"/>
      <c r="BW806" s="275"/>
      <c r="BX806" s="275"/>
      <c r="BY806" s="275"/>
      <c r="BZ806" s="275"/>
      <c r="CA806" s="275"/>
      <c r="CB806" s="275"/>
      <c r="CC806" s="275"/>
      <c r="CD806" s="275"/>
      <c r="CE806" s="275"/>
    </row>
    <row r="807" spans="1:83" ht="12.6" customHeight="1" x14ac:dyDescent="0.25">
      <c r="A807" s="209" t="str">
        <f>RIGHT($C$83,3)&amp;"*"&amp;RIGHT($C$82,4)&amp;"*"&amp;BX$55&amp;"*"&amp;"A"</f>
        <v>130*2017*8710*A</v>
      </c>
      <c r="B807" s="274"/>
      <c r="C807" s="276">
        <f>ROUND(BX60,2)</f>
        <v>46.99</v>
      </c>
      <c r="D807" s="274">
        <f>ROUND(BX61,0)</f>
        <v>3960446</v>
      </c>
      <c r="E807" s="274">
        <f>ROUND(BX62,0)</f>
        <v>998556</v>
      </c>
      <c r="F807" s="274">
        <f>ROUND(BX63,0)</f>
        <v>219243</v>
      </c>
      <c r="G807" s="274">
        <f>ROUND(BX64,0)</f>
        <v>15878</v>
      </c>
      <c r="H807" s="274">
        <f>ROUND(BX65,0)</f>
        <v>0</v>
      </c>
      <c r="I807" s="274">
        <f>ROUND(BX66,0)</f>
        <v>932327</v>
      </c>
      <c r="J807" s="274">
        <f>ROUND(BX67,0)</f>
        <v>0</v>
      </c>
      <c r="K807" s="274">
        <f>ROUND(BX68,0)</f>
        <v>526</v>
      </c>
      <c r="L807" s="274">
        <f>ROUND(BX69,0)</f>
        <v>36935</v>
      </c>
      <c r="M807" s="274">
        <f>ROUND(BX70,0)</f>
        <v>2310</v>
      </c>
      <c r="N807" s="274"/>
      <c r="O807" s="274"/>
      <c r="P807" s="274">
        <f>IF(BX76&gt;0,ROUND(BX76,0),0)</f>
        <v>2532</v>
      </c>
      <c r="Q807" s="274">
        <f>IF(BX77&gt;0,ROUND(BX77,0),0)</f>
        <v>0</v>
      </c>
      <c r="R807" s="274">
        <f>IF(BX78&gt;0,ROUND(BX78,0),0)</f>
        <v>1223</v>
      </c>
      <c r="S807" s="274">
        <f>IF(BX79&gt;0,ROUND(BX79,0),0)</f>
        <v>0</v>
      </c>
      <c r="T807" s="276">
        <f>IF(BX80&gt;0,ROUND(BX80,2),0)</f>
        <v>0</v>
      </c>
      <c r="U807" s="274"/>
      <c r="V807" s="275"/>
      <c r="W807" s="274"/>
      <c r="X807" s="274"/>
      <c r="Y807" s="274"/>
      <c r="Z807" s="275"/>
      <c r="AA807" s="275"/>
      <c r="AB807" s="275"/>
      <c r="AC807" s="275"/>
      <c r="AD807" s="275"/>
      <c r="AE807" s="275"/>
      <c r="AF807" s="275"/>
      <c r="AG807" s="275"/>
      <c r="AH807" s="275"/>
      <c r="AI807" s="275"/>
      <c r="AJ807" s="275"/>
      <c r="AK807" s="275"/>
      <c r="AL807" s="275"/>
      <c r="AM807" s="275"/>
      <c r="AN807" s="275"/>
      <c r="AO807" s="275"/>
      <c r="AP807" s="275"/>
      <c r="AQ807" s="275"/>
      <c r="AR807" s="275"/>
      <c r="AS807" s="275"/>
      <c r="AT807" s="275"/>
      <c r="AU807" s="275"/>
      <c r="AV807" s="275"/>
      <c r="AW807" s="275"/>
      <c r="AX807" s="275"/>
      <c r="AY807" s="275"/>
      <c r="AZ807" s="275"/>
      <c r="BA807" s="275"/>
      <c r="BB807" s="275"/>
      <c r="BC807" s="275"/>
      <c r="BD807" s="275"/>
      <c r="BE807" s="275"/>
      <c r="BF807" s="275"/>
      <c r="BG807" s="275"/>
      <c r="BH807" s="275"/>
      <c r="BI807" s="275"/>
      <c r="BJ807" s="275"/>
      <c r="BK807" s="275"/>
      <c r="BL807" s="275"/>
      <c r="BM807" s="275"/>
      <c r="BN807" s="275"/>
      <c r="BO807" s="275"/>
      <c r="BP807" s="275"/>
      <c r="BQ807" s="275"/>
      <c r="BR807" s="275"/>
      <c r="BS807" s="275"/>
      <c r="BT807" s="275"/>
      <c r="BU807" s="275"/>
      <c r="BV807" s="275"/>
      <c r="BW807" s="275"/>
      <c r="BX807" s="275"/>
      <c r="BY807" s="275"/>
      <c r="BZ807" s="275"/>
      <c r="CA807" s="275"/>
      <c r="CB807" s="275"/>
      <c r="CC807" s="275"/>
      <c r="CD807" s="275"/>
      <c r="CE807" s="275"/>
    </row>
    <row r="808" spans="1:83" ht="12.6" customHeight="1" x14ac:dyDescent="0.25">
      <c r="A808" s="209" t="str">
        <f>RIGHT($C$83,3)&amp;"*"&amp;RIGHT($C$82,4)&amp;"*"&amp;BY$55&amp;"*"&amp;"A"</f>
        <v>130*2017*8720*A</v>
      </c>
      <c r="B808" s="274"/>
      <c r="C808" s="276">
        <f>ROUND(BY60,2)</f>
        <v>6.41</v>
      </c>
      <c r="D808" s="274">
        <f>ROUND(BY61,0)</f>
        <v>1158668</v>
      </c>
      <c r="E808" s="274">
        <f>ROUND(BY62,0)</f>
        <v>494045</v>
      </c>
      <c r="F808" s="274">
        <f>ROUND(BY63,0)</f>
        <v>0</v>
      </c>
      <c r="G808" s="274">
        <f>ROUND(BY64,0)</f>
        <v>15010</v>
      </c>
      <c r="H808" s="274">
        <f>ROUND(BY65,0)</f>
        <v>3671</v>
      </c>
      <c r="I808" s="274">
        <f>ROUND(BY66,0)</f>
        <v>68567</v>
      </c>
      <c r="J808" s="274">
        <f>ROUND(BY67,0)</f>
        <v>248170</v>
      </c>
      <c r="K808" s="274">
        <f>ROUND(BY68,0)</f>
        <v>128</v>
      </c>
      <c r="L808" s="274">
        <f>ROUND(BY69,0)</f>
        <v>21610</v>
      </c>
      <c r="M808" s="274">
        <f>ROUND(BY70,0)</f>
        <v>750</v>
      </c>
      <c r="N808" s="274"/>
      <c r="O808" s="274"/>
      <c r="P808" s="274">
        <f>IF(BY76&gt;0,ROUND(BY76,0),0)</f>
        <v>984</v>
      </c>
      <c r="Q808" s="274">
        <f>IF(BY77&gt;0,ROUND(BY77,0),0)</f>
        <v>0</v>
      </c>
      <c r="R808" s="274">
        <f>IF(BY78&gt;0,ROUND(BY78,0),0)</f>
        <v>475</v>
      </c>
      <c r="S808" s="274">
        <f>IF(BY79&gt;0,ROUND(BY79,0),0)</f>
        <v>0</v>
      </c>
      <c r="T808" s="276">
        <f>IF(BY80&gt;0,ROUND(BY80,2),0)</f>
        <v>0</v>
      </c>
      <c r="U808" s="274"/>
      <c r="V808" s="275"/>
      <c r="W808" s="274"/>
      <c r="X808" s="274"/>
      <c r="Y808" s="274"/>
      <c r="Z808" s="275"/>
      <c r="AA808" s="275"/>
      <c r="AB808" s="275"/>
      <c r="AC808" s="275"/>
      <c r="AD808" s="275"/>
      <c r="AE808" s="275"/>
      <c r="AF808" s="275"/>
      <c r="AG808" s="275"/>
      <c r="AH808" s="275"/>
      <c r="AI808" s="275"/>
      <c r="AJ808" s="275"/>
      <c r="AK808" s="275"/>
      <c r="AL808" s="275"/>
      <c r="AM808" s="275"/>
      <c r="AN808" s="275"/>
      <c r="AO808" s="275"/>
      <c r="AP808" s="275"/>
      <c r="AQ808" s="275"/>
      <c r="AR808" s="275"/>
      <c r="AS808" s="275"/>
      <c r="AT808" s="275"/>
      <c r="AU808" s="275"/>
      <c r="AV808" s="275"/>
      <c r="AW808" s="275"/>
      <c r="AX808" s="275"/>
      <c r="AY808" s="275"/>
      <c r="AZ808" s="275"/>
      <c r="BA808" s="275"/>
      <c r="BB808" s="275"/>
      <c r="BC808" s="275"/>
      <c r="BD808" s="275"/>
      <c r="BE808" s="275"/>
      <c r="BF808" s="275"/>
      <c r="BG808" s="275"/>
      <c r="BH808" s="275"/>
      <c r="BI808" s="275"/>
      <c r="BJ808" s="275"/>
      <c r="BK808" s="275"/>
      <c r="BL808" s="275"/>
      <c r="BM808" s="275"/>
      <c r="BN808" s="275"/>
      <c r="BO808" s="275"/>
      <c r="BP808" s="275"/>
      <c r="BQ808" s="275"/>
      <c r="BR808" s="275"/>
      <c r="BS808" s="275"/>
      <c r="BT808" s="275"/>
      <c r="BU808" s="275"/>
      <c r="BV808" s="275"/>
      <c r="BW808" s="275"/>
      <c r="BX808" s="275"/>
      <c r="BY808" s="275"/>
      <c r="BZ808" s="275"/>
      <c r="CA808" s="275"/>
      <c r="CB808" s="275"/>
      <c r="CC808" s="275"/>
      <c r="CD808" s="275"/>
      <c r="CE808" s="275"/>
    </row>
    <row r="809" spans="1:83" ht="12.6" customHeight="1" x14ac:dyDescent="0.25">
      <c r="A809" s="209" t="str">
        <f>RIGHT($C$83,3)&amp;"*"&amp;RIGHT($C$82,4)&amp;"*"&amp;BZ$55&amp;"*"&amp;"A"</f>
        <v>130*2017*8730*A</v>
      </c>
      <c r="B809" s="274"/>
      <c r="C809" s="276">
        <f>ROUND(BZ60,2)</f>
        <v>0</v>
      </c>
      <c r="D809" s="274">
        <f>ROUND(BZ61,0)</f>
        <v>0</v>
      </c>
      <c r="E809" s="274">
        <f>ROUND(BZ62,0)</f>
        <v>0</v>
      </c>
      <c r="F809" s="274">
        <f>ROUND(BZ63,0)</f>
        <v>0</v>
      </c>
      <c r="G809" s="274">
        <f>ROUND(BZ64,0)</f>
        <v>0</v>
      </c>
      <c r="H809" s="274">
        <f>ROUND(BZ65,0)</f>
        <v>0</v>
      </c>
      <c r="I809" s="274">
        <f>ROUND(BZ66,0)</f>
        <v>0</v>
      </c>
      <c r="J809" s="274">
        <f>ROUND(BZ67,0)</f>
        <v>0</v>
      </c>
      <c r="K809" s="274">
        <f>ROUND(BZ68,0)</f>
        <v>0</v>
      </c>
      <c r="L809" s="274">
        <f>ROUND(BZ69,0)</f>
        <v>0</v>
      </c>
      <c r="M809" s="274">
        <f>ROUND(BZ70,0)</f>
        <v>0</v>
      </c>
      <c r="N809" s="274"/>
      <c r="O809" s="274"/>
      <c r="P809" s="274">
        <f>IF(BZ76&gt;0,ROUND(BZ76,0),0)</f>
        <v>0</v>
      </c>
      <c r="Q809" s="274">
        <f>IF(BZ77&gt;0,ROUND(BZ77,0),0)</f>
        <v>0</v>
      </c>
      <c r="R809" s="274">
        <f>IF(BZ78&gt;0,ROUND(BZ78,0),0)</f>
        <v>0</v>
      </c>
      <c r="S809" s="274">
        <f>IF(BZ79&gt;0,ROUND(BZ79,0),0)</f>
        <v>0</v>
      </c>
      <c r="T809" s="276">
        <f>IF(BZ80&gt;0,ROUND(BZ80,2),0)</f>
        <v>0</v>
      </c>
      <c r="U809" s="274"/>
      <c r="V809" s="275"/>
      <c r="W809" s="274"/>
      <c r="X809" s="274"/>
      <c r="Y809" s="274"/>
      <c r="Z809" s="275"/>
      <c r="AA809" s="275"/>
      <c r="AB809" s="275"/>
      <c r="AC809" s="275"/>
      <c r="AD809" s="275"/>
      <c r="AE809" s="275"/>
      <c r="AF809" s="275"/>
      <c r="AG809" s="275"/>
      <c r="AH809" s="275"/>
      <c r="AI809" s="275"/>
      <c r="AJ809" s="275"/>
      <c r="AK809" s="275"/>
      <c r="AL809" s="275"/>
      <c r="AM809" s="275"/>
      <c r="AN809" s="275"/>
      <c r="AO809" s="275"/>
      <c r="AP809" s="275"/>
      <c r="AQ809" s="275"/>
      <c r="AR809" s="275"/>
      <c r="AS809" s="275"/>
      <c r="AT809" s="275"/>
      <c r="AU809" s="275"/>
      <c r="AV809" s="275"/>
      <c r="AW809" s="275"/>
      <c r="AX809" s="275"/>
      <c r="AY809" s="275"/>
      <c r="AZ809" s="275"/>
      <c r="BA809" s="275"/>
      <c r="BB809" s="275"/>
      <c r="BC809" s="275"/>
      <c r="BD809" s="275"/>
      <c r="BE809" s="275"/>
      <c r="BF809" s="275"/>
      <c r="BG809" s="275"/>
      <c r="BH809" s="275"/>
      <c r="BI809" s="275"/>
      <c r="BJ809" s="275"/>
      <c r="BK809" s="275"/>
      <c r="BL809" s="275"/>
      <c r="BM809" s="275"/>
      <c r="BN809" s="275"/>
      <c r="BO809" s="275"/>
      <c r="BP809" s="275"/>
      <c r="BQ809" s="275"/>
      <c r="BR809" s="275"/>
      <c r="BS809" s="275"/>
      <c r="BT809" s="275"/>
      <c r="BU809" s="275"/>
      <c r="BV809" s="275"/>
      <c r="BW809" s="275"/>
      <c r="BX809" s="275"/>
      <c r="BY809" s="275"/>
      <c r="BZ809" s="275"/>
      <c r="CA809" s="275"/>
      <c r="CB809" s="275"/>
      <c r="CC809" s="275"/>
      <c r="CD809" s="275"/>
      <c r="CE809" s="275"/>
    </row>
    <row r="810" spans="1:83" ht="12.6" customHeight="1" x14ac:dyDescent="0.25">
      <c r="A810" s="209" t="str">
        <f>RIGHT($C$83,3)&amp;"*"&amp;RIGHT($C$82,4)&amp;"*"&amp;CA$55&amp;"*"&amp;"A"</f>
        <v>130*2017*8740*A</v>
      </c>
      <c r="B810" s="274"/>
      <c r="C810" s="276">
        <f>ROUND(CA60,2)</f>
        <v>32.99</v>
      </c>
      <c r="D810" s="274">
        <f>ROUND(CA61,0)</f>
        <v>1196677</v>
      </c>
      <c r="E810" s="274">
        <f>ROUND(CA62,0)</f>
        <v>302317</v>
      </c>
      <c r="F810" s="274">
        <f>ROUND(CA63,0)</f>
        <v>0</v>
      </c>
      <c r="G810" s="274">
        <f>ROUND(CA64,0)</f>
        <v>40096</v>
      </c>
      <c r="H810" s="274">
        <f>ROUND(CA65,0)</f>
        <v>0</v>
      </c>
      <c r="I810" s="274">
        <f>ROUND(CA66,0)</f>
        <v>2424996</v>
      </c>
      <c r="J810" s="274">
        <f>ROUND(CA67,0)</f>
        <v>0</v>
      </c>
      <c r="K810" s="274">
        <f>ROUND(CA68,0)</f>
        <v>14</v>
      </c>
      <c r="L810" s="274">
        <f>ROUND(CA69,0)</f>
        <v>36361</v>
      </c>
      <c r="M810" s="274">
        <f>ROUND(CA70,0)</f>
        <v>18434</v>
      </c>
      <c r="N810" s="274"/>
      <c r="O810" s="274"/>
      <c r="P810" s="274">
        <f>IF(CA76&gt;0,ROUND(CA76,0),0)</f>
        <v>5894</v>
      </c>
      <c r="Q810" s="274">
        <f>IF(CA77&gt;0,ROUND(CA77,0),0)</f>
        <v>0</v>
      </c>
      <c r="R810" s="274">
        <f>IF(CA78&gt;0,ROUND(CA78,0),0)</f>
        <v>2848</v>
      </c>
      <c r="S810" s="274">
        <f>IF(CA79&gt;0,ROUND(CA79,0),0)</f>
        <v>0</v>
      </c>
      <c r="T810" s="276">
        <f>IF(CA80&gt;0,ROUND(CA80,2),0)</f>
        <v>0</v>
      </c>
      <c r="U810" s="274"/>
      <c r="V810" s="275"/>
      <c r="W810" s="274"/>
      <c r="X810" s="274"/>
      <c r="Y810" s="274"/>
      <c r="Z810" s="275"/>
      <c r="AA810" s="275"/>
      <c r="AB810" s="275"/>
      <c r="AC810" s="275"/>
      <c r="AD810" s="275"/>
      <c r="AE810" s="275"/>
      <c r="AF810" s="275"/>
      <c r="AG810" s="275"/>
      <c r="AH810" s="275"/>
      <c r="AI810" s="275"/>
      <c r="AJ810" s="275"/>
      <c r="AK810" s="275"/>
      <c r="AL810" s="275"/>
      <c r="AM810" s="275"/>
      <c r="AN810" s="275"/>
      <c r="AO810" s="275"/>
      <c r="AP810" s="275"/>
      <c r="AQ810" s="275"/>
      <c r="AR810" s="275"/>
      <c r="AS810" s="275"/>
      <c r="AT810" s="275"/>
      <c r="AU810" s="275"/>
      <c r="AV810" s="275"/>
      <c r="AW810" s="275"/>
      <c r="AX810" s="275"/>
      <c r="AY810" s="275"/>
      <c r="AZ810" s="275"/>
      <c r="BA810" s="275"/>
      <c r="BB810" s="275"/>
      <c r="BC810" s="275"/>
      <c r="BD810" s="275"/>
      <c r="BE810" s="275"/>
      <c r="BF810" s="275"/>
      <c r="BG810" s="275"/>
      <c r="BH810" s="275"/>
      <c r="BI810" s="275"/>
      <c r="BJ810" s="275"/>
      <c r="BK810" s="275"/>
      <c r="BL810" s="275"/>
      <c r="BM810" s="275"/>
      <c r="BN810" s="275"/>
      <c r="BO810" s="275"/>
      <c r="BP810" s="275"/>
      <c r="BQ810" s="275"/>
      <c r="BR810" s="275"/>
      <c r="BS810" s="275"/>
      <c r="BT810" s="275"/>
      <c r="BU810" s="275"/>
      <c r="BV810" s="275"/>
      <c r="BW810" s="275"/>
      <c r="BX810" s="275"/>
      <c r="BY810" s="275"/>
      <c r="BZ810" s="275"/>
      <c r="CA810" s="275"/>
      <c r="CB810" s="275"/>
      <c r="CC810" s="275"/>
      <c r="CD810" s="275"/>
      <c r="CE810" s="275"/>
    </row>
    <row r="811" spans="1:83" ht="12.6" customHeight="1" x14ac:dyDescent="0.25">
      <c r="A811" s="209" t="str">
        <f>RIGHT($C$83,3)&amp;"*"&amp;RIGHT($C$82,4)&amp;"*"&amp;CB$55&amp;"*"&amp;"A"</f>
        <v>130*2017*8770*A</v>
      </c>
      <c r="B811" s="274"/>
      <c r="C811" s="276">
        <f>ROUND(CB60,2)</f>
        <v>0</v>
      </c>
      <c r="D811" s="274">
        <f>ROUND(CB61,0)</f>
        <v>0</v>
      </c>
      <c r="E811" s="274">
        <f>ROUND(CB62,0)</f>
        <v>0</v>
      </c>
      <c r="F811" s="274">
        <f>ROUND(CB63,0)</f>
        <v>0</v>
      </c>
      <c r="G811" s="274">
        <f>ROUND(CB64,0)</f>
        <v>0</v>
      </c>
      <c r="H811" s="274">
        <f>ROUND(CB65,0)</f>
        <v>0</v>
      </c>
      <c r="I811" s="274">
        <f>ROUND(CB66,0)</f>
        <v>0</v>
      </c>
      <c r="J811" s="274">
        <f>ROUND(CB67,0)</f>
        <v>0</v>
      </c>
      <c r="K811" s="274">
        <f>ROUND(CB68,0)</f>
        <v>0</v>
      </c>
      <c r="L811" s="274">
        <f>ROUND(CB69,0)</f>
        <v>0</v>
      </c>
      <c r="M811" s="274">
        <f>ROUND(CB70,0)</f>
        <v>0</v>
      </c>
      <c r="N811" s="274"/>
      <c r="O811" s="274"/>
      <c r="P811" s="274">
        <f>IF(CB76&gt;0,ROUND(CB76,0),0)</f>
        <v>0</v>
      </c>
      <c r="Q811" s="274">
        <f>IF(CB77&gt;0,ROUND(CB77,0),0)</f>
        <v>0</v>
      </c>
      <c r="R811" s="274">
        <f>IF(CB78&gt;0,ROUND(CB78,0),0)</f>
        <v>0</v>
      </c>
      <c r="S811" s="274">
        <f>IF(CB79&gt;0,ROUND(CB79,0),0)</f>
        <v>0</v>
      </c>
      <c r="T811" s="276">
        <f>IF(CB80&gt;0,ROUND(CB80,2),0)</f>
        <v>0</v>
      </c>
      <c r="U811" s="274"/>
      <c r="V811" s="275"/>
      <c r="W811" s="274"/>
      <c r="X811" s="274"/>
      <c r="Y811" s="274"/>
      <c r="Z811" s="275"/>
      <c r="AA811" s="275"/>
      <c r="AB811" s="275"/>
      <c r="AC811" s="275"/>
      <c r="AD811" s="275"/>
      <c r="AE811" s="275"/>
      <c r="AF811" s="275"/>
      <c r="AG811" s="275"/>
      <c r="AH811" s="275"/>
      <c r="AI811" s="275"/>
      <c r="AJ811" s="275"/>
      <c r="AK811" s="275"/>
      <c r="AL811" s="275"/>
      <c r="AM811" s="275"/>
      <c r="AN811" s="275"/>
      <c r="AO811" s="275"/>
      <c r="AP811" s="275"/>
      <c r="AQ811" s="275"/>
      <c r="AR811" s="275"/>
      <c r="AS811" s="275"/>
      <c r="AT811" s="275"/>
      <c r="AU811" s="275"/>
      <c r="AV811" s="275"/>
      <c r="AW811" s="275"/>
      <c r="AX811" s="275"/>
      <c r="AY811" s="275"/>
      <c r="AZ811" s="275"/>
      <c r="BA811" s="275"/>
      <c r="BB811" s="275"/>
      <c r="BC811" s="275"/>
      <c r="BD811" s="275"/>
      <c r="BE811" s="275"/>
      <c r="BF811" s="275"/>
      <c r="BG811" s="275"/>
      <c r="BH811" s="275"/>
      <c r="BI811" s="275"/>
      <c r="BJ811" s="275"/>
      <c r="BK811" s="275"/>
      <c r="BL811" s="275"/>
      <c r="BM811" s="275"/>
      <c r="BN811" s="275"/>
      <c r="BO811" s="275"/>
      <c r="BP811" s="275"/>
      <c r="BQ811" s="275"/>
      <c r="BR811" s="275"/>
      <c r="BS811" s="275"/>
      <c r="BT811" s="275"/>
      <c r="BU811" s="275"/>
      <c r="BV811" s="275"/>
      <c r="BW811" s="275"/>
      <c r="BX811" s="275"/>
      <c r="BY811" s="275"/>
      <c r="BZ811" s="275"/>
      <c r="CA811" s="275"/>
      <c r="CB811" s="275"/>
      <c r="CC811" s="275"/>
      <c r="CD811" s="275"/>
      <c r="CE811" s="275"/>
    </row>
    <row r="812" spans="1:83" ht="12.6" customHeight="1" x14ac:dyDescent="0.25">
      <c r="A812" s="209" t="str">
        <f>RIGHT($C$83,3)&amp;"*"&amp;RIGHT($C$82,4)&amp;"*"&amp;CC$55&amp;"*"&amp;"A"</f>
        <v>130*2017*8790*A</v>
      </c>
      <c r="B812" s="274"/>
      <c r="C812" s="276">
        <f>ROUND(CC60,2)</f>
        <v>27.94</v>
      </c>
      <c r="D812" s="274">
        <f>ROUND(CC61,0)</f>
        <v>1463354</v>
      </c>
      <c r="E812" s="274">
        <f>ROUND(CC62,0)</f>
        <v>-1777743</v>
      </c>
      <c r="F812" s="274">
        <f>ROUND(CC63,0)</f>
        <v>28080</v>
      </c>
      <c r="G812" s="274">
        <f>ROUND(CC64,0)</f>
        <v>1052550</v>
      </c>
      <c r="H812" s="274">
        <f>ROUND(CC65,0)</f>
        <v>765546</v>
      </c>
      <c r="I812" s="274">
        <f>ROUND(CC66,0)</f>
        <v>1061359</v>
      </c>
      <c r="J812" s="274">
        <f>ROUND(CC67,0)</f>
        <v>2933715</v>
      </c>
      <c r="K812" s="274">
        <f>ROUND(CC68,0)</f>
        <v>1305998</v>
      </c>
      <c r="L812" s="274">
        <f>ROUND(CC69,0)</f>
        <v>17957</v>
      </c>
      <c r="M812" s="274">
        <f>ROUND(CC70,0)</f>
        <v>6089409</v>
      </c>
      <c r="N812" s="274"/>
      <c r="O812" s="274"/>
      <c r="P812" s="274">
        <f>IF(CC76&gt;0,ROUND(CC76,0),0)</f>
        <v>1697</v>
      </c>
      <c r="Q812" s="274">
        <f>IF(CC77&gt;0,ROUND(CC77,0),0)</f>
        <v>0</v>
      </c>
      <c r="R812" s="274">
        <f>IF(CC78&gt;0,ROUND(CC78,0),0)</f>
        <v>0</v>
      </c>
      <c r="S812" s="274">
        <f>IF(CC79&gt;0,ROUND(CC79,0),0)</f>
        <v>0</v>
      </c>
      <c r="T812" s="276">
        <f>IF(CC80&gt;0,ROUND(CC80,2),0)</f>
        <v>0</v>
      </c>
      <c r="U812" s="274"/>
      <c r="V812" s="275"/>
      <c r="W812" s="274"/>
      <c r="X812" s="274"/>
      <c r="Y812" s="274"/>
      <c r="Z812" s="275"/>
      <c r="AA812" s="275"/>
      <c r="AB812" s="275"/>
      <c r="AC812" s="275"/>
      <c r="AD812" s="275"/>
      <c r="AE812" s="275"/>
      <c r="AF812" s="275"/>
      <c r="AG812" s="275"/>
      <c r="AH812" s="275"/>
      <c r="AI812" s="275"/>
      <c r="AJ812" s="275"/>
      <c r="AK812" s="275"/>
      <c r="AL812" s="275"/>
      <c r="AM812" s="275"/>
      <c r="AN812" s="275"/>
      <c r="AO812" s="275"/>
      <c r="AP812" s="275"/>
      <c r="AQ812" s="275"/>
      <c r="AR812" s="275"/>
      <c r="AS812" s="275"/>
      <c r="AT812" s="275"/>
      <c r="AU812" s="275"/>
      <c r="AV812" s="275"/>
      <c r="AW812" s="275"/>
      <c r="AX812" s="275"/>
      <c r="AY812" s="275"/>
      <c r="AZ812" s="275"/>
      <c r="BA812" s="275"/>
      <c r="BB812" s="275"/>
      <c r="BC812" s="275"/>
      <c r="BD812" s="275"/>
      <c r="BE812" s="275"/>
      <c r="BF812" s="275"/>
      <c r="BG812" s="275"/>
      <c r="BH812" s="275"/>
      <c r="BI812" s="275"/>
      <c r="BJ812" s="275"/>
      <c r="BK812" s="275"/>
      <c r="BL812" s="275"/>
      <c r="BM812" s="275"/>
      <c r="BN812" s="275"/>
      <c r="BO812" s="275"/>
      <c r="BP812" s="275"/>
      <c r="BQ812" s="275"/>
      <c r="BR812" s="275"/>
      <c r="BS812" s="275"/>
      <c r="BT812" s="275"/>
      <c r="BU812" s="275"/>
      <c r="BV812" s="275"/>
      <c r="BW812" s="275"/>
      <c r="BX812" s="275"/>
      <c r="BY812" s="275"/>
      <c r="BZ812" s="275"/>
      <c r="CA812" s="275"/>
      <c r="CB812" s="275"/>
      <c r="CC812" s="275"/>
      <c r="CD812" s="275"/>
      <c r="CE812" s="275"/>
    </row>
    <row r="813" spans="1:83" ht="12.6" customHeight="1" x14ac:dyDescent="0.25">
      <c r="A813" s="209" t="str">
        <f>RIGHT($C$83,3)&amp;"*"&amp;RIGHT($C$82,4)&amp;"*"&amp;"9000"&amp;"*"&amp;"A"</f>
        <v>130*2017*9000*A</v>
      </c>
      <c r="B813" s="274"/>
      <c r="C813" s="277"/>
      <c r="D813" s="274"/>
      <c r="E813" s="274"/>
      <c r="F813" s="274"/>
      <c r="G813" s="274"/>
      <c r="H813" s="274"/>
      <c r="I813" s="274"/>
      <c r="J813" s="274"/>
      <c r="K813" s="274"/>
      <c r="L813" s="274"/>
      <c r="M813" s="274"/>
      <c r="N813" s="274"/>
      <c r="O813" s="274"/>
      <c r="P813" s="274"/>
      <c r="Q813" s="274"/>
      <c r="R813" s="274"/>
      <c r="S813" s="274"/>
      <c r="T813" s="277"/>
      <c r="U813" s="274">
        <f>ROUND(CD69,0)</f>
        <v>17061993</v>
      </c>
      <c r="V813" s="275">
        <f>ROUND(CD70,0)</f>
        <v>0</v>
      </c>
      <c r="W813" s="274">
        <f>ROUND(CE72,0)</f>
        <v>0</v>
      </c>
      <c r="X813" s="274">
        <f>ROUND(C131,0)</f>
        <v>0</v>
      </c>
      <c r="Y813" s="274"/>
      <c r="Z813" s="275"/>
      <c r="AA813" s="275"/>
      <c r="AB813" s="275"/>
      <c r="AC813" s="275"/>
      <c r="AD813" s="275"/>
      <c r="AE813" s="275"/>
      <c r="AF813" s="275"/>
      <c r="AG813" s="275"/>
      <c r="AH813" s="275"/>
      <c r="AI813" s="275"/>
      <c r="AJ813" s="275"/>
      <c r="AK813" s="275"/>
      <c r="AL813" s="275"/>
      <c r="AM813" s="275"/>
      <c r="AN813" s="275"/>
      <c r="AO813" s="275"/>
      <c r="AP813" s="275"/>
      <c r="AQ813" s="275"/>
      <c r="AR813" s="275"/>
      <c r="AS813" s="275"/>
      <c r="AT813" s="275"/>
      <c r="AU813" s="275"/>
      <c r="AV813" s="275"/>
      <c r="AW813" s="275"/>
      <c r="AX813" s="275"/>
      <c r="AY813" s="275"/>
      <c r="AZ813" s="275"/>
      <c r="BA813" s="275"/>
      <c r="BB813" s="275"/>
      <c r="BC813" s="275"/>
      <c r="BD813" s="275"/>
      <c r="BE813" s="275"/>
      <c r="BF813" s="275"/>
      <c r="BG813" s="275"/>
      <c r="BH813" s="275"/>
      <c r="BI813" s="275"/>
      <c r="BJ813" s="275"/>
      <c r="BK813" s="275"/>
      <c r="BL813" s="275"/>
      <c r="BM813" s="275"/>
      <c r="BN813" s="275"/>
      <c r="BO813" s="275"/>
      <c r="BP813" s="275"/>
      <c r="BQ813" s="275"/>
      <c r="BR813" s="275"/>
      <c r="BS813" s="275"/>
      <c r="BT813" s="275"/>
      <c r="BU813" s="275"/>
      <c r="BV813" s="275"/>
      <c r="BW813" s="275"/>
      <c r="BX813" s="275"/>
      <c r="BY813" s="275"/>
      <c r="BZ813" s="275"/>
      <c r="CA813" s="275"/>
      <c r="CB813" s="275"/>
      <c r="CC813" s="275"/>
      <c r="CD813" s="275"/>
      <c r="CE813" s="275"/>
    </row>
    <row r="814" spans="1:83" ht="12.6" customHeight="1" x14ac:dyDescent="0.25">
      <c r="B814" s="275"/>
      <c r="C814" s="275"/>
      <c r="D814" s="275"/>
      <c r="E814" s="275"/>
      <c r="F814" s="275"/>
      <c r="G814" s="275"/>
      <c r="H814" s="275"/>
      <c r="I814" s="275"/>
      <c r="J814" s="275"/>
      <c r="K814" s="275"/>
      <c r="L814" s="275"/>
      <c r="M814" s="275"/>
      <c r="N814" s="275"/>
      <c r="O814" s="275"/>
      <c r="P814" s="275"/>
      <c r="Q814" s="275"/>
      <c r="R814" s="275"/>
      <c r="S814" s="275"/>
      <c r="T814" s="275"/>
      <c r="U814" s="275"/>
      <c r="V814" s="275"/>
      <c r="W814" s="275"/>
      <c r="X814" s="275"/>
      <c r="Y814" s="275"/>
      <c r="Z814" s="275"/>
      <c r="AA814" s="275"/>
      <c r="AB814" s="275"/>
      <c r="AC814" s="275"/>
      <c r="AD814" s="275"/>
      <c r="AE814" s="275"/>
      <c r="AF814" s="275"/>
      <c r="AG814" s="275"/>
      <c r="AH814" s="275"/>
      <c r="AI814" s="275"/>
      <c r="AJ814" s="275"/>
      <c r="AK814" s="275"/>
      <c r="AL814" s="275"/>
      <c r="AM814" s="275"/>
      <c r="AN814" s="275"/>
      <c r="AO814" s="275"/>
      <c r="AP814" s="275"/>
      <c r="AQ814" s="275"/>
      <c r="AR814" s="275"/>
      <c r="AS814" s="275"/>
      <c r="AT814" s="275"/>
      <c r="AU814" s="275"/>
      <c r="AV814" s="275"/>
      <c r="AW814" s="275"/>
      <c r="AX814" s="275"/>
      <c r="AY814" s="275"/>
      <c r="AZ814" s="275"/>
      <c r="BA814" s="275"/>
      <c r="BB814" s="275"/>
      <c r="BC814" s="275"/>
      <c r="BD814" s="275"/>
      <c r="BE814" s="275"/>
      <c r="BF814" s="275"/>
      <c r="BG814" s="275"/>
      <c r="BH814" s="275"/>
      <c r="BI814" s="275"/>
      <c r="BJ814" s="275"/>
      <c r="BK814" s="275"/>
      <c r="BL814" s="275"/>
      <c r="BM814" s="275"/>
      <c r="BN814" s="275"/>
      <c r="BO814" s="275"/>
      <c r="BP814" s="275"/>
      <c r="BQ814" s="275"/>
      <c r="BR814" s="275"/>
      <c r="BS814" s="275"/>
      <c r="BT814" s="275"/>
      <c r="BU814" s="275"/>
      <c r="BV814" s="275"/>
      <c r="BW814" s="275"/>
      <c r="BX814" s="275"/>
      <c r="BY814" s="275"/>
      <c r="BZ814" s="275"/>
      <c r="CA814" s="275"/>
      <c r="CB814" s="275"/>
      <c r="CC814" s="275"/>
      <c r="CD814" s="275"/>
      <c r="CE814" s="275"/>
    </row>
    <row r="815" spans="1:83" ht="12.6" customHeight="1" x14ac:dyDescent="0.25">
      <c r="B815" s="278" t="s">
        <v>1004</v>
      </c>
      <c r="C815" s="279">
        <f t="shared" ref="C815:K815" si="22">SUM(C734:C813)</f>
        <v>1950.0000000000002</v>
      </c>
      <c r="D815" s="275">
        <f t="shared" si="22"/>
        <v>160124891</v>
      </c>
      <c r="E815" s="275">
        <f t="shared" si="22"/>
        <v>35746706</v>
      </c>
      <c r="F815" s="275">
        <f t="shared" si="22"/>
        <v>14929193</v>
      </c>
      <c r="G815" s="275">
        <f t="shared" si="22"/>
        <v>65667980</v>
      </c>
      <c r="H815" s="275">
        <f t="shared" si="22"/>
        <v>3519114</v>
      </c>
      <c r="I815" s="275">
        <f t="shared" si="22"/>
        <v>60204983</v>
      </c>
      <c r="J815" s="275">
        <f t="shared" si="22"/>
        <v>16940287</v>
      </c>
      <c r="K815" s="275">
        <f t="shared" si="22"/>
        <v>8630007</v>
      </c>
      <c r="L815" s="275">
        <f>SUM(L734:L813)+SUM(U734:U813)</f>
        <v>19935916</v>
      </c>
      <c r="M815" s="275">
        <f>SUM(M734:M813)+SUM(V734:V813)</f>
        <v>14098048</v>
      </c>
      <c r="N815" s="275">
        <f t="shared" ref="N815:Y815" si="23">SUM(N734:N813)</f>
        <v>1105609632</v>
      </c>
      <c r="O815" s="275">
        <f t="shared" si="23"/>
        <v>496785614</v>
      </c>
      <c r="P815" s="275">
        <f t="shared" si="23"/>
        <v>435312</v>
      </c>
      <c r="Q815" s="275">
        <f t="shared" si="23"/>
        <v>208031</v>
      </c>
      <c r="R815" s="275">
        <f t="shared" si="23"/>
        <v>108720</v>
      </c>
      <c r="S815" s="275">
        <f t="shared" si="23"/>
        <v>2267267</v>
      </c>
      <c r="T815" s="279">
        <f t="shared" si="23"/>
        <v>548.29000000000008</v>
      </c>
      <c r="U815" s="275">
        <f t="shared" si="23"/>
        <v>17061993</v>
      </c>
      <c r="V815" s="275">
        <f t="shared" si="23"/>
        <v>0</v>
      </c>
      <c r="W815" s="275">
        <f t="shared" si="23"/>
        <v>0</v>
      </c>
      <c r="X815" s="275">
        <f t="shared" si="23"/>
        <v>0</v>
      </c>
      <c r="Y815" s="275">
        <f t="shared" si="23"/>
        <v>110340471</v>
      </c>
      <c r="Z815" s="275"/>
      <c r="AA815" s="275"/>
      <c r="AB815" s="275"/>
      <c r="AC815" s="275"/>
      <c r="AD815" s="275"/>
      <c r="AE815" s="275"/>
      <c r="AF815" s="275"/>
      <c r="AG815" s="275"/>
      <c r="AH815" s="275"/>
      <c r="AI815" s="275"/>
      <c r="AJ815" s="275"/>
      <c r="AK815" s="275"/>
      <c r="AL815" s="275"/>
      <c r="AM815" s="275"/>
      <c r="AN815" s="275"/>
      <c r="AO815" s="275"/>
      <c r="AP815" s="275"/>
      <c r="AQ815" s="275"/>
      <c r="AR815" s="275"/>
      <c r="AS815" s="275"/>
      <c r="AT815" s="275"/>
      <c r="AU815" s="275"/>
      <c r="AV815" s="275"/>
      <c r="AW815" s="275"/>
      <c r="AX815" s="275"/>
      <c r="AY815" s="275"/>
      <c r="AZ815" s="275"/>
      <c r="BA815" s="275"/>
      <c r="BB815" s="275"/>
      <c r="BC815" s="275"/>
      <c r="BD815" s="275"/>
      <c r="BE815" s="275"/>
      <c r="BF815" s="275"/>
      <c r="BG815" s="275"/>
      <c r="BH815" s="275"/>
      <c r="BI815" s="275"/>
      <c r="BJ815" s="275"/>
      <c r="BK815" s="275"/>
      <c r="BL815" s="275"/>
      <c r="BM815" s="275"/>
      <c r="BN815" s="275"/>
      <c r="BO815" s="275"/>
      <c r="BP815" s="275"/>
      <c r="BQ815" s="275"/>
      <c r="BR815" s="275"/>
      <c r="BS815" s="275"/>
      <c r="BT815" s="275"/>
      <c r="BU815" s="275"/>
      <c r="BV815" s="275"/>
      <c r="BW815" s="275"/>
      <c r="BX815" s="275"/>
      <c r="BY815" s="275"/>
      <c r="BZ815" s="275"/>
      <c r="CA815" s="275"/>
      <c r="CB815" s="275"/>
      <c r="CC815" s="275"/>
      <c r="CD815" s="275"/>
      <c r="CE815" s="275"/>
    </row>
    <row r="816" spans="1:83" ht="12.6" customHeight="1" x14ac:dyDescent="0.25">
      <c r="B816" s="275" t="s">
        <v>1005</v>
      </c>
      <c r="C816" s="279">
        <f>CE60</f>
        <v>1950.0000000000002</v>
      </c>
      <c r="D816" s="275">
        <f>CE61</f>
        <v>160124891</v>
      </c>
      <c r="E816" s="275">
        <f>CE62</f>
        <v>35746706</v>
      </c>
      <c r="F816" s="275">
        <f>CE63</f>
        <v>14929193</v>
      </c>
      <c r="G816" s="275">
        <f>CE64</f>
        <v>65667980</v>
      </c>
      <c r="H816" s="278">
        <f>CE65</f>
        <v>3519114</v>
      </c>
      <c r="I816" s="278">
        <f>CE66</f>
        <v>60204983</v>
      </c>
      <c r="J816" s="278">
        <f>CE67</f>
        <v>16940287</v>
      </c>
      <c r="K816" s="278">
        <f>CE68</f>
        <v>8630007</v>
      </c>
      <c r="L816" s="278">
        <f>CE69</f>
        <v>19935916</v>
      </c>
      <c r="M816" s="278">
        <f>CE70</f>
        <v>14098048</v>
      </c>
      <c r="N816" s="275">
        <f>CE75</f>
        <v>1105609632</v>
      </c>
      <c r="O816" s="275">
        <f>CE73</f>
        <v>496785614</v>
      </c>
      <c r="P816" s="275">
        <f>CE76</f>
        <v>435312</v>
      </c>
      <c r="Q816" s="275">
        <f>CE77</f>
        <v>208031</v>
      </c>
      <c r="R816" s="275">
        <f>CE78</f>
        <v>108720</v>
      </c>
      <c r="S816" s="275">
        <f>CE79</f>
        <v>2267264.9</v>
      </c>
      <c r="T816" s="279">
        <f>CE80</f>
        <v>548.29000000000008</v>
      </c>
      <c r="U816" s="275" t="s">
        <v>1006</v>
      </c>
      <c r="V816" s="275" t="s">
        <v>1006</v>
      </c>
      <c r="W816" s="275" t="s">
        <v>1006</v>
      </c>
      <c r="X816" s="275" t="s">
        <v>1006</v>
      </c>
      <c r="Y816" s="275">
        <f>M716</f>
        <v>110340471</v>
      </c>
      <c r="Z816" s="275"/>
      <c r="AA816" s="275"/>
      <c r="AB816" s="275"/>
      <c r="AC816" s="275"/>
      <c r="AD816" s="275"/>
      <c r="AE816" s="275"/>
      <c r="AF816" s="275"/>
      <c r="AG816" s="275"/>
      <c r="AH816" s="275"/>
      <c r="AI816" s="275"/>
      <c r="AJ816" s="275"/>
      <c r="AK816" s="275"/>
      <c r="AL816" s="275"/>
      <c r="AM816" s="275"/>
      <c r="AN816" s="275"/>
      <c r="AO816" s="275"/>
      <c r="AP816" s="275"/>
      <c r="AQ816" s="275"/>
      <c r="AR816" s="275"/>
      <c r="AS816" s="275"/>
      <c r="AT816" s="275"/>
      <c r="AU816" s="275"/>
      <c r="AV816" s="275"/>
      <c r="AW816" s="275"/>
      <c r="AX816" s="275"/>
      <c r="AY816" s="275"/>
      <c r="AZ816" s="275"/>
      <c r="BA816" s="275"/>
      <c r="BB816" s="275"/>
      <c r="BC816" s="275"/>
      <c r="BD816" s="275"/>
      <c r="BE816" s="275"/>
      <c r="BF816" s="275"/>
      <c r="BG816" s="275"/>
      <c r="BH816" s="275"/>
      <c r="BI816" s="275"/>
      <c r="BJ816" s="275"/>
      <c r="BK816" s="275"/>
      <c r="BL816" s="275"/>
      <c r="BM816" s="275"/>
      <c r="BN816" s="275"/>
      <c r="BO816" s="275"/>
      <c r="BP816" s="275"/>
      <c r="BQ816" s="275"/>
      <c r="BR816" s="275"/>
      <c r="BS816" s="275"/>
      <c r="BT816" s="275"/>
      <c r="BU816" s="275"/>
      <c r="BV816" s="275"/>
      <c r="BW816" s="275"/>
      <c r="BX816" s="275"/>
      <c r="BY816" s="275"/>
      <c r="BZ816" s="275"/>
      <c r="CA816" s="275"/>
      <c r="CB816" s="275"/>
      <c r="CC816" s="275"/>
      <c r="CD816" s="275"/>
      <c r="CE816" s="275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160124891</v>
      </c>
      <c r="E817" s="180">
        <f>C379</f>
        <v>35746706</v>
      </c>
      <c r="F817" s="180">
        <f>C380</f>
        <v>14929193</v>
      </c>
      <c r="G817" s="239">
        <f>C381</f>
        <v>65667980</v>
      </c>
      <c r="H817" s="239">
        <f>C382</f>
        <v>3519114</v>
      </c>
      <c r="I817" s="239">
        <f>C383</f>
        <v>60204983</v>
      </c>
      <c r="J817" s="239">
        <f>C384</f>
        <v>16940287</v>
      </c>
      <c r="K817" s="239">
        <f>C385</f>
        <v>8630007</v>
      </c>
      <c r="L817" s="239">
        <f>C386+C387+C388+C389</f>
        <v>19935916</v>
      </c>
      <c r="M817" s="239">
        <f>C370</f>
        <v>14098048</v>
      </c>
      <c r="N817" s="180">
        <f>D361</f>
        <v>1105609632</v>
      </c>
      <c r="O817" s="180">
        <f>C359</f>
        <v>496785614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M40" sqref="M40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3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UW Medicine/Northwest Hospital &amp;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H-130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1550 North 115th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1550 North 115th Street, Mailstop: UWT-359415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Seattle, WA 98133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I32" sqref="I32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06/30/2018</v>
      </c>
      <c r="C4" s="38"/>
      <c r="D4" s="120"/>
      <c r="E4" s="70"/>
      <c r="F4" s="127" t="str">
        <f>"License Number:  "&amp;"H-"&amp;FIXED(data!C83,0)</f>
        <v>License Number:  H-130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UW Medicine/Northwest Hospital &amp;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Cindy Hecker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Maureen A. Broom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Jim Snyder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(206) 598-5575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(206) 598-7832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9935</v>
      </c>
      <c r="G23" s="21">
        <f>data!D111</f>
        <v>48653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1078</v>
      </c>
      <c r="G26" s="13">
        <f>data!D114</f>
        <v>1771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15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17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120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18</v>
      </c>
      <c r="E34" s="49" t="s">
        <v>291</v>
      </c>
      <c r="F34" s="24"/>
      <c r="G34" s="21">
        <f>data!E127</f>
        <v>197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27</v>
      </c>
      <c r="E36" s="49" t="s">
        <v>292</v>
      </c>
      <c r="F36" s="24"/>
      <c r="G36" s="21">
        <f>data!C128</f>
        <v>281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6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UW Medicine/Northwest Hospital &amp;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5475</v>
      </c>
      <c r="C7" s="48">
        <f>data!B139</f>
        <v>31639</v>
      </c>
      <c r="D7" s="48">
        <f>data!B140</f>
        <v>221166</v>
      </c>
      <c r="E7" s="48">
        <f>data!B141</f>
        <v>253854575.34</v>
      </c>
      <c r="F7" s="48">
        <f>data!B142</f>
        <v>307805759.31</v>
      </c>
      <c r="G7" s="48">
        <f>data!B141+data!B142</f>
        <v>561660334.64999998</v>
      </c>
    </row>
    <row r="8" spans="1:13" ht="20.100000000000001" customHeight="1" x14ac:dyDescent="0.25">
      <c r="A8" s="23" t="s">
        <v>297</v>
      </c>
      <c r="B8" s="48">
        <f>data!C138</f>
        <v>1581</v>
      </c>
      <c r="C8" s="48">
        <f>data!C139</f>
        <v>8049</v>
      </c>
      <c r="D8" s="48">
        <f>data!C140</f>
        <v>69723</v>
      </c>
      <c r="E8" s="48">
        <f>data!C141</f>
        <v>74803787.459999993</v>
      </c>
      <c r="F8" s="48">
        <f>data!C142</f>
        <v>102260861.98999999</v>
      </c>
      <c r="G8" s="48">
        <f>data!C141+data!C142</f>
        <v>177064649.44999999</v>
      </c>
    </row>
    <row r="9" spans="1:13" ht="20.100000000000001" customHeight="1" x14ac:dyDescent="0.25">
      <c r="A9" s="23" t="s">
        <v>1058</v>
      </c>
      <c r="B9" s="48">
        <f>data!D138</f>
        <v>2879</v>
      </c>
      <c r="C9" s="48">
        <f>data!D139</f>
        <v>8965</v>
      </c>
      <c r="D9" s="48">
        <f>data!D140</f>
        <v>181116</v>
      </c>
      <c r="E9" s="48">
        <f>data!D141</f>
        <v>194314123.62</v>
      </c>
      <c r="F9" s="48">
        <f>data!D142</f>
        <v>265638017.18000001</v>
      </c>
      <c r="G9" s="48">
        <f>data!D141+data!D142</f>
        <v>459952140.80000001</v>
      </c>
    </row>
    <row r="10" spans="1:13" ht="20.100000000000001" customHeight="1" x14ac:dyDescent="0.25">
      <c r="A10" s="111" t="s">
        <v>203</v>
      </c>
      <c r="B10" s="48">
        <f>data!E138</f>
        <v>9935</v>
      </c>
      <c r="C10" s="48">
        <f>data!E139</f>
        <v>48653</v>
      </c>
      <c r="D10" s="48">
        <f>data!E140</f>
        <v>472005</v>
      </c>
      <c r="E10" s="48">
        <f>data!E141</f>
        <v>522972486.42000002</v>
      </c>
      <c r="F10" s="48">
        <f>data!E142</f>
        <v>675704638.48000002</v>
      </c>
      <c r="G10" s="48">
        <f>data!E141+data!E142</f>
        <v>1198677124.9000001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UW Medicine/Northwest Hospital &amp; Medical Center</v>
      </c>
      <c r="B3" s="30"/>
      <c r="C3" s="31" t="str">
        <f>"FYE: "&amp;data!C82</f>
        <v>FYE: 06/30/2018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11220397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289289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656461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16380805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169290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5163289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1608282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35487813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5966629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3896354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9862983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1414179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1038907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2453086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211338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10426304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10637642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3668555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3668555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UW Medicine/Northwest Hospital &amp; Medical Center</v>
      </c>
      <c r="B3" s="8"/>
      <c r="C3" s="8"/>
      <c r="E3" s="11"/>
      <c r="F3" s="12" t="str">
        <f>" FYE: "&amp;data!C82</f>
        <v xml:space="preserve"> FYE: 06/30/2018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10922072</v>
      </c>
      <c r="D7" s="21">
        <f>data!C195</f>
        <v>0</v>
      </c>
      <c r="E7" s="21">
        <f>data!D195</f>
        <v>0</v>
      </c>
      <c r="F7" s="21">
        <f>data!E195</f>
        <v>10922072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5984429</v>
      </c>
      <c r="D8" s="21">
        <f>data!C196</f>
        <v>0</v>
      </c>
      <c r="E8" s="21">
        <f>data!D196</f>
        <v>55528.53</v>
      </c>
      <c r="F8" s="21">
        <f>data!E196</f>
        <v>5928900.4699999997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142191094</v>
      </c>
      <c r="D9" s="21">
        <f>data!C197</f>
        <v>3917514.81</v>
      </c>
      <c r="E9" s="21">
        <f>data!D197</f>
        <v>42413.25</v>
      </c>
      <c r="F9" s="21">
        <f>data!E197</f>
        <v>146066195.56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46677141</v>
      </c>
      <c r="D10" s="21">
        <f>data!C198</f>
        <v>25944.01</v>
      </c>
      <c r="E10" s="21">
        <f>data!D198</f>
        <v>60161.32</v>
      </c>
      <c r="F10" s="21">
        <f>data!E198</f>
        <v>46642923.689999998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176961116</v>
      </c>
      <c r="D12" s="21">
        <f>data!C200</f>
        <v>2510443.7400000002</v>
      </c>
      <c r="E12" s="21">
        <f>data!D200</f>
        <v>26577870</v>
      </c>
      <c r="F12" s="21">
        <f>data!E200</f>
        <v>152893689.74000001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18153816</v>
      </c>
      <c r="D14" s="21">
        <f>data!C202</f>
        <v>0</v>
      </c>
      <c r="E14" s="21">
        <f>data!D202</f>
        <v>1263178</v>
      </c>
      <c r="F14" s="21">
        <f>data!E202</f>
        <v>16890638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2472160</v>
      </c>
      <c r="D15" s="21">
        <f>data!C203</f>
        <v>8154086</v>
      </c>
      <c r="E15" s="21">
        <f>data!D203</f>
        <v>6605474.2300000004</v>
      </c>
      <c r="F15" s="21">
        <f>data!E203</f>
        <v>4020771.7699999996</v>
      </c>
      <c r="M15" s="268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403361828</v>
      </c>
      <c r="D16" s="21">
        <f>data!C204</f>
        <v>14607988.560000001</v>
      </c>
      <c r="E16" s="21">
        <f>data!D204</f>
        <v>34604625.329999998</v>
      </c>
      <c r="F16" s="21">
        <f>data!E204</f>
        <v>383365191.23000002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5318009</v>
      </c>
      <c r="D24" s="21">
        <f>data!C209</f>
        <v>171716</v>
      </c>
      <c r="E24" s="21">
        <f>data!D209</f>
        <v>55528.53</v>
      </c>
      <c r="F24" s="21">
        <f>data!E209</f>
        <v>5434196.4699999997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87783656</v>
      </c>
      <c r="D25" s="21">
        <f>data!C210</f>
        <v>5868253</v>
      </c>
      <c r="E25" s="21">
        <f>data!D210</f>
        <v>42412.25</v>
      </c>
      <c r="F25" s="21">
        <f>data!E210</f>
        <v>93609496.75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37650370</v>
      </c>
      <c r="D26" s="21">
        <f>data!C211</f>
        <v>642512</v>
      </c>
      <c r="E26" s="21">
        <f>data!D211</f>
        <v>-776376.17</v>
      </c>
      <c r="F26" s="21">
        <f>data!E211</f>
        <v>39069258.170000002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152734600</v>
      </c>
      <c r="D28" s="21">
        <f>data!C213</f>
        <v>8116529</v>
      </c>
      <c r="E28" s="21">
        <f>data!D213</f>
        <v>26976382.82</v>
      </c>
      <c r="F28" s="21">
        <f>data!E213</f>
        <v>133874746.18000001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11354276</v>
      </c>
      <c r="D30" s="21">
        <f>data!C215</f>
        <v>1047051</v>
      </c>
      <c r="E30" s="21">
        <f>data!D215</f>
        <v>1245343.5</v>
      </c>
      <c r="F30" s="21">
        <f>data!E215</f>
        <v>11155983.5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294840911</v>
      </c>
      <c r="D32" s="21">
        <f>data!C217</f>
        <v>15846061</v>
      </c>
      <c r="E32" s="21">
        <f>data!D217</f>
        <v>27543290.93</v>
      </c>
      <c r="F32" s="21">
        <f>data!E217</f>
        <v>283143681.06999999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UW Medicine/Northwest Hospital &amp; Medical Center</v>
      </c>
      <c r="B2" s="30"/>
      <c r="C2" s="30"/>
      <c r="D2" s="31" t="str">
        <f>"FYE: "&amp;data!C82</f>
        <v>FYE: 06/30/2018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6033962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409034707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138042660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14239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14679256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226769573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34829467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823369902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3380</v>
      </c>
      <c r="M16" s="268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5246472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8786143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14032615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3">
        <v>20</v>
      </c>
      <c r="B24" s="55">
        <v>5970</v>
      </c>
      <c r="C24" s="14" t="s">
        <v>357</v>
      </c>
      <c r="D24" s="14">
        <f>data!C238</f>
        <v>3320132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846756611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UW Medicine/Northwest Hospital &amp; Medical Center</v>
      </c>
      <c r="B3" s="30"/>
      <c r="C3" s="31" t="str">
        <f>" FYE: "&amp;data!C82</f>
        <v xml:space="preserve"> FYE: 06/30/2018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17056828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136132803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98272944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4857302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5111387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3152917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8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68038293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4533643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40802789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45336432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10922072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5928900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146066196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46642924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152893689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16890638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4020772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383365191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283143681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100221510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6401125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7739032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14140157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227736392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UW Medicine/Northwest Hospital &amp; Medical Center</v>
      </c>
      <c r="B55" s="30"/>
      <c r="C55" s="31" t="str">
        <f>"FYE: "&amp;data!C82</f>
        <v>FYE: 06/30/2018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11323851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21383532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4741366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10491904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1253393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4152086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53346132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6937197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438838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59532697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69077032.5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135985764.5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4152086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131833678.5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42556581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42556581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227736391.5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UW Medicine/Northwest Hospital &amp; Medical Center</v>
      </c>
      <c r="B107" s="30"/>
      <c r="C107" s="31" t="str">
        <f>" FYE: "&amp;data!C82</f>
        <v xml:space="preserve"> FYE: 06/30/2018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522972486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675704638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1198677124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2" t="s">
        <v>450</v>
      </c>
      <c r="C115" s="48">
        <f>data!C363</f>
        <v>6033962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826690034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14032615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846756611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351920513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15157690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15157690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367078203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163916586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35487810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14571758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66341445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3382844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62823676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16197588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9892983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2453086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10637642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3668555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2630479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392004452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-24926249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3892507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-21033742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-21033742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13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UW Medicine/Northwest Hospital &amp; Medical Center</v>
      </c>
      <c r="B4" s="77"/>
      <c r="C4" s="77"/>
      <c r="D4" s="77"/>
      <c r="E4" s="77"/>
      <c r="F4" s="77"/>
      <c r="G4" s="80"/>
      <c r="H4" s="79" t="str">
        <f>"FYE: "&amp;data!C82</f>
        <v>FYE: 06/30/2018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3701</v>
      </c>
      <c r="D9" s="14">
        <f>data!D59</f>
        <v>4673</v>
      </c>
      <c r="E9" s="14">
        <f>data!E59</f>
        <v>24237</v>
      </c>
      <c r="F9" s="14">
        <f>data!F59</f>
        <v>4370</v>
      </c>
      <c r="G9" s="14">
        <f>data!G59</f>
        <v>0</v>
      </c>
      <c r="H9" s="14">
        <f>data!H59</f>
        <v>9649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52.08</v>
      </c>
      <c r="D10" s="26">
        <f>data!D60</f>
        <v>45.32</v>
      </c>
      <c r="E10" s="26">
        <f>data!E60</f>
        <v>219.01</v>
      </c>
      <c r="F10" s="26">
        <f>data!F60</f>
        <v>55.58</v>
      </c>
      <c r="G10" s="26">
        <f>data!G60</f>
        <v>0</v>
      </c>
      <c r="H10" s="26">
        <f>data!H60</f>
        <v>61.15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4728246</v>
      </c>
      <c r="D11" s="14">
        <f>data!D61</f>
        <v>3600143</v>
      </c>
      <c r="E11" s="14">
        <f>data!E61</f>
        <v>17645446</v>
      </c>
      <c r="F11" s="14">
        <f>data!F61</f>
        <v>5735939</v>
      </c>
      <c r="G11" s="14">
        <f>data!G61</f>
        <v>0</v>
      </c>
      <c r="H11" s="14">
        <f>data!H61</f>
        <v>4695316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1124537</v>
      </c>
      <c r="D12" s="14">
        <f>data!D62</f>
        <v>866098</v>
      </c>
      <c r="E12" s="14">
        <f>data!E62</f>
        <v>4084172</v>
      </c>
      <c r="F12" s="14">
        <f>data!F62</f>
        <v>1308288</v>
      </c>
      <c r="G12" s="14">
        <f>data!G62</f>
        <v>0</v>
      </c>
      <c r="H12" s="14">
        <f>data!H62</f>
        <v>1104832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96822</v>
      </c>
      <c r="D13" s="14">
        <f>data!D63</f>
        <v>5508</v>
      </c>
      <c r="E13" s="14">
        <f>data!E63</f>
        <v>371813</v>
      </c>
      <c r="F13" s="14">
        <f>data!F63</f>
        <v>196849</v>
      </c>
      <c r="G13" s="14">
        <f>data!G63</f>
        <v>0</v>
      </c>
      <c r="H13" s="14">
        <f>data!H63</f>
        <v>42941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462751</v>
      </c>
      <c r="D14" s="14">
        <f>data!D64</f>
        <v>151536</v>
      </c>
      <c r="E14" s="14">
        <f>data!E64</f>
        <v>953183</v>
      </c>
      <c r="F14" s="14">
        <f>data!F64</f>
        <v>365125</v>
      </c>
      <c r="G14" s="14">
        <f>data!G64</f>
        <v>0</v>
      </c>
      <c r="H14" s="14">
        <f>data!H64</f>
        <v>117555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556</v>
      </c>
      <c r="D15" s="14">
        <f>data!D65</f>
        <v>0</v>
      </c>
      <c r="E15" s="14">
        <f>data!E65</f>
        <v>1529</v>
      </c>
      <c r="F15" s="14">
        <f>data!F65</f>
        <v>1489</v>
      </c>
      <c r="G15" s="14">
        <f>data!G65</f>
        <v>0</v>
      </c>
      <c r="H15" s="14">
        <f>data!H65</f>
        <v>0</v>
      </c>
      <c r="I15" s="14">
        <f>data!I65</f>
        <v>0</v>
      </c>
      <c r="M15" s="267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286922</v>
      </c>
      <c r="D16" s="14">
        <f>data!D66</f>
        <v>125994</v>
      </c>
      <c r="E16" s="14">
        <f>data!E66</f>
        <v>677811</v>
      </c>
      <c r="F16" s="14">
        <f>data!F66</f>
        <v>88994</v>
      </c>
      <c r="G16" s="14">
        <f>data!G66</f>
        <v>0</v>
      </c>
      <c r="H16" s="14">
        <f>data!H66</f>
        <v>50133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62008</v>
      </c>
      <c r="D17" s="14">
        <f>data!D67</f>
        <v>3583</v>
      </c>
      <c r="E17" s="14">
        <f>data!E67</f>
        <v>213066</v>
      </c>
      <c r="F17" s="14">
        <f>data!F67</f>
        <v>192662</v>
      </c>
      <c r="G17" s="14">
        <f>data!G67</f>
        <v>0</v>
      </c>
      <c r="H17" s="14">
        <f>data!H67</f>
        <v>29694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117574</v>
      </c>
      <c r="D18" s="14">
        <f>data!D68</f>
        <v>130775</v>
      </c>
      <c r="E18" s="14">
        <f>data!E68</f>
        <v>164642</v>
      </c>
      <c r="F18" s="14">
        <f>data!F68</f>
        <v>66709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322</v>
      </c>
      <c r="D19" s="14">
        <f>data!D69</f>
        <v>0</v>
      </c>
      <c r="E19" s="14">
        <f>data!E69</f>
        <v>10548</v>
      </c>
      <c r="F19" s="14">
        <f>data!F69</f>
        <v>1492</v>
      </c>
      <c r="G19" s="14">
        <f>data!G69</f>
        <v>0</v>
      </c>
      <c r="H19" s="14">
        <f>data!H69</f>
        <v>198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-45</v>
      </c>
      <c r="D20" s="14">
        <f>-data!D70</f>
        <v>0</v>
      </c>
      <c r="E20" s="14">
        <f>-data!E70</f>
        <v>0</v>
      </c>
      <c r="F20" s="14">
        <f>-data!F70</f>
        <v>-8534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6879693</v>
      </c>
      <c r="D21" s="14">
        <f>data!D71</f>
        <v>4883637</v>
      </c>
      <c r="E21" s="14">
        <f>data!E71</f>
        <v>24122210</v>
      </c>
      <c r="F21" s="14">
        <f>data!F71</f>
        <v>7949013</v>
      </c>
      <c r="G21" s="14">
        <f>data!G71</f>
        <v>0</v>
      </c>
      <c r="H21" s="14">
        <f>data!H71</f>
        <v>6040669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3136918</v>
      </c>
      <c r="D23" s="48">
        <f>+data!M669</f>
        <v>2757692</v>
      </c>
      <c r="E23" s="48">
        <f>+data!M670</f>
        <v>13948802</v>
      </c>
      <c r="F23" s="48">
        <f>+data!M671</f>
        <v>3640077</v>
      </c>
      <c r="G23" s="48">
        <f>+data!M672</f>
        <v>0</v>
      </c>
      <c r="H23" s="48">
        <f>+data!M673</f>
        <v>4035913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24340459</v>
      </c>
      <c r="D24" s="14">
        <f>data!D73</f>
        <v>22208918</v>
      </c>
      <c r="E24" s="14">
        <f>data!E73</f>
        <v>84507117</v>
      </c>
      <c r="F24" s="14">
        <f>data!F73</f>
        <v>18227184</v>
      </c>
      <c r="G24" s="14">
        <f>data!G73</f>
        <v>0</v>
      </c>
      <c r="H24" s="14">
        <f>data!H73</f>
        <v>28694762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31041</v>
      </c>
      <c r="D25" s="14">
        <f>data!D74</f>
        <v>547522</v>
      </c>
      <c r="E25" s="14">
        <f>data!E74</f>
        <v>3921589</v>
      </c>
      <c r="F25" s="14">
        <f>data!F74</f>
        <v>1321010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24371500</v>
      </c>
      <c r="D26" s="14">
        <f>data!D75</f>
        <v>22756440</v>
      </c>
      <c r="E26" s="14">
        <f>data!E75</f>
        <v>88428706</v>
      </c>
      <c r="F26" s="14">
        <f>data!F75</f>
        <v>19548194</v>
      </c>
      <c r="G26" s="14">
        <f>data!G75</f>
        <v>0</v>
      </c>
      <c r="H26" s="14">
        <f>data!H75</f>
        <v>28694762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8019</v>
      </c>
      <c r="D28" s="14">
        <f>data!D76</f>
        <v>8222</v>
      </c>
      <c r="E28" s="14">
        <f>data!E76</f>
        <v>47741</v>
      </c>
      <c r="F28" s="14">
        <f>data!F76</f>
        <v>13745</v>
      </c>
      <c r="G28" s="14">
        <f>data!G76</f>
        <v>0</v>
      </c>
      <c r="H28" s="14">
        <f>data!H76</f>
        <v>14924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14219</v>
      </c>
      <c r="D29" s="14">
        <f>data!D77</f>
        <v>17996</v>
      </c>
      <c r="E29" s="14">
        <f>data!E77</f>
        <v>107862</v>
      </c>
      <c r="F29" s="14">
        <f>data!F77</f>
        <v>16697</v>
      </c>
      <c r="G29" s="14">
        <f>data!G77</f>
        <v>0</v>
      </c>
      <c r="H29" s="14">
        <f>data!H77</f>
        <v>37071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3820</v>
      </c>
      <c r="D30" s="14">
        <f>data!D78</f>
        <v>3917</v>
      </c>
      <c r="E30" s="14">
        <f>data!E78</f>
        <v>22743</v>
      </c>
      <c r="F30" s="14">
        <f>data!F78</f>
        <v>6548</v>
      </c>
      <c r="G30" s="14">
        <f>data!G78</f>
        <v>0</v>
      </c>
      <c r="H30" s="14">
        <f>data!H78</f>
        <v>7110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140981</v>
      </c>
      <c r="D31" s="14">
        <f>data!D79</f>
        <v>0</v>
      </c>
      <c r="E31" s="14">
        <f>data!E79</f>
        <v>420669</v>
      </c>
      <c r="F31" s="14">
        <f>data!F79</f>
        <v>123438</v>
      </c>
      <c r="G31" s="14">
        <f>data!G79</f>
        <v>0</v>
      </c>
      <c r="H31" s="14">
        <f>data!H79</f>
        <v>73006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41.62</v>
      </c>
      <c r="D32" s="84">
        <f>data!D80</f>
        <v>34.659999999999997</v>
      </c>
      <c r="E32" s="84">
        <f>data!E80</f>
        <v>190.93</v>
      </c>
      <c r="F32" s="84">
        <f>data!F80</f>
        <v>40.299999999999997</v>
      </c>
      <c r="G32" s="84">
        <f>data!G80</f>
        <v>0</v>
      </c>
      <c r="H32" s="84">
        <f>data!H80</f>
        <v>47.37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UW Medicine/Northwest Hospital &amp;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2345649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121.03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10757703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2494599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14102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24400918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3822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1410916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2685706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788914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16051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-11443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42561288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20953007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125226643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186508507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311735150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53579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18453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406590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69.260000000000005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UW Medicine/Northwest Hospital &amp;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888255</v>
      </c>
      <c r="D73" s="48">
        <f>data!R59</f>
        <v>1275752</v>
      </c>
      <c r="E73" s="212"/>
      <c r="F73" s="212"/>
      <c r="G73" s="14">
        <f>data!U59</f>
        <v>851993</v>
      </c>
      <c r="H73" s="14">
        <f>data!V59</f>
        <v>22658</v>
      </c>
      <c r="I73" s="14">
        <f>data!W59</f>
        <v>7718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19.329999999999998</v>
      </c>
      <c r="D74" s="26">
        <f>data!R60</f>
        <v>8.85</v>
      </c>
      <c r="E74" s="26">
        <f>data!S60</f>
        <v>15.81</v>
      </c>
      <c r="F74" s="26">
        <f>data!T60</f>
        <v>2.0499999999999998</v>
      </c>
      <c r="G74" s="26">
        <f>data!U60</f>
        <v>88.3</v>
      </c>
      <c r="H74" s="26">
        <f>data!V60</f>
        <v>7.09</v>
      </c>
      <c r="I74" s="26">
        <f>data!W60</f>
        <v>10.08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2015308</v>
      </c>
      <c r="D75" s="14">
        <f>data!R61</f>
        <v>517853</v>
      </c>
      <c r="E75" s="14">
        <f>data!S61</f>
        <v>816407</v>
      </c>
      <c r="F75" s="14">
        <f>data!T61</f>
        <v>259270</v>
      </c>
      <c r="G75" s="14">
        <f>data!U61</f>
        <v>5196313</v>
      </c>
      <c r="H75" s="14">
        <f>data!V61</f>
        <v>383080</v>
      </c>
      <c r="I75" s="14">
        <f>data!W61</f>
        <v>977767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478757</v>
      </c>
      <c r="D76" s="14">
        <f>data!R62</f>
        <v>124657</v>
      </c>
      <c r="E76" s="14">
        <f>data!S62</f>
        <v>196384</v>
      </c>
      <c r="F76" s="14">
        <f>data!T62</f>
        <v>62416</v>
      </c>
      <c r="G76" s="14">
        <f>data!U62</f>
        <v>1243905</v>
      </c>
      <c r="H76" s="14">
        <f>data!V62</f>
        <v>92187</v>
      </c>
      <c r="I76" s="14">
        <f>data!W62</f>
        <v>235247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4702</v>
      </c>
      <c r="D77" s="14">
        <f>data!R63</f>
        <v>329400</v>
      </c>
      <c r="E77" s="14">
        <f>data!S63</f>
        <v>53141</v>
      </c>
      <c r="F77" s="14">
        <f>data!T63</f>
        <v>0</v>
      </c>
      <c r="G77" s="14">
        <f>data!U63</f>
        <v>568611</v>
      </c>
      <c r="H77" s="14">
        <f>data!V63</f>
        <v>156616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103218</v>
      </c>
      <c r="D78" s="14">
        <f>data!R64</f>
        <v>568569</v>
      </c>
      <c r="E78" s="14">
        <f>data!S64</f>
        <v>374537</v>
      </c>
      <c r="F78" s="14">
        <f>data!T64</f>
        <v>810269</v>
      </c>
      <c r="G78" s="14">
        <f>data!U64</f>
        <v>2179891</v>
      </c>
      <c r="H78" s="14">
        <f>data!V64</f>
        <v>15478</v>
      </c>
      <c r="I78" s="14">
        <f>data!W64</f>
        <v>193141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756</v>
      </c>
      <c r="F79" s="14">
        <f>data!T65</f>
        <v>1602</v>
      </c>
      <c r="G79" s="14">
        <f>data!U65</f>
        <v>8953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45292</v>
      </c>
      <c r="D80" s="14">
        <f>data!R66</f>
        <v>6258</v>
      </c>
      <c r="E80" s="14">
        <f>data!S66</f>
        <v>401759</v>
      </c>
      <c r="F80" s="14">
        <f>data!T66</f>
        <v>70512</v>
      </c>
      <c r="G80" s="14">
        <f>data!U66</f>
        <v>4621818</v>
      </c>
      <c r="H80" s="14">
        <f>data!V66</f>
        <v>1044</v>
      </c>
      <c r="I80" s="14">
        <f>data!W66</f>
        <v>307370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25273</v>
      </c>
      <c r="D81" s="14">
        <f>data!R67</f>
        <v>50364</v>
      </c>
      <c r="E81" s="14">
        <f>data!S67</f>
        <v>77605</v>
      </c>
      <c r="F81" s="14">
        <f>data!T67</f>
        <v>72541</v>
      </c>
      <c r="G81" s="14">
        <f>data!U67</f>
        <v>139202</v>
      </c>
      <c r="H81" s="14">
        <f>data!V67</f>
        <v>63076</v>
      </c>
      <c r="I81" s="14">
        <f>data!W67</f>
        <v>5737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45208</v>
      </c>
      <c r="D82" s="14">
        <f>data!R68</f>
        <v>91594</v>
      </c>
      <c r="E82" s="14">
        <f>data!S68</f>
        <v>417767</v>
      </c>
      <c r="F82" s="14">
        <f>data!T68</f>
        <v>0</v>
      </c>
      <c r="G82" s="14">
        <f>data!U68</f>
        <v>48648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285</v>
      </c>
      <c r="F83" s="14">
        <f>data!T69</f>
        <v>59</v>
      </c>
      <c r="G83" s="14">
        <f>data!U69</f>
        <v>2322</v>
      </c>
      <c r="H83" s="14">
        <f>data!V69</f>
        <v>0</v>
      </c>
      <c r="I83" s="14">
        <f>data!W69</f>
        <v>2799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-3040</v>
      </c>
      <c r="F84" s="14">
        <f>-data!T70</f>
        <v>0</v>
      </c>
      <c r="G84" s="14">
        <f>-data!U70</f>
        <v>-85737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2717758</v>
      </c>
      <c r="D85" s="14">
        <f>data!R71</f>
        <v>1688695</v>
      </c>
      <c r="E85" s="14">
        <f>data!S71</f>
        <v>2335601</v>
      </c>
      <c r="F85" s="14">
        <f>data!T71</f>
        <v>1276669</v>
      </c>
      <c r="G85" s="14">
        <f>data!U71</f>
        <v>13923926</v>
      </c>
      <c r="H85" s="14">
        <f>data!V71</f>
        <v>711481</v>
      </c>
      <c r="I85" s="14">
        <f>data!W71</f>
        <v>1722061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1388048</v>
      </c>
      <c r="D87" s="48">
        <f>+data!M683</f>
        <v>1357270</v>
      </c>
      <c r="E87" s="48">
        <f>+data!M684</f>
        <v>446589</v>
      </c>
      <c r="F87" s="48">
        <f>+data!M685</f>
        <v>262702</v>
      </c>
      <c r="G87" s="48">
        <f>+data!M686</f>
        <v>5173590</v>
      </c>
      <c r="H87" s="48">
        <f>+data!M687</f>
        <v>412296</v>
      </c>
      <c r="I87" s="48">
        <f>+data!M688</f>
        <v>1563127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5619542</v>
      </c>
      <c r="D88" s="14">
        <f>data!R73</f>
        <v>13896224</v>
      </c>
      <c r="E88" s="14">
        <f>data!S73</f>
        <v>1815449</v>
      </c>
      <c r="F88" s="14">
        <f>data!T73</f>
        <v>1204832</v>
      </c>
      <c r="G88" s="14">
        <f>data!U73</f>
        <v>30939818</v>
      </c>
      <c r="H88" s="14">
        <f>data!V73</f>
        <v>3207507</v>
      </c>
      <c r="I88" s="14">
        <f>data!W73</f>
        <v>7340006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10091224</v>
      </c>
      <c r="D89" s="14">
        <f>data!R74</f>
        <v>21104387</v>
      </c>
      <c r="E89" s="14">
        <f>data!S74</f>
        <v>13939</v>
      </c>
      <c r="F89" s="14">
        <f>data!T74</f>
        <v>59628</v>
      </c>
      <c r="G89" s="14">
        <f>data!U74</f>
        <v>41671681</v>
      </c>
      <c r="H89" s="14">
        <f>data!V74</f>
        <v>5377380</v>
      </c>
      <c r="I89" s="14">
        <f>data!W74</f>
        <v>26363219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15710766</v>
      </c>
      <c r="D90" s="14">
        <f>data!R75</f>
        <v>35000611</v>
      </c>
      <c r="E90" s="14">
        <f>data!S75</f>
        <v>1829388</v>
      </c>
      <c r="F90" s="14">
        <f>data!T75</f>
        <v>1264460</v>
      </c>
      <c r="G90" s="14">
        <f>data!U75</f>
        <v>72611499</v>
      </c>
      <c r="H90" s="14">
        <f>data!V75</f>
        <v>8584887</v>
      </c>
      <c r="I90" s="14">
        <f>data!W75</f>
        <v>33703225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3494</v>
      </c>
      <c r="D92" s="14">
        <f>data!R76</f>
        <v>971</v>
      </c>
      <c r="E92" s="14">
        <f>data!S76</f>
        <v>0</v>
      </c>
      <c r="F92" s="14">
        <f>data!T76</f>
        <v>0</v>
      </c>
      <c r="G92" s="14">
        <f>data!U76</f>
        <v>11007</v>
      </c>
      <c r="H92" s="14">
        <f>data!V76</f>
        <v>523</v>
      </c>
      <c r="I92" s="14">
        <f>data!W76</f>
        <v>4528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1665</v>
      </c>
      <c r="D94" s="14">
        <f>data!R78</f>
        <v>463</v>
      </c>
      <c r="E94" s="14">
        <f>data!S78</f>
        <v>0</v>
      </c>
      <c r="F94" s="14">
        <f>data!T78</f>
        <v>0</v>
      </c>
      <c r="G94" s="14">
        <f>data!U78</f>
        <v>3568</v>
      </c>
      <c r="H94" s="14">
        <f>data!V78</f>
        <v>249</v>
      </c>
      <c r="I94" s="14">
        <f>data!W78</f>
        <v>873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36908</v>
      </c>
      <c r="D95" s="14">
        <f>data!R79</f>
        <v>0</v>
      </c>
      <c r="E95" s="14">
        <f>data!S79</f>
        <v>491121</v>
      </c>
      <c r="F95" s="14">
        <f>data!T79</f>
        <v>0</v>
      </c>
      <c r="G95" s="14">
        <f>data!U79</f>
        <v>21658</v>
      </c>
      <c r="H95" s="14">
        <f>data!V79</f>
        <v>0</v>
      </c>
      <c r="I95" s="14">
        <f>data!W79</f>
        <v>12481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16.600000000000001</v>
      </c>
      <c r="D96" s="84">
        <f>data!R80</f>
        <v>0</v>
      </c>
      <c r="E96" s="84">
        <f>data!S80</f>
        <v>0</v>
      </c>
      <c r="F96" s="84">
        <f>data!T80</f>
        <v>2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UW Medicine/Northwest Hospital &amp;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20016</v>
      </c>
      <c r="D105" s="14">
        <f>data!Y59</f>
        <v>78281</v>
      </c>
      <c r="E105" s="14">
        <f>data!Z59</f>
        <v>0</v>
      </c>
      <c r="F105" s="14">
        <f>data!AA59</f>
        <v>824</v>
      </c>
      <c r="G105" s="212"/>
      <c r="H105" s="14">
        <f>data!AC59</f>
        <v>30302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10.130000000000001</v>
      </c>
      <c r="D106" s="26">
        <f>data!Y60</f>
        <v>71.22</v>
      </c>
      <c r="E106" s="26">
        <f>data!Z60</f>
        <v>0</v>
      </c>
      <c r="F106" s="26">
        <f>data!AA60</f>
        <v>2.23</v>
      </c>
      <c r="G106" s="26">
        <f>data!AB60</f>
        <v>34.29</v>
      </c>
      <c r="H106" s="26">
        <f>data!AC60</f>
        <v>17.46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923529</v>
      </c>
      <c r="D107" s="14">
        <f>data!Y61</f>
        <v>5444086</v>
      </c>
      <c r="E107" s="14">
        <f>data!Z61</f>
        <v>0</v>
      </c>
      <c r="F107" s="14">
        <f>data!AA61</f>
        <v>285517</v>
      </c>
      <c r="G107" s="14">
        <f>data!AB61</f>
        <v>3392914</v>
      </c>
      <c r="H107" s="14">
        <f>data!AC61</f>
        <v>1442483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222148</v>
      </c>
      <c r="D108" s="14">
        <f>data!Y62</f>
        <v>1317334</v>
      </c>
      <c r="E108" s="14">
        <f>data!Z62</f>
        <v>0</v>
      </c>
      <c r="F108" s="14">
        <f>data!AA62</f>
        <v>50408</v>
      </c>
      <c r="G108" s="14">
        <f>data!AB62</f>
        <v>799795</v>
      </c>
      <c r="H108" s="14">
        <f>data!AC62</f>
        <v>337878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703490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181106</v>
      </c>
      <c r="D110" s="14">
        <f>data!Y64</f>
        <v>3072182</v>
      </c>
      <c r="E110" s="14">
        <f>data!Z64</f>
        <v>208</v>
      </c>
      <c r="F110" s="14">
        <f>data!AA64</f>
        <v>168851</v>
      </c>
      <c r="G110" s="14">
        <f>data!AB64</f>
        <v>10275136</v>
      </c>
      <c r="H110" s="14">
        <f>data!AC64</f>
        <v>233953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20817</v>
      </c>
      <c r="E111" s="14">
        <f>data!Z65</f>
        <v>1928</v>
      </c>
      <c r="F111" s="14">
        <f>data!AA65</f>
        <v>0</v>
      </c>
      <c r="G111" s="14">
        <f>data!AB65</f>
        <v>0</v>
      </c>
      <c r="H111" s="14">
        <f>data!AC65</f>
        <v>1423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339876</v>
      </c>
      <c r="D112" s="14">
        <f>data!Y66</f>
        <v>2345471</v>
      </c>
      <c r="E112" s="14">
        <f>data!Z66</f>
        <v>39517</v>
      </c>
      <c r="F112" s="14">
        <f>data!AA66</f>
        <v>70418</v>
      </c>
      <c r="G112" s="14">
        <f>data!AB66</f>
        <v>512724</v>
      </c>
      <c r="H112" s="14">
        <f>data!AC66</f>
        <v>6186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150548</v>
      </c>
      <c r="D113" s="14">
        <f>data!Y67</f>
        <v>1388027</v>
      </c>
      <c r="E113" s="14">
        <f>data!Z67</f>
        <v>291669</v>
      </c>
      <c r="F113" s="14">
        <f>data!AA67</f>
        <v>0</v>
      </c>
      <c r="G113" s="14">
        <f>data!AB67</f>
        <v>118607</v>
      </c>
      <c r="H113" s="14">
        <f>data!AC67</f>
        <v>51464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259023</v>
      </c>
      <c r="E114" s="14">
        <f>data!Z68</f>
        <v>-49</v>
      </c>
      <c r="F114" s="14">
        <f>data!AA68</f>
        <v>0</v>
      </c>
      <c r="G114" s="14">
        <f>data!AB68</f>
        <v>553207</v>
      </c>
      <c r="H114" s="14">
        <f>data!AC68</f>
        <v>84089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35016</v>
      </c>
      <c r="E115" s="14">
        <f>data!Z69</f>
        <v>0</v>
      </c>
      <c r="F115" s="14">
        <f>data!AA69</f>
        <v>0</v>
      </c>
      <c r="G115" s="14">
        <f>data!AB69</f>
        <v>6355</v>
      </c>
      <c r="H115" s="14">
        <f>data!AC69</f>
        <v>1573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-144942</v>
      </c>
      <c r="E116" s="14">
        <f>-data!Z70</f>
        <v>-728616</v>
      </c>
      <c r="F116" s="14">
        <f>-data!AA70</f>
        <v>0</v>
      </c>
      <c r="G116" s="14">
        <f>-data!AB70</f>
        <v>-55226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1817207</v>
      </c>
      <c r="D117" s="14">
        <f>data!Y71</f>
        <v>14440504</v>
      </c>
      <c r="E117" s="14">
        <f>data!Z71</f>
        <v>-395343</v>
      </c>
      <c r="F117" s="14">
        <f>data!AA71</f>
        <v>575194</v>
      </c>
      <c r="G117" s="14">
        <f>data!AB71</f>
        <v>15603512</v>
      </c>
      <c r="H117" s="14">
        <f>data!AC71</f>
        <v>2159049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2215107</v>
      </c>
      <c r="D119" s="48">
        <f>+data!M690</f>
        <v>7513799</v>
      </c>
      <c r="E119" s="48">
        <f>+data!M691</f>
        <v>-46267</v>
      </c>
      <c r="F119" s="48">
        <f>+data!M692</f>
        <v>223464</v>
      </c>
      <c r="G119" s="48">
        <f>+data!M693</f>
        <v>5008344</v>
      </c>
      <c r="H119" s="48">
        <f>+data!M694</f>
        <v>780665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21485844</v>
      </c>
      <c r="D120" s="14">
        <f>data!Y73</f>
        <v>27433150</v>
      </c>
      <c r="E120" s="14">
        <f>data!Z73</f>
        <v>59060</v>
      </c>
      <c r="F120" s="14">
        <f>data!AA73</f>
        <v>294845</v>
      </c>
      <c r="G120" s="14">
        <f>data!AB73</f>
        <v>46234823</v>
      </c>
      <c r="H120" s="14">
        <f>data!AC73</f>
        <v>9850394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42071099</v>
      </c>
      <c r="D121" s="14">
        <f>data!Y74</f>
        <v>72500548</v>
      </c>
      <c r="E121" s="14">
        <f>data!Z74</f>
        <v>0</v>
      </c>
      <c r="F121" s="14">
        <f>data!AA74</f>
        <v>1831517</v>
      </c>
      <c r="G121" s="14">
        <f>data!AB74</f>
        <v>32855733</v>
      </c>
      <c r="H121" s="14">
        <f>data!AC74</f>
        <v>1602158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63556943</v>
      </c>
      <c r="D122" s="14">
        <f>data!Y75</f>
        <v>99933698</v>
      </c>
      <c r="E122" s="14">
        <f>data!Z75</f>
        <v>59060</v>
      </c>
      <c r="F122" s="14">
        <f>data!AA75</f>
        <v>2126362</v>
      </c>
      <c r="G122" s="14">
        <f>data!AB75</f>
        <v>79090556</v>
      </c>
      <c r="H122" s="14">
        <f>data!AC75</f>
        <v>11452552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1417</v>
      </c>
      <c r="D124" s="14">
        <f>data!Y76</f>
        <v>31417</v>
      </c>
      <c r="E124" s="14">
        <f>data!Z76</f>
        <v>0</v>
      </c>
      <c r="F124" s="14">
        <f>data!AA76</f>
        <v>859</v>
      </c>
      <c r="G124" s="14">
        <f>data!AB76</f>
        <v>2571</v>
      </c>
      <c r="H124" s="14">
        <f>data!AC76</f>
        <v>1098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675</v>
      </c>
      <c r="D126" s="14">
        <f>data!Y78</f>
        <v>6645</v>
      </c>
      <c r="E126" s="14">
        <f>data!Z78</f>
        <v>0</v>
      </c>
      <c r="F126" s="14">
        <f>data!AA78</f>
        <v>409</v>
      </c>
      <c r="G126" s="14">
        <f>data!AB78</f>
        <v>1225</v>
      </c>
      <c r="H126" s="14">
        <f>data!AC78</f>
        <v>523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208642</v>
      </c>
      <c r="E127" s="14">
        <f>data!Z79</f>
        <v>0</v>
      </c>
      <c r="F127" s="14">
        <f>data!AA79</f>
        <v>0</v>
      </c>
      <c r="G127" s="14">
        <f>data!AB79</f>
        <v>7127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5.78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UW Medicine/Northwest Hospital &amp;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72926</v>
      </c>
      <c r="D137" s="14">
        <f>data!AF59</f>
        <v>0</v>
      </c>
      <c r="E137" s="14">
        <f>data!AG59</f>
        <v>33651</v>
      </c>
      <c r="F137" s="14">
        <f>data!AH59</f>
        <v>0</v>
      </c>
      <c r="G137" s="14">
        <f>data!AI59</f>
        <v>0</v>
      </c>
      <c r="H137" s="14">
        <f>data!AJ59</f>
        <v>149544</v>
      </c>
      <c r="I137" s="14">
        <f>data!AK59</f>
        <v>42405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32.08</v>
      </c>
      <c r="D138" s="26">
        <f>data!AF60</f>
        <v>0</v>
      </c>
      <c r="E138" s="26">
        <f>data!AG60</f>
        <v>67.78</v>
      </c>
      <c r="F138" s="26">
        <f>data!AH60</f>
        <v>0</v>
      </c>
      <c r="G138" s="26">
        <f>data!AI60</f>
        <v>0</v>
      </c>
      <c r="H138" s="26">
        <f>data!AJ60</f>
        <v>405.43</v>
      </c>
      <c r="I138" s="26">
        <f>data!AK60</f>
        <v>14.34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2793375</v>
      </c>
      <c r="D139" s="14">
        <f>data!AF61</f>
        <v>0</v>
      </c>
      <c r="E139" s="14">
        <f>data!AG61</f>
        <v>4711581</v>
      </c>
      <c r="F139" s="14">
        <f>data!AH61</f>
        <v>0</v>
      </c>
      <c r="G139" s="14">
        <f>data!AI61</f>
        <v>0</v>
      </c>
      <c r="H139" s="14">
        <f>data!AJ61</f>
        <v>48356957</v>
      </c>
      <c r="I139" s="14">
        <f>data!AK61</f>
        <v>1344479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642432</v>
      </c>
      <c r="D140" s="14">
        <f>data!AF62</f>
        <v>0</v>
      </c>
      <c r="E140" s="14">
        <f>data!AG62</f>
        <v>1254314</v>
      </c>
      <c r="F140" s="14">
        <f>data!AH62</f>
        <v>0</v>
      </c>
      <c r="G140" s="14">
        <f>data!AI62</f>
        <v>0</v>
      </c>
      <c r="H140" s="14">
        <f>data!AJ62</f>
        <v>7816778</v>
      </c>
      <c r="I140" s="14">
        <f>data!AK62</f>
        <v>323616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888116</v>
      </c>
      <c r="F141" s="14">
        <f>data!AH63</f>
        <v>0</v>
      </c>
      <c r="G141" s="14">
        <f>data!AI63</f>
        <v>0</v>
      </c>
      <c r="H141" s="14">
        <f>data!AJ63</f>
        <v>9593260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16912</v>
      </c>
      <c r="D142" s="14">
        <f>data!AF64</f>
        <v>0</v>
      </c>
      <c r="E142" s="14">
        <f>data!AG64</f>
        <v>668973</v>
      </c>
      <c r="F142" s="14">
        <f>data!AH64</f>
        <v>0</v>
      </c>
      <c r="G142" s="14">
        <f>data!AI64</f>
        <v>0</v>
      </c>
      <c r="H142" s="14">
        <f>data!AJ64</f>
        <v>13920418</v>
      </c>
      <c r="I142" s="14">
        <f>data!AK64</f>
        <v>26593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139</v>
      </c>
      <c r="F143" s="14">
        <f>data!AH65</f>
        <v>0</v>
      </c>
      <c r="G143" s="14">
        <f>data!AI65</f>
        <v>0</v>
      </c>
      <c r="H143" s="14">
        <f>data!AJ65</f>
        <v>195211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81114</v>
      </c>
      <c r="D144" s="14">
        <f>data!AF66</f>
        <v>0</v>
      </c>
      <c r="E144" s="14">
        <f>data!AG66</f>
        <v>161019</v>
      </c>
      <c r="F144" s="14">
        <f>data!AH66</f>
        <v>0</v>
      </c>
      <c r="G144" s="14">
        <f>data!AI66</f>
        <v>0</v>
      </c>
      <c r="H144" s="14">
        <f>data!AJ66</f>
        <v>5937965</v>
      </c>
      <c r="I144" s="14">
        <f>data!AK66</f>
        <v>14308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21950</v>
      </c>
      <c r="D145" s="14">
        <f>data!AF67</f>
        <v>0</v>
      </c>
      <c r="E145" s="14">
        <f>data!AG67</f>
        <v>140094</v>
      </c>
      <c r="F145" s="14">
        <f>data!AH67</f>
        <v>0</v>
      </c>
      <c r="G145" s="14">
        <f>data!AI67</f>
        <v>0</v>
      </c>
      <c r="H145" s="14">
        <f>data!AJ67</f>
        <v>1192419</v>
      </c>
      <c r="I145" s="14">
        <f>data!AK67</f>
        <v>444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147824</v>
      </c>
      <c r="F146" s="14">
        <f>data!AH68</f>
        <v>0</v>
      </c>
      <c r="G146" s="14">
        <f>data!AI68</f>
        <v>0</v>
      </c>
      <c r="H146" s="14">
        <f>data!AJ68</f>
        <v>3384156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173</v>
      </c>
      <c r="D147" s="14">
        <f>data!AF69</f>
        <v>0</v>
      </c>
      <c r="E147" s="14">
        <f>data!AG69</f>
        <v>17493</v>
      </c>
      <c r="F147" s="14">
        <f>data!AH69</f>
        <v>0</v>
      </c>
      <c r="G147" s="14">
        <f>data!AI69</f>
        <v>0</v>
      </c>
      <c r="H147" s="14">
        <f>data!AJ69</f>
        <v>716106</v>
      </c>
      <c r="I147" s="14">
        <f>data!AK69</f>
        <v>102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-27524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-3290765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3528432</v>
      </c>
      <c r="D149" s="14">
        <f>data!AF71</f>
        <v>0</v>
      </c>
      <c r="E149" s="14">
        <f>data!AG71</f>
        <v>7989553</v>
      </c>
      <c r="F149" s="14">
        <f>data!AH71</f>
        <v>0</v>
      </c>
      <c r="G149" s="14">
        <f>data!AI71</f>
        <v>0</v>
      </c>
      <c r="H149" s="14">
        <f>data!AJ71</f>
        <v>87822505</v>
      </c>
      <c r="I149" s="14">
        <f>data!AK71</f>
        <v>1709542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2010071</v>
      </c>
      <c r="D151" s="48">
        <f>+data!M697</f>
        <v>0</v>
      </c>
      <c r="E151" s="48">
        <f>+data!M698</f>
        <v>5773738</v>
      </c>
      <c r="F151" s="48">
        <f>+data!M699</f>
        <v>0</v>
      </c>
      <c r="G151" s="48">
        <f>+data!M700</f>
        <v>0</v>
      </c>
      <c r="H151" s="48">
        <f>+data!M701</f>
        <v>21796993</v>
      </c>
      <c r="I151" s="48">
        <f>+data!M702</f>
        <v>697312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3682574</v>
      </c>
      <c r="D152" s="14">
        <f>data!AF73</f>
        <v>0</v>
      </c>
      <c r="E152" s="14">
        <f>data!AG73</f>
        <v>31572930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2373011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3914450</v>
      </c>
      <c r="D153" s="14">
        <f>data!AF74</f>
        <v>0</v>
      </c>
      <c r="E153" s="14">
        <f>data!AG74</f>
        <v>72599471</v>
      </c>
      <c r="F153" s="14">
        <f>data!AH74</f>
        <v>0</v>
      </c>
      <c r="G153" s="14">
        <f>data!AI74</f>
        <v>0</v>
      </c>
      <c r="H153" s="14">
        <f>data!AJ74</f>
        <v>97684624</v>
      </c>
      <c r="I153" s="14">
        <f>data!AK74</f>
        <v>2492696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7597024</v>
      </c>
      <c r="D154" s="14">
        <f>data!AF75</f>
        <v>0</v>
      </c>
      <c r="E154" s="14">
        <f>data!AG75</f>
        <v>104172401</v>
      </c>
      <c r="F154" s="14">
        <f>data!AH75</f>
        <v>0</v>
      </c>
      <c r="G154" s="14">
        <f>data!AI75</f>
        <v>0</v>
      </c>
      <c r="H154" s="14">
        <f>data!AJ75</f>
        <v>97684624</v>
      </c>
      <c r="I154" s="14">
        <f>data!AK75</f>
        <v>4865707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17191</v>
      </c>
      <c r="D156" s="14">
        <f>data!AF76</f>
        <v>0</v>
      </c>
      <c r="E156" s="14">
        <f>data!AG76</f>
        <v>12046</v>
      </c>
      <c r="F156" s="14">
        <f>data!AH76</f>
        <v>0</v>
      </c>
      <c r="G156" s="14">
        <f>data!AI76</f>
        <v>0</v>
      </c>
      <c r="H156" s="14">
        <f>data!AJ76</f>
        <v>80290</v>
      </c>
      <c r="I156" s="14">
        <f>data!AK76</f>
        <v>3224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1978</v>
      </c>
      <c r="D158" s="14">
        <f>data!AF78</f>
        <v>0</v>
      </c>
      <c r="E158" s="14">
        <f>data!AG78</f>
        <v>5739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1536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24802</v>
      </c>
      <c r="D159" s="14">
        <f>data!AF79</f>
        <v>0</v>
      </c>
      <c r="E159" s="14">
        <f>data!AG79</f>
        <v>213319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33.57</v>
      </c>
      <c r="F160" s="26">
        <f>data!AH80</f>
        <v>0</v>
      </c>
      <c r="G160" s="26">
        <f>data!AI80</f>
        <v>0</v>
      </c>
      <c r="H160" s="26">
        <f>data!AJ80</f>
        <v>41.18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UW Medicine/Northwest Hospital &amp;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7269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4.51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403433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97073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1963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1009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-3995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499483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238756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892320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627411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1519731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1299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619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UW Medicine/Northwest Hospital &amp;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193845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33.340000000000003</v>
      </c>
      <c r="G202" s="26">
        <f>data!AW60</f>
        <v>0</v>
      </c>
      <c r="H202" s="26">
        <f>data!AX60</f>
        <v>0</v>
      </c>
      <c r="I202" s="26">
        <f>data!AY60</f>
        <v>21.5696445388438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3266029</v>
      </c>
      <c r="G203" s="14">
        <f>data!AW61</f>
        <v>0</v>
      </c>
      <c r="H203" s="14">
        <f>data!AX61</f>
        <v>0</v>
      </c>
      <c r="I203" s="14">
        <f>data!AY61</f>
        <v>995286.3154979574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757606</v>
      </c>
      <c r="G204" s="14">
        <f>data!AW62</f>
        <v>0</v>
      </c>
      <c r="H204" s="14">
        <f>data!AX62</f>
        <v>0</v>
      </c>
      <c r="I204" s="14">
        <f>data!AY62</f>
        <v>235021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136300</v>
      </c>
      <c r="G205" s="14">
        <f>data!AW63</f>
        <v>0</v>
      </c>
      <c r="H205" s="14">
        <f>data!AX63</f>
        <v>0</v>
      </c>
      <c r="I205" s="14">
        <f>data!AY63</f>
        <v>51.127155209194733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4112698</v>
      </c>
      <c r="G206" s="14">
        <f>data!AW64</f>
        <v>0</v>
      </c>
      <c r="H206" s="14">
        <f>data!AX64</f>
        <v>0</v>
      </c>
      <c r="I206" s="14">
        <f>data!AY64</f>
        <v>362190.18096542824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746</v>
      </c>
      <c r="G207" s="14">
        <f>data!AW65</f>
        <v>0</v>
      </c>
      <c r="H207" s="14">
        <f>data!AX65</f>
        <v>0</v>
      </c>
      <c r="I207" s="14">
        <f>data!AY65</f>
        <v>314.88312649427581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3027019</v>
      </c>
      <c r="G208" s="14">
        <f>data!AW66</f>
        <v>0</v>
      </c>
      <c r="H208" s="14">
        <f>data!AX66</f>
        <v>0</v>
      </c>
      <c r="I208" s="14">
        <f>data!AY66</f>
        <v>39103.852791823047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818586</v>
      </c>
      <c r="G209" s="14">
        <f>data!AW67</f>
        <v>0</v>
      </c>
      <c r="H209" s="14">
        <f>data!AX67</f>
        <v>0</v>
      </c>
      <c r="I209" s="14">
        <f>data!AY67</f>
        <v>32464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631775</v>
      </c>
      <c r="G210" s="14">
        <f>data!AW68</f>
        <v>0</v>
      </c>
      <c r="H210" s="14">
        <f>data!AX68</f>
        <v>0</v>
      </c>
      <c r="I210" s="14">
        <f>data!AY68</f>
        <v>313.68013460700064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11330</v>
      </c>
      <c r="G211" s="14">
        <f>data!AW69</f>
        <v>0</v>
      </c>
      <c r="H211" s="14">
        <f>data!AX69</f>
        <v>0</v>
      </c>
      <c r="I211" s="14">
        <f>data!AY69</f>
        <v>48282.981639704412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-88890</v>
      </c>
      <c r="G212" s="14">
        <f>-data!AW70</f>
        <v>0</v>
      </c>
      <c r="H212" s="14">
        <f>-data!AX70</f>
        <v>0</v>
      </c>
      <c r="I212" s="14">
        <f>-data!AY70</f>
        <v>-606166.25889195909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12673199</v>
      </c>
      <c r="G213" s="14">
        <f>data!AW71</f>
        <v>0</v>
      </c>
      <c r="H213" s="14">
        <f>data!AX71</f>
        <v>0</v>
      </c>
      <c r="I213" s="14">
        <f>data!AY71</f>
        <v>1106861.7624192643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6293211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11865074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50513804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62378878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26450</v>
      </c>
      <c r="G220" s="14">
        <f>data!AW76</f>
        <v>0</v>
      </c>
      <c r="H220" s="14">
        <f>data!AX76</f>
        <v>0</v>
      </c>
      <c r="I220" s="85">
        <f>data!AY76</f>
        <v>4345.2066968379149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6611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110973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48.640000000000008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UW Medicine/Northwest Hospital &amp;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450698</v>
      </c>
      <c r="D233" s="14">
        <f>data!BA59</f>
        <v>0</v>
      </c>
      <c r="E233" s="212"/>
      <c r="F233" s="212"/>
      <c r="G233" s="212"/>
      <c r="H233" s="14">
        <f>data!BE59</f>
        <v>433631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50.150355461156195</v>
      </c>
      <c r="D234" s="26">
        <f>data!BA60</f>
        <v>1.3</v>
      </c>
      <c r="E234" s="26">
        <f>data!BB60</f>
        <v>0</v>
      </c>
      <c r="F234" s="26">
        <f>data!BC60</f>
        <v>0</v>
      </c>
      <c r="G234" s="26">
        <f>data!BD60</f>
        <v>23.63</v>
      </c>
      <c r="H234" s="26">
        <f>data!BE60</f>
        <v>47.68</v>
      </c>
      <c r="I234" s="26">
        <f>data!BF60</f>
        <v>59.93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2314083.6845020428</v>
      </c>
      <c r="D235" s="14">
        <f>data!BA61</f>
        <v>51213</v>
      </c>
      <c r="E235" s="14">
        <f>data!BB61</f>
        <v>0</v>
      </c>
      <c r="F235" s="14">
        <f>data!BC61</f>
        <v>0</v>
      </c>
      <c r="G235" s="14">
        <f>data!BD61</f>
        <v>1283186</v>
      </c>
      <c r="H235" s="14">
        <f>data!BE61</f>
        <v>2971195</v>
      </c>
      <c r="I235" s="14">
        <f>data!BF61</f>
        <v>2525430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546433</v>
      </c>
      <c r="D236" s="14">
        <f>data!BA62</f>
        <v>12308</v>
      </c>
      <c r="E236" s="14">
        <f>data!BB62</f>
        <v>0</v>
      </c>
      <c r="F236" s="14">
        <f>data!BC62</f>
        <v>0</v>
      </c>
      <c r="G236" s="14">
        <f>data!BD62</f>
        <v>300774</v>
      </c>
      <c r="H236" s="14">
        <f>data!BE62</f>
        <v>707514</v>
      </c>
      <c r="I236" s="14">
        <f>data!BF62</f>
        <v>596520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118.87284479080526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14665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842107.81903457176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-333995</v>
      </c>
      <c r="H238" s="14">
        <f>data!BE64</f>
        <v>397540</v>
      </c>
      <c r="I238" s="14">
        <f>data!BF64</f>
        <v>278282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732.11687350572424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1296</v>
      </c>
      <c r="H239" s="14">
        <f>data!BE65</f>
        <v>1745119</v>
      </c>
      <c r="I239" s="14">
        <f>data!BF65</f>
        <v>311633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90918.147208176961</v>
      </c>
      <c r="D240" s="14">
        <f>data!BA66</f>
        <v>-1208</v>
      </c>
      <c r="E240" s="14">
        <f>data!BB66</f>
        <v>0</v>
      </c>
      <c r="F240" s="14">
        <f>data!BC66</f>
        <v>0</v>
      </c>
      <c r="G240" s="14">
        <f>data!BD66</f>
        <v>447898</v>
      </c>
      <c r="H240" s="14">
        <f>data!BE66</f>
        <v>1407667</v>
      </c>
      <c r="I240" s="14">
        <f>data!BF66</f>
        <v>105014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75480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12544</v>
      </c>
      <c r="H241" s="14">
        <f>data!BE67</f>
        <v>2263189</v>
      </c>
      <c r="I241" s="14">
        <f>data!BF67</f>
        <v>1023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729.31986539299942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590291</v>
      </c>
      <c r="H242" s="14">
        <f>data!BE68</f>
        <v>206374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112260.01836029559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69551</v>
      </c>
      <c r="H243" s="14">
        <f>data!BE69</f>
        <v>508335</v>
      </c>
      <c r="I243" s="14">
        <f>data!BF69</f>
        <v>460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-1409362.7411080408</v>
      </c>
      <c r="D244" s="14">
        <f>-data!BA70</f>
        <v>-1825</v>
      </c>
      <c r="E244" s="14">
        <f>-data!BB70</f>
        <v>0</v>
      </c>
      <c r="F244" s="14">
        <f>-data!BC70</f>
        <v>0</v>
      </c>
      <c r="G244" s="14">
        <f>-data!BD70</f>
        <v>-5415</v>
      </c>
      <c r="H244" s="14">
        <f>-data!BE70</f>
        <v>-2355913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2573500.2375807357</v>
      </c>
      <c r="D245" s="14">
        <f>data!BA71</f>
        <v>60488</v>
      </c>
      <c r="E245" s="14">
        <f>data!BB71</f>
        <v>0</v>
      </c>
      <c r="F245" s="14">
        <f>data!BC71</f>
        <v>0</v>
      </c>
      <c r="G245" s="14">
        <f>data!BD71</f>
        <v>2366130</v>
      </c>
      <c r="H245" s="14">
        <f>data!BE71</f>
        <v>7851020</v>
      </c>
      <c r="I245" s="14">
        <f>data!BF71</f>
        <v>3833027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10102.793303162085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4643</v>
      </c>
      <c r="H252" s="85">
        <f>data!BE76</f>
        <v>8217</v>
      </c>
      <c r="I252" s="85">
        <f>data!BF76</f>
        <v>4126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UW Medicine/Northwest Hospital &amp;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8.32</v>
      </c>
      <c r="E266" s="26">
        <f>data!BI60</f>
        <v>0</v>
      </c>
      <c r="F266" s="26">
        <f>data!BJ60</f>
        <v>12.99</v>
      </c>
      <c r="G266" s="26">
        <f>data!BK60</f>
        <v>29.92</v>
      </c>
      <c r="H266" s="26">
        <f>data!BL60</f>
        <v>77.03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1095656</v>
      </c>
      <c r="E267" s="14">
        <f>data!BI61</f>
        <v>0</v>
      </c>
      <c r="F267" s="14">
        <f>data!BJ61</f>
        <v>979123</v>
      </c>
      <c r="G267" s="14">
        <f>data!BK61</f>
        <v>1560611</v>
      </c>
      <c r="H267" s="14">
        <f>data!BL61</f>
        <v>3703241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224538</v>
      </c>
      <c r="E268" s="14">
        <f>data!BI62</f>
        <v>0</v>
      </c>
      <c r="F268" s="14">
        <f>data!BJ62</f>
        <v>212853</v>
      </c>
      <c r="G268" s="14">
        <f>data!BK62</f>
        <v>358778</v>
      </c>
      <c r="H268" s="14">
        <f>data!BL62</f>
        <v>888754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124058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17673</v>
      </c>
      <c r="E270" s="14">
        <f>data!BI64</f>
        <v>0</v>
      </c>
      <c r="F270" s="14">
        <f>data!BJ64</f>
        <v>4818</v>
      </c>
      <c r="G270" s="14">
        <f>data!BK64</f>
        <v>23103</v>
      </c>
      <c r="H270" s="14">
        <f>data!BL64</f>
        <v>93331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257251</v>
      </c>
      <c r="E271" s="14">
        <f>data!BI65</f>
        <v>0</v>
      </c>
      <c r="F271" s="14">
        <f>data!BJ65</f>
        <v>0</v>
      </c>
      <c r="G271" s="14">
        <f>data!BK65</f>
        <v>6629</v>
      </c>
      <c r="H271" s="14">
        <f>data!BL65</f>
        <v>705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3374061</v>
      </c>
      <c r="E272" s="14">
        <f>data!BI66</f>
        <v>0</v>
      </c>
      <c r="F272" s="14">
        <f>data!BJ66</f>
        <v>77644</v>
      </c>
      <c r="G272" s="14">
        <f>data!BK66</f>
        <v>601119</v>
      </c>
      <c r="H272" s="14">
        <f>data!BL66</f>
        <v>96444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2886367</v>
      </c>
      <c r="E273" s="14">
        <f>data!BI67</f>
        <v>0</v>
      </c>
      <c r="F273" s="14">
        <f>data!BJ67</f>
        <v>4062</v>
      </c>
      <c r="G273" s="14">
        <f>data!BK67</f>
        <v>1775</v>
      </c>
      <c r="H273" s="14">
        <f>data!BL67</f>
        <v>1510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467018</v>
      </c>
      <c r="E274" s="14">
        <f>data!BI68</f>
        <v>0</v>
      </c>
      <c r="F274" s="14">
        <f>data!BJ68</f>
        <v>0</v>
      </c>
      <c r="G274" s="14">
        <f>data!BK68</f>
        <v>384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3832</v>
      </c>
      <c r="E275" s="14">
        <f>data!BI69</f>
        <v>0</v>
      </c>
      <c r="F275" s="14">
        <f>data!BJ69</f>
        <v>11109</v>
      </c>
      <c r="G275" s="14">
        <f>data!BK69</f>
        <v>1900</v>
      </c>
      <c r="H275" s="14">
        <f>data!BL69</f>
        <v>1095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41448</v>
      </c>
      <c r="E276" s="14">
        <f>-data!BI70</f>
        <v>0</v>
      </c>
      <c r="F276" s="14">
        <f>-data!BJ70</f>
        <v>-51200</v>
      </c>
      <c r="G276" s="14">
        <f>-data!BK70</f>
        <v>-37252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8367844</v>
      </c>
      <c r="E277" s="14">
        <f>data!BI71</f>
        <v>0</v>
      </c>
      <c r="F277" s="14">
        <f>data!BJ71</f>
        <v>1238409</v>
      </c>
      <c r="G277" s="14">
        <f>data!BK71</f>
        <v>2641105</v>
      </c>
      <c r="H277" s="14">
        <f>data!BL71</f>
        <v>4785080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15291</v>
      </c>
      <c r="E284" s="85">
        <f>data!BI76</f>
        <v>0</v>
      </c>
      <c r="F284" s="85">
        <f>data!BJ76</f>
        <v>0</v>
      </c>
      <c r="G284" s="85">
        <f>data!BK76</f>
        <v>5123</v>
      </c>
      <c r="H284" s="85">
        <f>data!BL76</f>
        <v>9038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1771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1859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UW Medicine/Northwest Hospital &amp;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12.11</v>
      </c>
      <c r="D298" s="26">
        <f>data!BO60</f>
        <v>2.11</v>
      </c>
      <c r="E298" s="26">
        <f>data!BP60</f>
        <v>0.04</v>
      </c>
      <c r="F298" s="26">
        <f>data!BQ60</f>
        <v>0</v>
      </c>
      <c r="G298" s="26">
        <f>data!BR60</f>
        <v>17.78</v>
      </c>
      <c r="H298" s="26">
        <f>data!BS60</f>
        <v>1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2215034</v>
      </c>
      <c r="D299" s="14">
        <f>data!BO61</f>
        <v>328593</v>
      </c>
      <c r="E299" s="14">
        <f>data!BP61</f>
        <v>1475419</v>
      </c>
      <c r="F299" s="14">
        <f>data!BQ61</f>
        <v>0</v>
      </c>
      <c r="G299" s="14">
        <f>data!BR61</f>
        <v>1646596</v>
      </c>
      <c r="H299" s="14">
        <f>data!BS61</f>
        <v>66472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442145</v>
      </c>
      <c r="D300" s="14">
        <f>data!BO62</f>
        <v>64344</v>
      </c>
      <c r="E300" s="14">
        <f>data!BP62</f>
        <v>309299</v>
      </c>
      <c r="F300" s="14">
        <f>data!BQ62</f>
        <v>0</v>
      </c>
      <c r="G300" s="14">
        <f>data!BR62</f>
        <v>1174301</v>
      </c>
      <c r="H300" s="14">
        <f>data!BS62</f>
        <v>16000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1009255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33235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61253</v>
      </c>
      <c r="D302" s="14">
        <f>data!BO64</f>
        <v>29077</v>
      </c>
      <c r="E302" s="14">
        <f>data!BP64</f>
        <v>66045</v>
      </c>
      <c r="F302" s="14">
        <f>data!BQ64</f>
        <v>0</v>
      </c>
      <c r="G302" s="14">
        <f>data!BR64</f>
        <v>11097</v>
      </c>
      <c r="H302" s="14">
        <f>data!BS64</f>
        <v>1397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4938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29599456</v>
      </c>
      <c r="D304" s="14">
        <f>data!BO66</f>
        <v>50438</v>
      </c>
      <c r="E304" s="14">
        <f>data!BP66</f>
        <v>73327</v>
      </c>
      <c r="F304" s="14">
        <f>data!BQ66</f>
        <v>0</v>
      </c>
      <c r="G304" s="14">
        <f>data!BR66</f>
        <v>339652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23409</v>
      </c>
      <c r="D305" s="14">
        <f>data!BO67</f>
        <v>0</v>
      </c>
      <c r="E305" s="14">
        <f>data!BP67</f>
        <v>115515</v>
      </c>
      <c r="F305" s="14">
        <f>data!BQ67</f>
        <v>0</v>
      </c>
      <c r="G305" s="14">
        <f>data!BR67</f>
        <v>0</v>
      </c>
      <c r="H305" s="14">
        <f>data!BS67</f>
        <v>225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87772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543227</v>
      </c>
      <c r="D307" s="14">
        <f>data!BO69</f>
        <v>431</v>
      </c>
      <c r="E307" s="14">
        <f>data!BP69</f>
        <v>132</v>
      </c>
      <c r="F307" s="14">
        <f>data!BQ69</f>
        <v>0</v>
      </c>
      <c r="G307" s="14">
        <f>data!BR69</f>
        <v>326027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-197933</v>
      </c>
      <c r="D308" s="14">
        <f>-data!BO70</f>
        <v>0</v>
      </c>
      <c r="E308" s="14">
        <f>-data!BP70</f>
        <v>-22708</v>
      </c>
      <c r="F308" s="14">
        <f>-data!BQ70</f>
        <v>0</v>
      </c>
      <c r="G308" s="14">
        <f>-data!BR70</f>
        <v>-2957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33700784</v>
      </c>
      <c r="D309" s="14">
        <f>data!BO71</f>
        <v>472883</v>
      </c>
      <c r="E309" s="14">
        <f>data!BP71</f>
        <v>2017029</v>
      </c>
      <c r="F309" s="14">
        <f>data!BQ71</f>
        <v>0</v>
      </c>
      <c r="G309" s="14">
        <f>data!BR71</f>
        <v>3615723</v>
      </c>
      <c r="H309" s="14">
        <f>data!BS71</f>
        <v>84094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1475</v>
      </c>
      <c r="D316" s="85">
        <f>data!BO76</f>
        <v>0</v>
      </c>
      <c r="E316" s="85">
        <f>data!BP76</f>
        <v>2679</v>
      </c>
      <c r="F316" s="85">
        <f>data!BQ76</f>
        <v>0</v>
      </c>
      <c r="G316" s="85">
        <f>data!BR76</f>
        <v>3756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UW Medicine/Northwest Hospital &amp;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36.130000000000003</v>
      </c>
      <c r="E330" s="26">
        <f>data!BW60</f>
        <v>5.67</v>
      </c>
      <c r="F330" s="26">
        <f>data!BX60</f>
        <v>46.26</v>
      </c>
      <c r="G330" s="26">
        <f>data!BY60</f>
        <v>11.67</v>
      </c>
      <c r="H330" s="26">
        <f>data!BZ60</f>
        <v>0</v>
      </c>
      <c r="I330" s="26">
        <f>data!CA60</f>
        <v>25.93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2104778</v>
      </c>
      <c r="E331" s="86">
        <f>data!BW61</f>
        <v>634125</v>
      </c>
      <c r="F331" s="86">
        <f>data!BX61</f>
        <v>4276118</v>
      </c>
      <c r="G331" s="86">
        <f>data!BY61</f>
        <v>1022779</v>
      </c>
      <c r="H331" s="86">
        <f>data!BZ61</f>
        <v>0</v>
      </c>
      <c r="I331" s="86">
        <f>data!CA61</f>
        <v>1389101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494069</v>
      </c>
      <c r="E332" s="86">
        <f>data!BW62</f>
        <v>142202</v>
      </c>
      <c r="F332" s="86">
        <f>data!BX62</f>
        <v>1013728</v>
      </c>
      <c r="G332" s="86">
        <f>data!BY62</f>
        <v>245911</v>
      </c>
      <c r="H332" s="86">
        <f>data!BZ62</f>
        <v>0</v>
      </c>
      <c r="I332" s="86">
        <f>data!CA62</f>
        <v>313381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61284</v>
      </c>
      <c r="F333" s="86">
        <f>data!BX63</f>
        <v>160427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15455</v>
      </c>
      <c r="E334" s="86">
        <f>data!BW64</f>
        <v>2604</v>
      </c>
      <c r="F334" s="86">
        <f>data!BX64</f>
        <v>15071</v>
      </c>
      <c r="G334" s="86">
        <f>data!BY64</f>
        <v>10468</v>
      </c>
      <c r="H334" s="86">
        <f>data!BZ64</f>
        <v>0</v>
      </c>
      <c r="I334" s="86">
        <f>data!CA64</f>
        <v>43737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489</v>
      </c>
      <c r="E335" s="86">
        <f>data!BW65</f>
        <v>0</v>
      </c>
      <c r="F335" s="86">
        <f>data!BX65</f>
        <v>0</v>
      </c>
      <c r="G335" s="86">
        <f>data!BY65</f>
        <v>2745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839102</v>
      </c>
      <c r="E336" s="86">
        <f>data!BW66</f>
        <v>183314</v>
      </c>
      <c r="F336" s="86">
        <f>data!BX66</f>
        <v>944956</v>
      </c>
      <c r="G336" s="86">
        <f>data!BY66</f>
        <v>264983</v>
      </c>
      <c r="H336" s="86">
        <f>data!BZ66</f>
        <v>0</v>
      </c>
      <c r="I336" s="86">
        <f>data!CA66</f>
        <v>2153176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8954</v>
      </c>
      <c r="E337" s="86">
        <f>data!BW67</f>
        <v>0</v>
      </c>
      <c r="F337" s="86">
        <f>data!BX67</f>
        <v>0</v>
      </c>
      <c r="G337" s="86">
        <f>data!BY67</f>
        <v>248170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3100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5397</v>
      </c>
      <c r="E339" s="86">
        <f>data!BW69</f>
        <v>119186</v>
      </c>
      <c r="F339" s="86">
        <f>data!BX69</f>
        <v>4945</v>
      </c>
      <c r="G339" s="86">
        <f>data!BY69</f>
        <v>16539</v>
      </c>
      <c r="H339" s="86">
        <f>data!BZ69</f>
        <v>0</v>
      </c>
      <c r="I339" s="86">
        <f>data!CA69</f>
        <v>13874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-32385</v>
      </c>
      <c r="E340" s="14">
        <f>-data!BW70</f>
        <v>101</v>
      </c>
      <c r="F340" s="14">
        <f>-data!BX70</f>
        <v>0</v>
      </c>
      <c r="G340" s="14">
        <f>-data!BY70</f>
        <v>-79619</v>
      </c>
      <c r="H340" s="14">
        <f>-data!BZ70</f>
        <v>0</v>
      </c>
      <c r="I340" s="14">
        <f>-data!CA70</f>
        <v>-7895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3435859</v>
      </c>
      <c r="E341" s="14">
        <f>data!BW71</f>
        <v>1142816</v>
      </c>
      <c r="F341" s="14">
        <f>data!BX71</f>
        <v>6418345</v>
      </c>
      <c r="G341" s="14">
        <f>data!BY71</f>
        <v>1731976</v>
      </c>
      <c r="H341" s="14">
        <f>data!BZ71</f>
        <v>0</v>
      </c>
      <c r="I341" s="14">
        <f>data!CA71</f>
        <v>3905374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5499</v>
      </c>
      <c r="E348" s="85">
        <f>data!BW76</f>
        <v>2275</v>
      </c>
      <c r="F348" s="85">
        <f>data!BX76</f>
        <v>3871</v>
      </c>
      <c r="G348" s="85">
        <f>data!BY76</f>
        <v>984</v>
      </c>
      <c r="H348" s="85">
        <f>data!BZ76</f>
        <v>0</v>
      </c>
      <c r="I348" s="85">
        <f>data!CA76</f>
        <v>5894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2620</v>
      </c>
      <c r="E350" s="85">
        <f>data!BW78</f>
        <v>1084</v>
      </c>
      <c r="F350" s="85">
        <f>data!BX78</f>
        <v>1206</v>
      </c>
      <c r="G350" s="85">
        <f>data!BY78</f>
        <v>469</v>
      </c>
      <c r="H350" s="85">
        <f>data!BZ78</f>
        <v>0</v>
      </c>
      <c r="I350" s="85">
        <f>data!CA78</f>
        <v>2808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UW Medicine/Northwest Hospital &amp;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26.47</v>
      </c>
      <c r="E362" s="217"/>
      <c r="F362" s="211"/>
      <c r="G362" s="211"/>
      <c r="H362" s="211"/>
      <c r="I362" s="87">
        <f>data!CE60</f>
        <v>1916.1799999999998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1585372</v>
      </c>
      <c r="E363" s="218"/>
      <c r="F363" s="219"/>
      <c r="G363" s="219"/>
      <c r="H363" s="219"/>
      <c r="I363" s="86">
        <f>data!CE61</f>
        <v>163916586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153476</v>
      </c>
      <c r="E364" s="218"/>
      <c r="F364" s="219"/>
      <c r="G364" s="219"/>
      <c r="H364" s="219"/>
      <c r="I364" s="86">
        <f>data!CE62</f>
        <v>35487810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6993</v>
      </c>
      <c r="E365" s="218"/>
      <c r="F365" s="219"/>
      <c r="G365" s="219"/>
      <c r="H365" s="219"/>
      <c r="I365" s="86">
        <f>data!CE63</f>
        <v>14571758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1025027</v>
      </c>
      <c r="E366" s="218"/>
      <c r="F366" s="219"/>
      <c r="G366" s="219"/>
      <c r="H366" s="219"/>
      <c r="I366" s="86">
        <f>data!CE64</f>
        <v>66341445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812021</v>
      </c>
      <c r="E367" s="218"/>
      <c r="F367" s="219"/>
      <c r="G367" s="219"/>
      <c r="H367" s="219"/>
      <c r="I367" s="86">
        <f>data!CE65</f>
        <v>3382844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1505162</v>
      </c>
      <c r="E368" s="218"/>
      <c r="F368" s="219"/>
      <c r="G368" s="219"/>
      <c r="H368" s="219"/>
      <c r="I368" s="86">
        <f>data!CE66</f>
        <v>62823676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2728576</v>
      </c>
      <c r="E369" s="218"/>
      <c r="F369" s="219"/>
      <c r="G369" s="219"/>
      <c r="H369" s="219"/>
      <c r="I369" s="86">
        <f>data!CE67</f>
        <v>16197588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1575145</v>
      </c>
      <c r="E370" s="218"/>
      <c r="F370" s="219"/>
      <c r="G370" s="219"/>
      <c r="H370" s="219"/>
      <c r="I370" s="86">
        <f>data!CE68</f>
        <v>9862983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21672</v>
      </c>
      <c r="E371" s="86">
        <f>data!CD69</f>
        <v>16759283</v>
      </c>
      <c r="F371" s="219"/>
      <c r="G371" s="219"/>
      <c r="H371" s="219"/>
      <c r="I371" s="86">
        <f>data!CE69</f>
        <v>19389762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-5939851</v>
      </c>
      <c r="E372" s="229">
        <f>data!CD70</f>
        <v>0</v>
      </c>
      <c r="F372" s="220"/>
      <c r="G372" s="220"/>
      <c r="H372" s="220"/>
      <c r="I372" s="14">
        <f>-data!CE70</f>
        <v>-15157690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3473593</v>
      </c>
      <c r="E373" s="86">
        <f>data!CD71</f>
        <v>16759283</v>
      </c>
      <c r="F373" s="219"/>
      <c r="G373" s="219"/>
      <c r="H373" s="219"/>
      <c r="I373" s="14">
        <f>data!CE71</f>
        <v>376816762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522972486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675704638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1198677124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1697</v>
      </c>
      <c r="E380" s="214"/>
      <c r="F380" s="211"/>
      <c r="G380" s="211"/>
      <c r="H380" s="211"/>
      <c r="I380" s="14">
        <f>data!CE76</f>
        <v>433631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193845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107186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2291715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571.91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UW Medicine/Northwest Hospital Year End Report</dc:title>
  <dc:subject>2018 UW Medicine/Northwest Hospital Year End Report</dc:subject>
  <dc:creator>Washington State Dept of Health - HSQA - Community Health Systems</dc:creator>
  <cp:keywords>hospital financial reports</cp:keywords>
  <cp:lastModifiedBy>Huyck, Randall  (DOH)</cp:lastModifiedBy>
  <cp:lastPrinted>2018-10-24T23:08:45Z</cp:lastPrinted>
  <dcterms:created xsi:type="dcterms:W3CDTF">1999-06-02T22:01:56Z</dcterms:created>
  <dcterms:modified xsi:type="dcterms:W3CDTF">2018-11-30T16:10:54Z</dcterms:modified>
</cp:coreProperties>
</file>