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P70" i="1" l="1"/>
  <c r="AP59" i="1"/>
  <c r="AJ74" i="10" l="1"/>
  <c r="V74" i="10"/>
  <c r="AJ73" i="10"/>
  <c r="V73" i="10"/>
  <c r="AJ69" i="10"/>
  <c r="AJ66" i="10"/>
  <c r="V66" i="10"/>
  <c r="AJ65" i="10"/>
  <c r="AJ64" i="10"/>
  <c r="V64" i="10"/>
  <c r="AJ63" i="10"/>
  <c r="AJ61" i="10"/>
  <c r="V61" i="10"/>
  <c r="AJ60" i="10"/>
  <c r="V60" i="10"/>
  <c r="AJ51" i="10"/>
  <c r="V51" i="10"/>
  <c r="AJ47" i="10"/>
  <c r="V47" i="10"/>
  <c r="AJ74" i="1"/>
  <c r="V74" i="1"/>
  <c r="AJ73" i="1"/>
  <c r="V73" i="1"/>
  <c r="AJ70" i="1"/>
  <c r="AJ69" i="1"/>
  <c r="AJ66" i="1"/>
  <c r="V66" i="1"/>
  <c r="AJ65" i="1"/>
  <c r="AJ64" i="1"/>
  <c r="V64" i="1"/>
  <c r="AJ63" i="1"/>
  <c r="AJ61" i="1"/>
  <c r="V61" i="1"/>
  <c r="AJ60" i="1"/>
  <c r="V60" i="1"/>
  <c r="AJ51" i="1"/>
  <c r="V51" i="1"/>
  <c r="AJ47" i="1"/>
  <c r="V47" i="1"/>
  <c r="C364" i="1" l="1"/>
  <c r="C392" i="1"/>
  <c r="C389" i="1"/>
  <c r="C327" i="1"/>
  <c r="C325" i="1"/>
  <c r="C288" i="1"/>
  <c r="C269" i="1"/>
  <c r="C197" i="1"/>
  <c r="C253" i="1"/>
  <c r="C226" i="1"/>
  <c r="C224" i="1"/>
  <c r="C203" i="1" l="1"/>
  <c r="C200" i="1"/>
  <c r="B197" i="1"/>
  <c r="C188" i="1" l="1"/>
  <c r="C180" i="1" l="1"/>
  <c r="C179" i="1"/>
  <c r="C176" i="1"/>
  <c r="C175" i="1"/>
  <c r="C171" i="1"/>
  <c r="C170" i="1"/>
  <c r="C169" i="1"/>
  <c r="C168" i="1"/>
  <c r="C167" i="1"/>
  <c r="C166" i="1"/>
  <c r="C165" i="1"/>
  <c r="D142" i="1"/>
  <c r="D141" i="1"/>
  <c r="D139" i="1"/>
  <c r="D138" i="1"/>
  <c r="AJ80" i="1" l="1"/>
  <c r="AG80" i="1"/>
  <c r="AC80" i="1"/>
  <c r="Z80" i="1"/>
  <c r="AA80" i="1"/>
  <c r="Y80" i="1"/>
  <c r="R80" i="1"/>
  <c r="CC76" i="1" l="1"/>
  <c r="CB76" i="1"/>
  <c r="BS76" i="1"/>
  <c r="BN76" i="1"/>
  <c r="BL76" i="1"/>
  <c r="BH76" i="1"/>
  <c r="BF76" i="1"/>
  <c r="BE76" i="1"/>
  <c r="AP76" i="1"/>
  <c r="AJ76" i="1"/>
  <c r="AC76" i="1"/>
  <c r="AB76" i="1"/>
  <c r="Y76" i="1"/>
  <c r="U76" i="1"/>
  <c r="E76" i="1"/>
  <c r="U74" i="1"/>
  <c r="AV74" i="1"/>
  <c r="AP74" i="1"/>
  <c r="AH74" i="1"/>
  <c r="AG74" i="1"/>
  <c r="AE74" i="1"/>
  <c r="AL74" i="1"/>
  <c r="AC74" i="1"/>
  <c r="AI74" i="1"/>
  <c r="Z74" i="1"/>
  <c r="AB74" i="1"/>
  <c r="Y74" i="1"/>
  <c r="AA74" i="1"/>
  <c r="W74" i="1"/>
  <c r="X74" i="1"/>
  <c r="O74" i="1"/>
  <c r="R74" i="1"/>
  <c r="Q74" i="1"/>
  <c r="P74" i="1"/>
  <c r="E74" i="1"/>
  <c r="U73" i="1"/>
  <c r="AG73" i="1"/>
  <c r="AL73" i="1"/>
  <c r="AC73" i="1"/>
  <c r="Z73" i="1"/>
  <c r="AB73" i="1"/>
  <c r="Y73" i="1"/>
  <c r="AA73" i="1"/>
  <c r="W73" i="1"/>
  <c r="X73" i="1"/>
  <c r="O73" i="1"/>
  <c r="R73" i="1"/>
  <c r="Q73" i="1"/>
  <c r="P73" i="1"/>
  <c r="E73" i="1"/>
  <c r="C73" i="1"/>
  <c r="CB70" i="1" l="1"/>
  <c r="AV70" i="1"/>
  <c r="AE70" i="1"/>
  <c r="AA70" i="1"/>
  <c r="BD70" i="1"/>
  <c r="BL70" i="1"/>
  <c r="BE70" i="1"/>
  <c r="AB70" i="1"/>
  <c r="CC70" i="1"/>
  <c r="BT70" i="1"/>
  <c r="BK70" i="1"/>
  <c r="BF70" i="1"/>
  <c r="BJ70" i="1"/>
  <c r="AY70" i="1"/>
  <c r="AC70" i="1"/>
  <c r="AG70" i="1"/>
  <c r="AI70" i="1"/>
  <c r="BY70" i="1"/>
  <c r="Z70" i="1"/>
  <c r="P70" i="1"/>
  <c r="C70" i="1"/>
  <c r="E70" i="1"/>
  <c r="CC69" i="1"/>
  <c r="CB69" i="1"/>
  <c r="BY69" i="1"/>
  <c r="BX69" i="1"/>
  <c r="BW69" i="1"/>
  <c r="BT69" i="1"/>
  <c r="BS69" i="1"/>
  <c r="BR69" i="1"/>
  <c r="BP69" i="1"/>
  <c r="BN69" i="1"/>
  <c r="BL69" i="1"/>
  <c r="BH69" i="1"/>
  <c r="BK69" i="1"/>
  <c r="BJ69" i="1"/>
  <c r="BF69" i="1"/>
  <c r="BE69" i="1"/>
  <c r="BD69" i="1"/>
  <c r="AY69" i="1"/>
  <c r="AH69" i="1"/>
  <c r="AG69" i="1"/>
  <c r="AL69" i="1"/>
  <c r="AC69" i="1"/>
  <c r="AE69" i="1"/>
  <c r="AI69" i="1"/>
  <c r="Z69" i="1"/>
  <c r="AB69" i="1"/>
  <c r="Y69" i="1"/>
  <c r="U69" i="1"/>
  <c r="S69" i="1"/>
  <c r="Q69" i="1"/>
  <c r="P69" i="1"/>
  <c r="AP69" i="1"/>
  <c r="O69" i="1"/>
  <c r="BN68" i="1"/>
  <c r="BH68" i="1"/>
  <c r="AJ68" i="1"/>
  <c r="BE68" i="1"/>
  <c r="AE68" i="1"/>
  <c r="AI68" i="1"/>
  <c r="AC68" i="1"/>
  <c r="U68" i="1"/>
  <c r="P68" i="1"/>
  <c r="E68" i="1"/>
  <c r="CC66" i="1"/>
  <c r="BY66" i="1"/>
  <c r="BX66" i="1"/>
  <c r="BV66" i="1"/>
  <c r="BR66" i="1"/>
  <c r="BP66" i="1"/>
  <c r="BO66" i="1"/>
  <c r="BN66" i="1"/>
  <c r="BL66" i="1"/>
  <c r="BH66" i="1"/>
  <c r="BK66" i="1"/>
  <c r="BJ66" i="1"/>
  <c r="BF66" i="1"/>
  <c r="BE66" i="1"/>
  <c r="BD66" i="1"/>
  <c r="BA66" i="1"/>
  <c r="AY66" i="1"/>
  <c r="AX66" i="1"/>
  <c r="AH66" i="1"/>
  <c r="AG66" i="1"/>
  <c r="AC66" i="1"/>
  <c r="AI66" i="1"/>
  <c r="Z66" i="1"/>
  <c r="AB66" i="1"/>
  <c r="Y66" i="1"/>
  <c r="W66" i="1"/>
  <c r="AA66" i="1"/>
  <c r="X66" i="1"/>
  <c r="U66" i="1"/>
  <c r="S66" i="1"/>
  <c r="R66" i="1"/>
  <c r="Q66" i="1"/>
  <c r="P66" i="1"/>
  <c r="AP66" i="1"/>
  <c r="CC65" i="1"/>
  <c r="BY65" i="1"/>
  <c r="BX65" i="1"/>
  <c r="BT65" i="1"/>
  <c r="BN65" i="1"/>
  <c r="BL65" i="1"/>
  <c r="BH65" i="1"/>
  <c r="BF65" i="1"/>
  <c r="BE65" i="1"/>
  <c r="BD65" i="1"/>
  <c r="AY65" i="1"/>
  <c r="AH65" i="1"/>
  <c r="AG65" i="1"/>
  <c r="AE65" i="1"/>
  <c r="AI65" i="1"/>
  <c r="AC65" i="1"/>
  <c r="AB65" i="1"/>
  <c r="Y65" i="1"/>
  <c r="X65" i="1"/>
  <c r="P65" i="1"/>
  <c r="AP65" i="1"/>
  <c r="E65" i="1"/>
  <c r="CB64" i="1" l="1"/>
  <c r="CC64" i="1"/>
  <c r="AP64" i="1"/>
  <c r="BY64" i="1"/>
  <c r="BX64" i="1"/>
  <c r="BW64" i="1"/>
  <c r="BV64" i="1"/>
  <c r="BT64" i="1"/>
  <c r="BS64" i="1"/>
  <c r="BR64" i="1"/>
  <c r="BP64" i="1"/>
  <c r="BO64" i="1"/>
  <c r="BN64" i="1"/>
  <c r="BL64" i="1"/>
  <c r="BH64" i="1"/>
  <c r="BK64" i="1"/>
  <c r="BJ64" i="1"/>
  <c r="BF64" i="1"/>
  <c r="BE64" i="1"/>
  <c r="BD64" i="1"/>
  <c r="AY64" i="1"/>
  <c r="AR64" i="1"/>
  <c r="AH64" i="1"/>
  <c r="AG64" i="1"/>
  <c r="AL64" i="1"/>
  <c r="AC64" i="1"/>
  <c r="AE64" i="1"/>
  <c r="AI64" i="1"/>
  <c r="Z64" i="1"/>
  <c r="AB64" i="1"/>
  <c r="Y64" i="1"/>
  <c r="W64" i="1"/>
  <c r="AA64" i="1"/>
  <c r="U64" i="1"/>
  <c r="S64" i="1"/>
  <c r="R64" i="1"/>
  <c r="Q64" i="1"/>
  <c r="P64" i="1"/>
  <c r="O64" i="1"/>
  <c r="J64" i="1"/>
  <c r="E64" i="1"/>
  <c r="AG63" i="1" l="1"/>
  <c r="CC63" i="1"/>
  <c r="CB63" i="1"/>
  <c r="BY63" i="1"/>
  <c r="BX63" i="1"/>
  <c r="BR63" i="1"/>
  <c r="BP63" i="1"/>
  <c r="BN63" i="1"/>
  <c r="BL63" i="1"/>
  <c r="BK63" i="1"/>
  <c r="BJ63" i="1"/>
  <c r="AY63" i="1"/>
  <c r="U63" i="1"/>
  <c r="AE63" i="1"/>
  <c r="AI63" i="1"/>
  <c r="Z63" i="1"/>
  <c r="AA63" i="1"/>
  <c r="Y63" i="1"/>
  <c r="O63" i="1"/>
  <c r="P63" i="1"/>
  <c r="E63" i="1"/>
  <c r="CC61" i="1"/>
  <c r="CB61" i="1"/>
  <c r="AP61" i="1"/>
  <c r="BY61" i="1"/>
  <c r="BR61" i="1"/>
  <c r="BP61" i="1"/>
  <c r="BO61" i="1"/>
  <c r="BN61" i="1"/>
  <c r="BL61" i="1"/>
  <c r="BH61" i="1"/>
  <c r="BK61" i="1"/>
  <c r="BF61" i="1"/>
  <c r="BE61" i="1"/>
  <c r="AH61" i="1"/>
  <c r="AG61" i="1"/>
  <c r="AL61" i="1"/>
  <c r="AC61" i="1"/>
  <c r="AE61" i="1"/>
  <c r="AI61" i="1"/>
  <c r="Z61" i="1"/>
  <c r="AB61" i="1"/>
  <c r="W61" i="1"/>
  <c r="Y61" i="1"/>
  <c r="AA61" i="1"/>
  <c r="X61" i="1"/>
  <c r="U61" i="1"/>
  <c r="S61" i="1"/>
  <c r="R61" i="1"/>
  <c r="Q61" i="1"/>
  <c r="P61" i="1"/>
  <c r="CC60" i="1"/>
  <c r="AP60" i="1"/>
  <c r="BY60" i="1"/>
  <c r="BX60" i="1"/>
  <c r="BU60" i="1"/>
  <c r="BT60" i="1"/>
  <c r="BS60" i="1"/>
  <c r="BR60" i="1"/>
  <c r="BP60" i="1"/>
  <c r="BO60" i="1"/>
  <c r="BL60" i="1"/>
  <c r="BH60" i="1"/>
  <c r="BK60" i="1"/>
  <c r="BJ60" i="1"/>
  <c r="BF60" i="1"/>
  <c r="BE60" i="1"/>
  <c r="BD60" i="1"/>
  <c r="AY60" i="1"/>
  <c r="AH60" i="1"/>
  <c r="AG60" i="1"/>
  <c r="AL60" i="1"/>
  <c r="AC60" i="1"/>
  <c r="AE60" i="1"/>
  <c r="AI60" i="1"/>
  <c r="Z60" i="1"/>
  <c r="W60" i="1"/>
  <c r="Y60" i="1"/>
  <c r="AA60" i="1"/>
  <c r="X60" i="1"/>
  <c r="U60" i="1"/>
  <c r="S60" i="1"/>
  <c r="R60" i="1"/>
  <c r="Q60" i="1"/>
  <c r="P60" i="1"/>
  <c r="O60" i="1"/>
  <c r="AC59" i="1"/>
  <c r="B139" i="1"/>
  <c r="B138" i="1"/>
  <c r="AJ59" i="1"/>
  <c r="AE59" i="1"/>
  <c r="E59" i="1"/>
  <c r="O59" i="1"/>
  <c r="Y59" i="1"/>
  <c r="CC51" i="1"/>
  <c r="BY51" i="1"/>
  <c r="BX51" i="1"/>
  <c r="BV51" i="1"/>
  <c r="BN51" i="1"/>
  <c r="BL51" i="1"/>
  <c r="BH51" i="1"/>
  <c r="BK51" i="1"/>
  <c r="BJ51" i="1"/>
  <c r="BF51" i="1"/>
  <c r="BE51" i="1"/>
  <c r="BD51" i="1"/>
  <c r="AY51" i="1"/>
  <c r="AH51" i="1"/>
  <c r="AG51" i="1"/>
  <c r="AL51" i="1"/>
  <c r="AC51" i="1"/>
  <c r="AE51" i="1"/>
  <c r="AI51" i="1"/>
  <c r="Z51" i="1"/>
  <c r="AB51" i="1"/>
  <c r="W51" i="1"/>
  <c r="Y51" i="1"/>
  <c r="AA51" i="1"/>
  <c r="X51" i="1"/>
  <c r="U51" i="1"/>
  <c r="S51" i="1"/>
  <c r="R51" i="1"/>
  <c r="Q51" i="1"/>
  <c r="P51" i="1"/>
  <c r="O51" i="1"/>
  <c r="C51" i="1"/>
  <c r="CC47" i="1" l="1"/>
  <c r="BH47" i="1"/>
  <c r="CB47" i="1"/>
  <c r="AP47" i="1"/>
  <c r="BY47" i="1"/>
  <c r="BO47" i="1"/>
  <c r="BX47" i="1"/>
  <c r="BW47" i="1"/>
  <c r="BR47" i="1"/>
  <c r="BP47" i="1"/>
  <c r="BN47" i="1"/>
  <c r="BL47" i="1"/>
  <c r="BK47" i="1"/>
  <c r="BJ47" i="1"/>
  <c r="BF47" i="1"/>
  <c r="BE47" i="1"/>
  <c r="BD47" i="1"/>
  <c r="AY47" i="1"/>
  <c r="AH47" i="1"/>
  <c r="AG47" i="1"/>
  <c r="AL47" i="1"/>
  <c r="AC47" i="1"/>
  <c r="AE47" i="1"/>
  <c r="AI47" i="1"/>
  <c r="Z47" i="1"/>
  <c r="AB47" i="1"/>
  <c r="W47" i="1"/>
  <c r="Y47" i="1"/>
  <c r="AA47" i="1"/>
  <c r="X47" i="1"/>
  <c r="R47" i="1"/>
  <c r="Q47" i="1"/>
  <c r="P47" i="1"/>
  <c r="O817" i="10" l="1"/>
  <c r="M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K812" i="10"/>
  <c r="A812" i="10"/>
  <c r="T811" i="10"/>
  <c r="S811" i="10"/>
  <c r="R811" i="10"/>
  <c r="Q811" i="10"/>
  <c r="K811" i="10"/>
  <c r="H811" i="10"/>
  <c r="F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L787" i="10"/>
  <c r="K787" i="10"/>
  <c r="I787" i="10"/>
  <c r="H787" i="10"/>
  <c r="G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O773" i="10"/>
  <c r="K773" i="10"/>
  <c r="F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M769" i="10"/>
  <c r="L769" i="10"/>
  <c r="K769" i="10"/>
  <c r="I769" i="10"/>
  <c r="H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S767" i="10"/>
  <c r="R767" i="10"/>
  <c r="Q767" i="10"/>
  <c r="A767" i="10"/>
  <c r="T766" i="10"/>
  <c r="S766" i="10"/>
  <c r="R766" i="10"/>
  <c r="Q766" i="10"/>
  <c r="P766" i="10"/>
  <c r="O766" i="10"/>
  <c r="M766" i="10"/>
  <c r="L766" i="10"/>
  <c r="K766" i="10"/>
  <c r="H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M762" i="10"/>
  <c r="K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K760" i="10"/>
  <c r="F760" i="10"/>
  <c r="A760" i="10"/>
  <c r="T759" i="10"/>
  <c r="S759" i="10"/>
  <c r="R759" i="10"/>
  <c r="Q759" i="10"/>
  <c r="P759" i="10"/>
  <c r="M759" i="10"/>
  <c r="K759" i="10"/>
  <c r="I759" i="10"/>
  <c r="F759" i="10"/>
  <c r="D759" i="10"/>
  <c r="C759" i="10"/>
  <c r="A759" i="10"/>
  <c r="T758" i="10"/>
  <c r="S758" i="10"/>
  <c r="R758" i="10"/>
  <c r="Q758" i="10"/>
  <c r="P758" i="10"/>
  <c r="M758" i="10"/>
  <c r="L758" i="10"/>
  <c r="K758" i="10"/>
  <c r="I758" i="10"/>
  <c r="H758" i="10"/>
  <c r="G758" i="10"/>
  <c r="D758" i="10"/>
  <c r="C758" i="10"/>
  <c r="B758" i="10"/>
  <c r="A758" i="10"/>
  <c r="T757" i="10"/>
  <c r="S757" i="10"/>
  <c r="R757" i="10"/>
  <c r="Q757" i="10"/>
  <c r="P757" i="10"/>
  <c r="M757" i="10"/>
  <c r="K757" i="10"/>
  <c r="I757" i="10"/>
  <c r="H757" i="10"/>
  <c r="G757" i="10"/>
  <c r="D757" i="10"/>
  <c r="C757" i="10"/>
  <c r="B757" i="10"/>
  <c r="A757" i="10"/>
  <c r="T756" i="10"/>
  <c r="S756" i="10"/>
  <c r="R756" i="10"/>
  <c r="Q756" i="10"/>
  <c r="P756" i="10"/>
  <c r="M756" i="10"/>
  <c r="K756" i="10"/>
  <c r="A756" i="10"/>
  <c r="T755" i="10"/>
  <c r="S755" i="10"/>
  <c r="R755" i="10"/>
  <c r="Q755" i="10"/>
  <c r="P755" i="10"/>
  <c r="M755" i="10"/>
  <c r="L755" i="10"/>
  <c r="K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M753" i="10"/>
  <c r="K753" i="10"/>
  <c r="B753" i="10"/>
  <c r="A753" i="10"/>
  <c r="T752" i="10"/>
  <c r="S752" i="10"/>
  <c r="R752" i="10"/>
  <c r="Q752" i="10"/>
  <c r="P752" i="10"/>
  <c r="M752" i="10"/>
  <c r="L752" i="10"/>
  <c r="K752" i="10"/>
  <c r="I752" i="10"/>
  <c r="H752" i="10"/>
  <c r="G752" i="10"/>
  <c r="D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F749" i="10"/>
  <c r="D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B748" i="10"/>
  <c r="A748" i="10"/>
  <c r="T747" i="10"/>
  <c r="S747" i="10"/>
  <c r="R747" i="10"/>
  <c r="Q747" i="10"/>
  <c r="P747" i="10"/>
  <c r="M747" i="10"/>
  <c r="B747" i="10"/>
  <c r="A747" i="10"/>
  <c r="T746" i="10"/>
  <c r="S746" i="10"/>
  <c r="R746" i="10"/>
  <c r="Q746" i="10"/>
  <c r="P746" i="10"/>
  <c r="K746" i="10"/>
  <c r="I746" i="10"/>
  <c r="G746" i="10"/>
  <c r="D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O736" i="10"/>
  <c r="M736" i="10"/>
  <c r="K736" i="10"/>
  <c r="I736" i="10"/>
  <c r="D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K730" i="10"/>
  <c r="BJ730" i="10"/>
  <c r="BF730" i="10"/>
  <c r="BE730" i="10"/>
  <c r="BB730" i="10"/>
  <c r="BA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F726" i="10"/>
  <c r="AE726" i="10"/>
  <c r="AD726" i="10"/>
  <c r="AC726" i="10"/>
  <c r="AB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W722" i="10"/>
  <c r="V722" i="10"/>
  <c r="U722" i="10"/>
  <c r="T722" i="10"/>
  <c r="S722" i="10"/>
  <c r="R722" i="10"/>
  <c r="Q722" i="10"/>
  <c r="O722" i="10"/>
  <c r="N722" i="10"/>
  <c r="M722" i="10"/>
  <c r="F722" i="10"/>
  <c r="D722" i="10"/>
  <c r="C722" i="10"/>
  <c r="B722" i="10"/>
  <c r="A722" i="10"/>
  <c r="C615" i="10"/>
  <c r="E550" i="10"/>
  <c r="E546" i="10"/>
  <c r="F546" i="10"/>
  <c r="E545" i="10"/>
  <c r="E544" i="10"/>
  <c r="H540" i="10"/>
  <c r="E540" i="10"/>
  <c r="F540" i="10"/>
  <c r="H539" i="10"/>
  <c r="F539" i="10"/>
  <c r="E539" i="10"/>
  <c r="H538" i="10"/>
  <c r="F538" i="10"/>
  <c r="E538" i="10"/>
  <c r="E537" i="10"/>
  <c r="F537" i="10"/>
  <c r="E536" i="10"/>
  <c r="E534" i="10"/>
  <c r="F534" i="10"/>
  <c r="H533" i="10"/>
  <c r="E533" i="10"/>
  <c r="F533" i="10"/>
  <c r="H532" i="10"/>
  <c r="F532" i="10"/>
  <c r="E532" i="10"/>
  <c r="F531" i="10"/>
  <c r="E531" i="10"/>
  <c r="H530" i="10"/>
  <c r="F530" i="10"/>
  <c r="E530" i="10"/>
  <c r="F529" i="10"/>
  <c r="E528" i="10"/>
  <c r="F528" i="10"/>
  <c r="E527" i="10"/>
  <c r="E526" i="10"/>
  <c r="E525" i="10"/>
  <c r="F525" i="10"/>
  <c r="F524" i="10"/>
  <c r="F523" i="10"/>
  <c r="E523" i="10"/>
  <c r="H523" i="10"/>
  <c r="F522" i="10"/>
  <c r="F521" i="10"/>
  <c r="E520" i="10"/>
  <c r="E519" i="10"/>
  <c r="F518" i="10"/>
  <c r="F517" i="10"/>
  <c r="E517" i="10"/>
  <c r="F516" i="10"/>
  <c r="E516" i="10"/>
  <c r="E515" i="10"/>
  <c r="F515" i="10"/>
  <c r="E514" i="10"/>
  <c r="F514" i="10"/>
  <c r="H513" i="10"/>
  <c r="F512" i="10"/>
  <c r="F511" i="10"/>
  <c r="E511" i="10"/>
  <c r="E510" i="10"/>
  <c r="F510" i="10"/>
  <c r="E509" i="10"/>
  <c r="E507" i="10"/>
  <c r="H506" i="10"/>
  <c r="E506" i="10"/>
  <c r="F506" i="10"/>
  <c r="H505" i="10"/>
  <c r="E505" i="10"/>
  <c r="F505" i="10"/>
  <c r="H504" i="10"/>
  <c r="F504" i="10"/>
  <c r="E504" i="10"/>
  <c r="F503" i="10"/>
  <c r="E503" i="10"/>
  <c r="F502" i="10"/>
  <c r="E502" i="10"/>
  <c r="H502" i="10"/>
  <c r="E501" i="10"/>
  <c r="H501" i="10"/>
  <c r="E500" i="10"/>
  <c r="H499" i="10"/>
  <c r="E499" i="10"/>
  <c r="F499" i="10"/>
  <c r="F498" i="10"/>
  <c r="H497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C469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92" i="10"/>
  <c r="CD730" i="10" s="1"/>
  <c r="D390" i="10"/>
  <c r="B441" i="10" s="1"/>
  <c r="C389" i="10"/>
  <c r="D372" i="10"/>
  <c r="C364" i="10"/>
  <c r="BL730" i="10" s="1"/>
  <c r="D361" i="10"/>
  <c r="N817" i="10" s="1"/>
  <c r="D329" i="10"/>
  <c r="C327" i="10"/>
  <c r="AZ730" i="10" s="1"/>
  <c r="C325" i="10"/>
  <c r="D319" i="10"/>
  <c r="D314" i="10"/>
  <c r="D290" i="10"/>
  <c r="D283" i="10"/>
  <c r="C269" i="10"/>
  <c r="D265" i="10"/>
  <c r="C253" i="10"/>
  <c r="E730" i="10" s="1"/>
  <c r="D240" i="10"/>
  <c r="B447" i="10" s="1"/>
  <c r="D236" i="10"/>
  <c r="B446" i="10" s="1"/>
  <c r="C226" i="10"/>
  <c r="C224" i="10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E203" i="10"/>
  <c r="C475" i="10" s="1"/>
  <c r="E202" i="10"/>
  <c r="C474" i="10" s="1"/>
  <c r="E201" i="10"/>
  <c r="C200" i="10"/>
  <c r="AH722" i="10" s="1"/>
  <c r="E199" i="10"/>
  <c r="C472" i="10" s="1"/>
  <c r="E198" i="10"/>
  <c r="C471" i="10" s="1"/>
  <c r="C197" i="10"/>
  <c r="B197" i="10"/>
  <c r="E196" i="10"/>
  <c r="E195" i="10"/>
  <c r="C468" i="10" s="1"/>
  <c r="C188" i="10"/>
  <c r="D186" i="10"/>
  <c r="D436" i="10" s="1"/>
  <c r="C180" i="10"/>
  <c r="L722" i="10" s="1"/>
  <c r="C179" i="10"/>
  <c r="D177" i="10"/>
  <c r="D434" i="10" s="1"/>
  <c r="C176" i="10"/>
  <c r="J722" i="10" s="1"/>
  <c r="C175" i="10"/>
  <c r="I722" i="10" s="1"/>
  <c r="C171" i="10"/>
  <c r="H722" i="10" s="1"/>
  <c r="C170" i="10"/>
  <c r="G722" i="10" s="1"/>
  <c r="C168" i="10"/>
  <c r="E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142" i="10"/>
  <c r="AL726" i="10" s="1"/>
  <c r="D141" i="10"/>
  <c r="AK726" i="10" s="1"/>
  <c r="E140" i="10"/>
  <c r="D139" i="10"/>
  <c r="AI726" i="10" s="1"/>
  <c r="B139" i="10"/>
  <c r="D138" i="10"/>
  <c r="AH726" i="10" s="1"/>
  <c r="B138" i="10"/>
  <c r="E127" i="10"/>
  <c r="AJ80" i="10"/>
  <c r="T767" i="10" s="1"/>
  <c r="CF79" i="10"/>
  <c r="CE79" i="10"/>
  <c r="CE78" i="10"/>
  <c r="CE77" i="10"/>
  <c r="CC76" i="10"/>
  <c r="P812" i="10" s="1"/>
  <c r="CB76" i="10"/>
  <c r="P811" i="10" s="1"/>
  <c r="AP76" i="10"/>
  <c r="P773" i="10" s="1"/>
  <c r="AJ76" i="10"/>
  <c r="P767" i="10" s="1"/>
  <c r="AC76" i="10"/>
  <c r="P760" i="10" s="1"/>
  <c r="E76" i="10"/>
  <c r="P73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K75" i="10"/>
  <c r="N768" i="10" s="1"/>
  <c r="AH75" i="10"/>
  <c r="N765" i="10" s="1"/>
  <c r="AG75" i="10"/>
  <c r="N764" i="10" s="1"/>
  <c r="AF75" i="10"/>
  <c r="N763" i="10" s="1"/>
  <c r="AD75" i="10"/>
  <c r="N761" i="10" s="1"/>
  <c r="T75" i="10"/>
  <c r="N751" i="10" s="1"/>
  <c r="S75" i="10"/>
  <c r="N750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AV75" i="10" s="1"/>
  <c r="N779" i="10" s="1"/>
  <c r="AP74" i="10"/>
  <c r="AI74" i="10"/>
  <c r="AI75" i="10" s="1"/>
  <c r="N766" i="10" s="1"/>
  <c r="AE74" i="10"/>
  <c r="AC74" i="10"/>
  <c r="AB74" i="10"/>
  <c r="Z74" i="10"/>
  <c r="Y74" i="10"/>
  <c r="W74" i="10"/>
  <c r="U74" i="10"/>
  <c r="R74" i="10"/>
  <c r="R75" i="10" s="1"/>
  <c r="N749" i="10" s="1"/>
  <c r="Q74" i="10"/>
  <c r="Q75" i="10" s="1"/>
  <c r="N748" i="10" s="1"/>
  <c r="P74" i="10"/>
  <c r="O74" i="10"/>
  <c r="O75" i="10" s="1"/>
  <c r="N746" i="10" s="1"/>
  <c r="AL73" i="10"/>
  <c r="O769" i="10" s="1"/>
  <c r="O767" i="10"/>
  <c r="AE73" i="10"/>
  <c r="AC73" i="10"/>
  <c r="O760" i="10" s="1"/>
  <c r="AB73" i="10"/>
  <c r="O759" i="10" s="1"/>
  <c r="AA73" i="10"/>
  <c r="O758" i="10" s="1"/>
  <c r="Z73" i="10"/>
  <c r="Y73" i="10"/>
  <c r="O756" i="10" s="1"/>
  <c r="X73" i="10"/>
  <c r="O755" i="10" s="1"/>
  <c r="W73" i="10"/>
  <c r="O754" i="10" s="1"/>
  <c r="U73" i="10"/>
  <c r="P73" i="10"/>
  <c r="O747" i="10" s="1"/>
  <c r="O73" i="10"/>
  <c r="O746" i="10" s="1"/>
  <c r="CD71" i="10"/>
  <c r="C575" i="10" s="1"/>
  <c r="CC70" i="10"/>
  <c r="CB70" i="10"/>
  <c r="M811" i="10" s="1"/>
  <c r="BD70" i="10"/>
  <c r="M787" i="10" s="1"/>
  <c r="AP70" i="10"/>
  <c r="AJ70" i="10"/>
  <c r="M767" i="10" s="1"/>
  <c r="AC70" i="10"/>
  <c r="M760" i="10" s="1"/>
  <c r="O70" i="10"/>
  <c r="CC69" i="10"/>
  <c r="L812" i="10" s="1"/>
  <c r="CB69" i="10"/>
  <c r="L811" i="10" s="1"/>
  <c r="AP69" i="10"/>
  <c r="L773" i="10" s="1"/>
  <c r="L767" i="10"/>
  <c r="AE69" i="10"/>
  <c r="L762" i="10" s="1"/>
  <c r="AC69" i="10"/>
  <c r="L760" i="10" s="1"/>
  <c r="AB69" i="10"/>
  <c r="L759" i="10" s="1"/>
  <c r="Z69" i="10"/>
  <c r="L757" i="10" s="1"/>
  <c r="Y69" i="10"/>
  <c r="L756" i="10" s="1"/>
  <c r="L753" i="10"/>
  <c r="P69" i="10"/>
  <c r="L747" i="10" s="1"/>
  <c r="O69" i="10"/>
  <c r="L746" i="10" s="1"/>
  <c r="E69" i="10"/>
  <c r="AJ68" i="10"/>
  <c r="K767" i="10" s="1"/>
  <c r="P68" i="10"/>
  <c r="CC66" i="10"/>
  <c r="I812" i="10" s="1"/>
  <c r="CB66" i="10"/>
  <c r="I811" i="10" s="1"/>
  <c r="AP66" i="10"/>
  <c r="I773" i="10" s="1"/>
  <c r="I767" i="10"/>
  <c r="AI66" i="10"/>
  <c r="I766" i="10" s="1"/>
  <c r="AE66" i="10"/>
  <c r="I762" i="10" s="1"/>
  <c r="AC66" i="10"/>
  <c r="I760" i="10" s="1"/>
  <c r="Y66" i="10"/>
  <c r="I756" i="10" s="1"/>
  <c r="X66" i="10"/>
  <c r="I755" i="10" s="1"/>
  <c r="I753" i="10"/>
  <c r="P66" i="10"/>
  <c r="I747" i="10" s="1"/>
  <c r="CC65" i="10"/>
  <c r="H812" i="10" s="1"/>
  <c r="AP65" i="10"/>
  <c r="H773" i="10" s="1"/>
  <c r="H767" i="10"/>
  <c r="AG65" i="10"/>
  <c r="H764" i="10" s="1"/>
  <c r="AE65" i="10"/>
  <c r="H762" i="10" s="1"/>
  <c r="AC65" i="10"/>
  <c r="H760" i="10" s="1"/>
  <c r="AB65" i="10"/>
  <c r="H759" i="10" s="1"/>
  <c r="Y65" i="10"/>
  <c r="H756" i="10" s="1"/>
  <c r="H753" i="10"/>
  <c r="P65" i="10"/>
  <c r="H747" i="10" s="1"/>
  <c r="O65" i="10"/>
  <c r="H746" i="10" s="1"/>
  <c r="E65" i="10"/>
  <c r="H736" i="10" s="1"/>
  <c r="CC64" i="10"/>
  <c r="G812" i="10" s="1"/>
  <c r="CB64" i="10"/>
  <c r="G811" i="10" s="1"/>
  <c r="AP64" i="10"/>
  <c r="G773" i="10" s="1"/>
  <c r="AL64" i="10"/>
  <c r="G769" i="10" s="1"/>
  <c r="G767" i="10"/>
  <c r="AI64" i="10"/>
  <c r="G766" i="10" s="1"/>
  <c r="AG64" i="10"/>
  <c r="G764" i="10" s="1"/>
  <c r="AE64" i="10"/>
  <c r="G762" i="10" s="1"/>
  <c r="AC64" i="10"/>
  <c r="G760" i="10" s="1"/>
  <c r="AB64" i="10"/>
  <c r="G759" i="10" s="1"/>
  <c r="Y64" i="10"/>
  <c r="G756" i="10" s="1"/>
  <c r="G753" i="10"/>
  <c r="R64" i="10"/>
  <c r="G749" i="10" s="1"/>
  <c r="P64" i="10"/>
  <c r="G747" i="10" s="1"/>
  <c r="E64" i="10"/>
  <c r="CC63" i="10"/>
  <c r="F812" i="10" s="1"/>
  <c r="BS63" i="10"/>
  <c r="F802" i="10" s="1"/>
  <c r="BJ63" i="10"/>
  <c r="F793" i="10" s="1"/>
  <c r="BD63" i="10"/>
  <c r="F787" i="10" s="1"/>
  <c r="AY63" i="10"/>
  <c r="F782" i="10" s="1"/>
  <c r="F767" i="10"/>
  <c r="AI63" i="10"/>
  <c r="F766" i="10" s="1"/>
  <c r="AG63" i="10"/>
  <c r="F764" i="10" s="1"/>
  <c r="AE63" i="10"/>
  <c r="F762" i="10" s="1"/>
  <c r="AA63" i="10"/>
  <c r="F758" i="10" s="1"/>
  <c r="Z63" i="10"/>
  <c r="F757" i="10" s="1"/>
  <c r="Y63" i="10"/>
  <c r="F756" i="10" s="1"/>
  <c r="F753" i="10"/>
  <c r="U63" i="10"/>
  <c r="F752" i="10" s="1"/>
  <c r="P63" i="10"/>
  <c r="F747" i="10" s="1"/>
  <c r="O63" i="10"/>
  <c r="F746" i="10" s="1"/>
  <c r="E63" i="10"/>
  <c r="F736" i="10" s="1"/>
  <c r="CC61" i="10"/>
  <c r="D812" i="10" s="1"/>
  <c r="CB61" i="10"/>
  <c r="D811" i="10" s="1"/>
  <c r="AP61" i="10"/>
  <c r="D773" i="10" s="1"/>
  <c r="D767" i="10"/>
  <c r="AE61" i="10"/>
  <c r="D762" i="10" s="1"/>
  <c r="AC61" i="10"/>
  <c r="D760" i="10" s="1"/>
  <c r="Y61" i="10"/>
  <c r="D756" i="10" s="1"/>
  <c r="D753" i="10"/>
  <c r="P61" i="10"/>
  <c r="CC60" i="10"/>
  <c r="C812" i="10" s="1"/>
  <c r="AP60" i="10"/>
  <c r="C773" i="10" s="1"/>
  <c r="C767" i="10"/>
  <c r="AE60" i="10"/>
  <c r="C762" i="10" s="1"/>
  <c r="AC60" i="10"/>
  <c r="C760" i="10" s="1"/>
  <c r="Y60" i="10"/>
  <c r="C756" i="10" s="1"/>
  <c r="C753" i="10"/>
  <c r="U60" i="10"/>
  <c r="C752" i="10" s="1"/>
  <c r="S60" i="10"/>
  <c r="C750" i="10" s="1"/>
  <c r="R60" i="10"/>
  <c r="C749" i="10" s="1"/>
  <c r="Q60" i="10"/>
  <c r="C748" i="10" s="1"/>
  <c r="P60" i="10"/>
  <c r="C747" i="10" s="1"/>
  <c r="O60" i="10"/>
  <c r="C746" i="10" s="1"/>
  <c r="AP59" i="10"/>
  <c r="AJ59" i="10"/>
  <c r="AE59" i="10"/>
  <c r="E524" i="10" s="1"/>
  <c r="AC59" i="10"/>
  <c r="B760" i="10" s="1"/>
  <c r="Y59" i="10"/>
  <c r="O59" i="10"/>
  <c r="E59" i="10"/>
  <c r="B53" i="10"/>
  <c r="CC51" i="10"/>
  <c r="BD51" i="10"/>
  <c r="AC51" i="10"/>
  <c r="Y51" i="10"/>
  <c r="W51" i="10"/>
  <c r="Q51" i="10"/>
  <c r="P51" i="10"/>
  <c r="O51" i="10"/>
  <c r="E51" i="10"/>
  <c r="C51" i="10"/>
  <c r="B49" i="10"/>
  <c r="CC47" i="10"/>
  <c r="CB47" i="10"/>
  <c r="BY47" i="10"/>
  <c r="BX47" i="10"/>
  <c r="BW47" i="10"/>
  <c r="BV47" i="10"/>
  <c r="BU47" i="10"/>
  <c r="BT47" i="10"/>
  <c r="BR47" i="10"/>
  <c r="BP47" i="10"/>
  <c r="BO47" i="10"/>
  <c r="BN47" i="10"/>
  <c r="BL47" i="10"/>
  <c r="BK47" i="10"/>
  <c r="BJ47" i="10"/>
  <c r="BH47" i="10"/>
  <c r="BF47" i="10"/>
  <c r="BE47" i="10"/>
  <c r="BD47" i="10"/>
  <c r="AY47" i="10"/>
  <c r="AR47" i="10"/>
  <c r="AP47" i="10"/>
  <c r="AL47" i="10"/>
  <c r="AI47" i="10"/>
  <c r="AH47" i="10"/>
  <c r="AG47" i="10"/>
  <c r="AE47" i="10"/>
  <c r="AC47" i="10"/>
  <c r="AB47" i="10"/>
  <c r="AA47" i="10"/>
  <c r="Z47" i="10"/>
  <c r="Y47" i="10"/>
  <c r="X47" i="10"/>
  <c r="W47" i="10"/>
  <c r="U47" i="10"/>
  <c r="S47" i="10"/>
  <c r="R47" i="10"/>
  <c r="Q47" i="10"/>
  <c r="P47" i="10"/>
  <c r="O47" i="10"/>
  <c r="E200" i="10" l="1"/>
  <c r="C473" i="10" s="1"/>
  <c r="B440" i="10"/>
  <c r="P75" i="10"/>
  <c r="N747" i="10" s="1"/>
  <c r="E141" i="10"/>
  <c r="D173" i="10"/>
  <c r="D428" i="10" s="1"/>
  <c r="CE70" i="10"/>
  <c r="M816" i="10" s="1"/>
  <c r="C445" i="10"/>
  <c r="CE61" i="10"/>
  <c r="AP48" i="10" s="1"/>
  <c r="AP62" i="10" s="1"/>
  <c r="AL75" i="10"/>
  <c r="N769" i="10" s="1"/>
  <c r="CE51" i="10"/>
  <c r="W75" i="10"/>
  <c r="N754" i="10" s="1"/>
  <c r="CE76" i="10"/>
  <c r="R815" i="10"/>
  <c r="B762" i="10"/>
  <c r="X75" i="10"/>
  <c r="N755" i="10" s="1"/>
  <c r="D464" i="10"/>
  <c r="CE47" i="10"/>
  <c r="K747" i="10"/>
  <c r="CE68" i="10"/>
  <c r="S816" i="10"/>
  <c r="J612" i="10"/>
  <c r="CE65" i="10"/>
  <c r="P722" i="10"/>
  <c r="D190" i="10"/>
  <c r="D437" i="10" s="1"/>
  <c r="CD722" i="10"/>
  <c r="B444" i="10"/>
  <c r="Q730" i="10"/>
  <c r="D275" i="10"/>
  <c r="B470" i="10"/>
  <c r="E52" i="10"/>
  <c r="E67" i="10" s="1"/>
  <c r="J736" i="10" s="1"/>
  <c r="Q52" i="10"/>
  <c r="Q67" i="10" s="1"/>
  <c r="J748" i="10" s="1"/>
  <c r="AP52" i="10"/>
  <c r="AP67" i="10" s="1"/>
  <c r="J773" i="10" s="1"/>
  <c r="BC52" i="10"/>
  <c r="BC67" i="10" s="1"/>
  <c r="J786" i="10" s="1"/>
  <c r="B767" i="10"/>
  <c r="E529" i="10"/>
  <c r="L736" i="10"/>
  <c r="C439" i="10"/>
  <c r="D463" i="10"/>
  <c r="F507" i="10"/>
  <c r="H507" i="10"/>
  <c r="F550" i="10"/>
  <c r="M773" i="10"/>
  <c r="O757" i="10"/>
  <c r="Z75" i="10"/>
  <c r="N757" i="10" s="1"/>
  <c r="X726" i="10"/>
  <c r="E138" i="10"/>
  <c r="C414" i="10" s="1"/>
  <c r="X722" i="10"/>
  <c r="B204" i="10"/>
  <c r="E197" i="10"/>
  <c r="C470" i="10" s="1"/>
  <c r="B773" i="10"/>
  <c r="E535" i="10"/>
  <c r="CE74" i="10"/>
  <c r="C464" i="10" s="1"/>
  <c r="P816" i="10"/>
  <c r="D612" i="10"/>
  <c r="CF76" i="10"/>
  <c r="BS52" i="10" s="1"/>
  <c r="BS67" i="10" s="1"/>
  <c r="J802" i="10" s="1"/>
  <c r="BX52" i="10"/>
  <c r="BX67" i="10" s="1"/>
  <c r="J807" i="10" s="1"/>
  <c r="BP52" i="10"/>
  <c r="BP67" i="10" s="1"/>
  <c r="J799" i="10" s="1"/>
  <c r="BH52" i="10"/>
  <c r="BH67" i="10" s="1"/>
  <c r="J791" i="10" s="1"/>
  <c r="AR52" i="10"/>
  <c r="AR67" i="10" s="1"/>
  <c r="J775" i="10" s="1"/>
  <c r="AJ52" i="10"/>
  <c r="AJ67" i="10" s="1"/>
  <c r="J767" i="10" s="1"/>
  <c r="T52" i="10"/>
  <c r="T67" i="10" s="1"/>
  <c r="J751" i="10" s="1"/>
  <c r="L52" i="10"/>
  <c r="L67" i="10" s="1"/>
  <c r="J743" i="10" s="1"/>
  <c r="D52" i="10"/>
  <c r="D67" i="10" s="1"/>
  <c r="J735" i="10" s="1"/>
  <c r="BW52" i="10"/>
  <c r="BW67" i="10" s="1"/>
  <c r="J806" i="10" s="1"/>
  <c r="AY52" i="10"/>
  <c r="AY67" i="10" s="1"/>
  <c r="J782" i="10" s="1"/>
  <c r="AQ52" i="10"/>
  <c r="AQ67" i="10" s="1"/>
  <c r="J774" i="10" s="1"/>
  <c r="K52" i="10"/>
  <c r="K67" i="10" s="1"/>
  <c r="J742" i="10" s="1"/>
  <c r="C52" i="10"/>
  <c r="C67" i="10" s="1"/>
  <c r="BG52" i="10"/>
  <c r="BG67" i="10" s="1"/>
  <c r="J790" i="10" s="1"/>
  <c r="AI52" i="10"/>
  <c r="AI67" i="10" s="1"/>
  <c r="J766" i="10" s="1"/>
  <c r="CB52" i="10"/>
  <c r="CB67" i="10" s="1"/>
  <c r="J811" i="10" s="1"/>
  <c r="BT52" i="10"/>
  <c r="BT67" i="10" s="1"/>
  <c r="J803" i="10" s="1"/>
  <c r="BD52" i="10"/>
  <c r="AV52" i="10"/>
  <c r="AV67" i="10" s="1"/>
  <c r="J779" i="10" s="1"/>
  <c r="AN52" i="10"/>
  <c r="AN67" i="10" s="1"/>
  <c r="J771" i="10" s="1"/>
  <c r="AF52" i="10"/>
  <c r="AF67" i="10" s="1"/>
  <c r="J763" i="10" s="1"/>
  <c r="P52" i="10"/>
  <c r="P67" i="10" s="1"/>
  <c r="H52" i="10"/>
  <c r="H67" i="10" s="1"/>
  <c r="J739" i="10" s="1"/>
  <c r="J52" i="10"/>
  <c r="J67" i="10" s="1"/>
  <c r="J741" i="10" s="1"/>
  <c r="W52" i="10"/>
  <c r="W67" i="10" s="1"/>
  <c r="J754" i="10" s="1"/>
  <c r="AK52" i="10"/>
  <c r="AK67" i="10" s="1"/>
  <c r="J768" i="10" s="1"/>
  <c r="AW52" i="10"/>
  <c r="AW67" i="10" s="1"/>
  <c r="J780" i="10" s="1"/>
  <c r="BV52" i="10"/>
  <c r="BV67" i="10" s="1"/>
  <c r="J805" i="10" s="1"/>
  <c r="B746" i="10"/>
  <c r="E508" i="10"/>
  <c r="G736" i="10"/>
  <c r="G815" i="10" s="1"/>
  <c r="CE64" i="10"/>
  <c r="M812" i="10"/>
  <c r="AC75" i="10"/>
  <c r="N760" i="10" s="1"/>
  <c r="Y726" i="10"/>
  <c r="E139" i="10"/>
  <c r="C415" i="10" s="1"/>
  <c r="K722" i="10"/>
  <c r="D181" i="10"/>
  <c r="E217" i="10"/>
  <c r="C478" i="10" s="1"/>
  <c r="CE66" i="10"/>
  <c r="Y722" i="10"/>
  <c r="C204" i="10"/>
  <c r="BD67" i="10"/>
  <c r="J787" i="10" s="1"/>
  <c r="M52" i="10"/>
  <c r="M67" i="10" s="1"/>
  <c r="J744" i="10" s="1"/>
  <c r="Y52" i="10"/>
  <c r="Y67" i="10" s="1"/>
  <c r="J756" i="10" s="1"/>
  <c r="AL52" i="10"/>
  <c r="AL67" i="10" s="1"/>
  <c r="J769" i="10" s="1"/>
  <c r="AX52" i="10"/>
  <c r="AX67" i="10" s="1"/>
  <c r="J781" i="10" s="1"/>
  <c r="BK52" i="10"/>
  <c r="BK67" i="10" s="1"/>
  <c r="J794" i="10" s="1"/>
  <c r="BY52" i="10"/>
  <c r="BY67" i="10" s="1"/>
  <c r="J808" i="10" s="1"/>
  <c r="B756" i="10"/>
  <c r="E518" i="10"/>
  <c r="CE69" i="10"/>
  <c r="O752" i="10"/>
  <c r="U75" i="10"/>
  <c r="N752" i="10" s="1"/>
  <c r="AX730" i="10"/>
  <c r="D328" i="10"/>
  <c r="D330" i="10" s="1"/>
  <c r="D339" i="10" s="1"/>
  <c r="C482" i="10" s="1"/>
  <c r="F509" i="10"/>
  <c r="H536" i="10"/>
  <c r="F536" i="10"/>
  <c r="M746" i="10"/>
  <c r="O762" i="10"/>
  <c r="O815" i="10" s="1"/>
  <c r="AE75" i="10"/>
  <c r="N762" i="10" s="1"/>
  <c r="O753" i="10"/>
  <c r="V75" i="10"/>
  <c r="N753" i="10" s="1"/>
  <c r="AC52" i="10"/>
  <c r="AC67" i="10" s="1"/>
  <c r="J760" i="10" s="1"/>
  <c r="BB52" i="10"/>
  <c r="BB67" i="10" s="1"/>
  <c r="J785" i="10" s="1"/>
  <c r="CA52" i="10"/>
  <c r="CA67" i="10" s="1"/>
  <c r="J810" i="10" s="1"/>
  <c r="D747" i="10"/>
  <c r="D815" i="10" s="1"/>
  <c r="E522" i="10"/>
  <c r="Q816" i="10"/>
  <c r="CF77" i="10"/>
  <c r="CE60" i="10"/>
  <c r="R816" i="10"/>
  <c r="I612" i="10"/>
  <c r="D260" i="10"/>
  <c r="AJ75" i="10"/>
  <c r="N767" i="10" s="1"/>
  <c r="N815" i="10" s="1"/>
  <c r="BW722" i="10"/>
  <c r="D229" i="10"/>
  <c r="B445" i="10" s="1"/>
  <c r="H500" i="10"/>
  <c r="F500" i="10"/>
  <c r="F501" i="10"/>
  <c r="F513" i="10"/>
  <c r="B736" i="10"/>
  <c r="E498" i="10"/>
  <c r="D415" i="10"/>
  <c r="CE63" i="10"/>
  <c r="AB75" i="10"/>
  <c r="N759" i="10" s="1"/>
  <c r="CE80" i="10"/>
  <c r="F519" i="10"/>
  <c r="G612" i="10"/>
  <c r="L817" i="10"/>
  <c r="CC730" i="10"/>
  <c r="F508" i="10"/>
  <c r="F527" i="10"/>
  <c r="H545" i="10"/>
  <c r="F545" i="10"/>
  <c r="E204" i="10"/>
  <c r="C476" i="10" s="1"/>
  <c r="F535" i="10"/>
  <c r="CE73" i="10"/>
  <c r="Y75" i="10"/>
  <c r="N756" i="10" s="1"/>
  <c r="B465" i="10"/>
  <c r="F520" i="10"/>
  <c r="H525" i="10"/>
  <c r="F544" i="10"/>
  <c r="Q815" i="10"/>
  <c r="AA75" i="10"/>
  <c r="N758" i="10" s="1"/>
  <c r="D367" i="10"/>
  <c r="F526" i="10"/>
  <c r="H534" i="10"/>
  <c r="F815" i="10"/>
  <c r="P815" i="10"/>
  <c r="K815" i="10"/>
  <c r="T815" i="10"/>
  <c r="I815" i="10"/>
  <c r="H815" i="10"/>
  <c r="S815" i="10"/>
  <c r="C815" i="10"/>
  <c r="L815" i="10"/>
  <c r="E773" i="10" l="1"/>
  <c r="AP71" i="10"/>
  <c r="D48" i="10"/>
  <c r="D62" i="10" s="1"/>
  <c r="W48" i="10"/>
  <c r="W62" i="10" s="1"/>
  <c r="AQ48" i="10"/>
  <c r="AQ62" i="10" s="1"/>
  <c r="N48" i="10"/>
  <c r="N62" i="10" s="1"/>
  <c r="AX48" i="10"/>
  <c r="AX62" i="10" s="1"/>
  <c r="E781" i="10" s="1"/>
  <c r="P48" i="10"/>
  <c r="P62" i="10" s="1"/>
  <c r="E747" i="10" s="1"/>
  <c r="BM48" i="10"/>
  <c r="BM62" i="10" s="1"/>
  <c r="O48" i="10"/>
  <c r="O62" i="10" s="1"/>
  <c r="E746" i="10" s="1"/>
  <c r="E48" i="10"/>
  <c r="E62" i="10" s="1"/>
  <c r="BG48" i="10"/>
  <c r="BG62" i="10" s="1"/>
  <c r="G48" i="10"/>
  <c r="G62" i="10" s="1"/>
  <c r="AV48" i="10"/>
  <c r="AV62" i="10" s="1"/>
  <c r="BX48" i="10"/>
  <c r="BX62" i="10" s="1"/>
  <c r="E807" i="10" s="1"/>
  <c r="AD48" i="10"/>
  <c r="AD62" i="10" s="1"/>
  <c r="E761" i="10" s="1"/>
  <c r="Y48" i="10"/>
  <c r="Y62" i="10" s="1"/>
  <c r="CC48" i="10"/>
  <c r="CC62" i="10" s="1"/>
  <c r="E812" i="10" s="1"/>
  <c r="BN48" i="10"/>
  <c r="BN62" i="10" s="1"/>
  <c r="AW48" i="10"/>
  <c r="AW62" i="10" s="1"/>
  <c r="C48" i="10"/>
  <c r="AB48" i="10"/>
  <c r="AB62" i="10" s="1"/>
  <c r="S48" i="10"/>
  <c r="S62" i="10" s="1"/>
  <c r="E750" i="10" s="1"/>
  <c r="BC48" i="10"/>
  <c r="BC62" i="10" s="1"/>
  <c r="BC71" i="10" s="1"/>
  <c r="AS48" i="10"/>
  <c r="AS62" i="10" s="1"/>
  <c r="BI48" i="10"/>
  <c r="BI62" i="10" s="1"/>
  <c r="M48" i="10"/>
  <c r="M62" i="10" s="1"/>
  <c r="AL48" i="10"/>
  <c r="AL62" i="10" s="1"/>
  <c r="AO48" i="10"/>
  <c r="AO62" i="10" s="1"/>
  <c r="J48" i="10"/>
  <c r="J62" i="10" s="1"/>
  <c r="BV48" i="10"/>
  <c r="BV62" i="10" s="1"/>
  <c r="E805" i="10" s="1"/>
  <c r="AZ48" i="10"/>
  <c r="AZ62" i="10" s="1"/>
  <c r="BZ48" i="10"/>
  <c r="BZ62" i="10" s="1"/>
  <c r="D465" i="10"/>
  <c r="AN48" i="10"/>
  <c r="AN62" i="10" s="1"/>
  <c r="AE48" i="10"/>
  <c r="AE62" i="10" s="1"/>
  <c r="E762" i="10" s="1"/>
  <c r="T48" i="10"/>
  <c r="T62" i="10" s="1"/>
  <c r="U48" i="10"/>
  <c r="U62" i="10" s="1"/>
  <c r="BW48" i="10"/>
  <c r="BW62" i="10" s="1"/>
  <c r="E806" i="10" s="1"/>
  <c r="AM48" i="10"/>
  <c r="AM62" i="10" s="1"/>
  <c r="AM71" i="10" s="1"/>
  <c r="AT48" i="10"/>
  <c r="AT62" i="10" s="1"/>
  <c r="BE48" i="10"/>
  <c r="BE62" i="10" s="1"/>
  <c r="R48" i="10"/>
  <c r="R62" i="10" s="1"/>
  <c r="C427" i="10"/>
  <c r="AF48" i="10"/>
  <c r="AF62" i="10" s="1"/>
  <c r="V48" i="10"/>
  <c r="V62" i="10" s="1"/>
  <c r="E753" i="10" s="1"/>
  <c r="I48" i="10"/>
  <c r="I62" i="10" s="1"/>
  <c r="E740" i="10" s="1"/>
  <c r="L48" i="10"/>
  <c r="L62" i="10" s="1"/>
  <c r="E743" i="10" s="1"/>
  <c r="BA48" i="10"/>
  <c r="BA62" i="10" s="1"/>
  <c r="AR48" i="10"/>
  <c r="AR62" i="10" s="1"/>
  <c r="BS48" i="10"/>
  <c r="BS62" i="10" s="1"/>
  <c r="AU48" i="10"/>
  <c r="AU62" i="10" s="1"/>
  <c r="AC48" i="10"/>
  <c r="AC62" i="10" s="1"/>
  <c r="E760" i="10" s="1"/>
  <c r="BL48" i="10"/>
  <c r="BL62" i="10" s="1"/>
  <c r="E795" i="10" s="1"/>
  <c r="BB48" i="10"/>
  <c r="BB62" i="10" s="1"/>
  <c r="E785" i="10" s="1"/>
  <c r="BU48" i="10"/>
  <c r="BU62" i="10" s="1"/>
  <c r="E804" i="10" s="1"/>
  <c r="Z48" i="10"/>
  <c r="Z62" i="10" s="1"/>
  <c r="D816" i="10"/>
  <c r="CB48" i="10"/>
  <c r="CB62" i="10" s="1"/>
  <c r="E811" i="10" s="1"/>
  <c r="AJ48" i="10"/>
  <c r="AJ62" i="10" s="1"/>
  <c r="M815" i="10"/>
  <c r="BN52" i="10"/>
  <c r="BN67" i="10" s="1"/>
  <c r="J797" i="10" s="1"/>
  <c r="AY48" i="10"/>
  <c r="AY62" i="10" s="1"/>
  <c r="E782" i="10" s="1"/>
  <c r="BO48" i="10"/>
  <c r="BO62" i="10" s="1"/>
  <c r="E798" i="10" s="1"/>
  <c r="BD48" i="10"/>
  <c r="BD62" i="10" s="1"/>
  <c r="E787" i="10" s="1"/>
  <c r="H48" i="10"/>
  <c r="H62" i="10" s="1"/>
  <c r="BT48" i="10"/>
  <c r="BT62" i="10" s="1"/>
  <c r="X48" i="10"/>
  <c r="X62" i="10" s="1"/>
  <c r="BY48" i="10"/>
  <c r="BY62" i="10" s="1"/>
  <c r="BY71" i="10" s="1"/>
  <c r="BJ48" i="10"/>
  <c r="BJ62" i="10" s="1"/>
  <c r="Q48" i="10"/>
  <c r="Q62" i="10" s="1"/>
  <c r="E748" i="10" s="1"/>
  <c r="AH48" i="10"/>
  <c r="AH62" i="10" s="1"/>
  <c r="E765" i="10" s="1"/>
  <c r="C458" i="10"/>
  <c r="BH48" i="10"/>
  <c r="BH62" i="10" s="1"/>
  <c r="BP48" i="10"/>
  <c r="BP62" i="10" s="1"/>
  <c r="E799" i="10" s="1"/>
  <c r="AK48" i="10"/>
  <c r="AK62" i="10" s="1"/>
  <c r="BF48" i="10"/>
  <c r="BF62" i="10" s="1"/>
  <c r="AO52" i="10"/>
  <c r="AO67" i="10" s="1"/>
  <c r="J772" i="10" s="1"/>
  <c r="AA48" i="10"/>
  <c r="AA62" i="10" s="1"/>
  <c r="E758" i="10" s="1"/>
  <c r="CA48" i="10"/>
  <c r="CA62" i="10" s="1"/>
  <c r="CA71" i="10" s="1"/>
  <c r="BQ48" i="10"/>
  <c r="BQ62" i="10" s="1"/>
  <c r="AI48" i="10"/>
  <c r="AI62" i="10" s="1"/>
  <c r="K48" i="10"/>
  <c r="K62" i="10" s="1"/>
  <c r="BK48" i="10"/>
  <c r="BK62" i="10" s="1"/>
  <c r="F48" i="10"/>
  <c r="F62" i="10" s="1"/>
  <c r="BR48" i="10"/>
  <c r="BR62" i="10" s="1"/>
  <c r="AG48" i="10"/>
  <c r="AG62" i="10" s="1"/>
  <c r="E764" i="10" s="1"/>
  <c r="AC71" i="10"/>
  <c r="C694" i="10" s="1"/>
  <c r="E767" i="10"/>
  <c r="AJ71" i="10"/>
  <c r="J747" i="10"/>
  <c r="E769" i="10"/>
  <c r="AL71" i="10"/>
  <c r="J734" i="10"/>
  <c r="E788" i="10"/>
  <c r="E752" i="10"/>
  <c r="E749" i="10"/>
  <c r="R71" i="10"/>
  <c r="E793" i="10"/>
  <c r="O816" i="10"/>
  <c r="C463" i="10"/>
  <c r="E755" i="10"/>
  <c r="X71" i="10"/>
  <c r="C707" i="10"/>
  <c r="C535" i="10"/>
  <c r="BD71" i="10"/>
  <c r="D242" i="10"/>
  <c r="B448" i="10" s="1"/>
  <c r="BJ52" i="10"/>
  <c r="BJ67" i="10" s="1"/>
  <c r="J793" i="10" s="1"/>
  <c r="X52" i="10"/>
  <c r="X67" i="10" s="1"/>
  <c r="J755" i="10" s="1"/>
  <c r="S52" i="10"/>
  <c r="S67" i="10" s="1"/>
  <c r="J750" i="10" s="1"/>
  <c r="BO52" i="10"/>
  <c r="BO67" i="10" s="1"/>
  <c r="J798" i="10" s="1"/>
  <c r="AZ52" i="10"/>
  <c r="AZ67" i="10" s="1"/>
  <c r="J783" i="10" s="1"/>
  <c r="AD52" i="10"/>
  <c r="AD67" i="10" s="1"/>
  <c r="J761" i="10" s="1"/>
  <c r="O52" i="10"/>
  <c r="O67" i="10" s="1"/>
  <c r="J746" i="10" s="1"/>
  <c r="E776" i="10"/>
  <c r="E792" i="10"/>
  <c r="E744" i="10"/>
  <c r="M71" i="10"/>
  <c r="E772" i="10"/>
  <c r="AO71" i="10"/>
  <c r="E741" i="10"/>
  <c r="J71" i="10"/>
  <c r="CB71" i="10"/>
  <c r="BI730" i="10"/>
  <c r="C816" i="10"/>
  <c r="H612" i="10"/>
  <c r="D438" i="10"/>
  <c r="D435" i="10"/>
  <c r="E766" i="10"/>
  <c r="AI71" i="10"/>
  <c r="E784" i="10"/>
  <c r="E802" i="10"/>
  <c r="BS71" i="10"/>
  <c r="E778" i="10"/>
  <c r="E757" i="10"/>
  <c r="E771" i="10"/>
  <c r="AN71" i="10"/>
  <c r="E777" i="10"/>
  <c r="G816" i="10"/>
  <c r="F612" i="10"/>
  <c r="C430" i="10"/>
  <c r="E803" i="10"/>
  <c r="BT71" i="10"/>
  <c r="E739" i="10"/>
  <c r="H71" i="10"/>
  <c r="E808" i="10"/>
  <c r="C448" i="10"/>
  <c r="D368" i="10"/>
  <c r="D373" i="10" s="1"/>
  <c r="D391" i="10" s="1"/>
  <c r="D393" i="10" s="1"/>
  <c r="D396" i="10" s="1"/>
  <c r="BA52" i="10"/>
  <c r="BA67" i="10" s="1"/>
  <c r="J784" i="10" s="1"/>
  <c r="N52" i="10"/>
  <c r="N67" i="10" s="1"/>
  <c r="J745" i="10" s="1"/>
  <c r="BE52" i="10"/>
  <c r="BE67" i="10" s="1"/>
  <c r="J788" i="10" s="1"/>
  <c r="BM52" i="10"/>
  <c r="BM67" i="10" s="1"/>
  <c r="J796" i="10" s="1"/>
  <c r="Z52" i="10"/>
  <c r="Z67" i="10" s="1"/>
  <c r="J757" i="10" s="1"/>
  <c r="R52" i="10"/>
  <c r="R67" i="10" s="1"/>
  <c r="J749" i="10" s="1"/>
  <c r="AH52" i="10"/>
  <c r="AH67" i="10" s="1"/>
  <c r="J765" i="10" s="1"/>
  <c r="BU52" i="10"/>
  <c r="BU67" i="10" s="1"/>
  <c r="J804" i="10" s="1"/>
  <c r="AU52" i="10"/>
  <c r="AU67" i="10" s="1"/>
  <c r="J778" i="10" s="1"/>
  <c r="I52" i="10"/>
  <c r="I67" i="10" s="1"/>
  <c r="J740" i="10" s="1"/>
  <c r="BR52" i="10"/>
  <c r="BR67" i="10" s="1"/>
  <c r="J801" i="10" s="1"/>
  <c r="BI52" i="10"/>
  <c r="BI67" i="10" s="1"/>
  <c r="J792" i="10" s="1"/>
  <c r="V52" i="10"/>
  <c r="V67" i="10" s="1"/>
  <c r="AS52" i="10"/>
  <c r="AS67" i="10" s="1"/>
  <c r="J776" i="10" s="1"/>
  <c r="BF52" i="10"/>
  <c r="BF67" i="10" s="1"/>
  <c r="J789" i="10" s="1"/>
  <c r="AT52" i="10"/>
  <c r="AT67" i="10" s="1"/>
  <c r="J777" i="10" s="1"/>
  <c r="AG52" i="10"/>
  <c r="AG67" i="10" s="1"/>
  <c r="J764" i="10" s="1"/>
  <c r="U52" i="10"/>
  <c r="U67" i="10" s="1"/>
  <c r="J752" i="10" s="1"/>
  <c r="G52" i="10"/>
  <c r="G67" i="10" s="1"/>
  <c r="J738" i="10" s="1"/>
  <c r="AE52" i="10"/>
  <c r="AE67" i="10" s="1"/>
  <c r="J762" i="10" s="1"/>
  <c r="BZ52" i="10"/>
  <c r="BZ67" i="10" s="1"/>
  <c r="J809" i="10" s="1"/>
  <c r="AM52" i="10"/>
  <c r="AM67" i="10" s="1"/>
  <c r="J770" i="10" s="1"/>
  <c r="F52" i="10"/>
  <c r="F67" i="10" s="1"/>
  <c r="J737" i="10" s="1"/>
  <c r="CC52" i="10"/>
  <c r="CC67" i="10" s="1"/>
  <c r="J812" i="10" s="1"/>
  <c r="E791" i="10"/>
  <c r="BH71" i="10"/>
  <c r="E810" i="10"/>
  <c r="E800" i="10"/>
  <c r="E742" i="10"/>
  <c r="K71" i="10"/>
  <c r="E794" i="10"/>
  <c r="BK71" i="10"/>
  <c r="E737" i="10"/>
  <c r="E801" i="10"/>
  <c r="E751" i="10"/>
  <c r="T71" i="10"/>
  <c r="E770" i="10"/>
  <c r="CE75" i="10"/>
  <c r="T816" i="10"/>
  <c r="L612" i="10"/>
  <c r="I816" i="10"/>
  <c r="C432" i="10"/>
  <c r="BL52" i="10"/>
  <c r="BL67" i="10" s="1"/>
  <c r="J795" i="10" s="1"/>
  <c r="AA52" i="10"/>
  <c r="AA67" i="10" s="1"/>
  <c r="J758" i="10" s="1"/>
  <c r="AB52" i="10"/>
  <c r="AB67" i="10" s="1"/>
  <c r="J759" i="10" s="1"/>
  <c r="E759" i="10"/>
  <c r="BQ52" i="10"/>
  <c r="BQ67" i="10" s="1"/>
  <c r="J800" i="10" s="1"/>
  <c r="H816" i="10"/>
  <c r="C431" i="10"/>
  <c r="K816" i="10"/>
  <c r="C434" i="10"/>
  <c r="E783" i="10"/>
  <c r="E735" i="10"/>
  <c r="D71" i="10"/>
  <c r="E774" i="10"/>
  <c r="AQ71" i="10"/>
  <c r="E745" i="10"/>
  <c r="E809" i="10"/>
  <c r="E780" i="10"/>
  <c r="AW71" i="10"/>
  <c r="L816" i="10"/>
  <c r="C440" i="10"/>
  <c r="C62" i="10"/>
  <c r="E763" i="10"/>
  <c r="AF71" i="10"/>
  <c r="E768" i="10"/>
  <c r="AK71" i="10"/>
  <c r="E796" i="10"/>
  <c r="BM71" i="10"/>
  <c r="E789" i="10"/>
  <c r="E754" i="10"/>
  <c r="W71" i="10"/>
  <c r="F816" i="10"/>
  <c r="C429" i="10"/>
  <c r="E775" i="10"/>
  <c r="AR71" i="10"/>
  <c r="AE71" i="10"/>
  <c r="B476" i="10"/>
  <c r="D277" i="10"/>
  <c r="D292" i="10" s="1"/>
  <c r="D341" i="10" s="1"/>
  <c r="C481" i="10" s="1"/>
  <c r="E736" i="10"/>
  <c r="E71" i="10"/>
  <c r="E790" i="10"/>
  <c r="BG71" i="10"/>
  <c r="E738" i="10"/>
  <c r="E779" i="10"/>
  <c r="AV71" i="10"/>
  <c r="AD71" i="10"/>
  <c r="E756" i="10"/>
  <c r="Y71" i="10"/>
  <c r="E797" i="10"/>
  <c r="BN71" i="10"/>
  <c r="C522" i="10" l="1"/>
  <c r="I71" i="10"/>
  <c r="N71" i="10"/>
  <c r="BX71" i="10"/>
  <c r="E786" i="10"/>
  <c r="U71" i="10"/>
  <c r="C514" i="10" s="1"/>
  <c r="P71" i="10"/>
  <c r="C681" i="10" s="1"/>
  <c r="BW71" i="10"/>
  <c r="C643" i="10" s="1"/>
  <c r="AY71" i="10"/>
  <c r="L71" i="10"/>
  <c r="BU71" i="10"/>
  <c r="AX71" i="10"/>
  <c r="BQ71" i="10"/>
  <c r="Q71" i="10"/>
  <c r="BR71" i="10"/>
  <c r="BB71" i="10"/>
  <c r="C547" i="10" s="1"/>
  <c r="BI71" i="10"/>
  <c r="BO71" i="10"/>
  <c r="BV71" i="10"/>
  <c r="BP71" i="10"/>
  <c r="CE48" i="10"/>
  <c r="G71" i="10"/>
  <c r="C619" i="10"/>
  <c r="C559" i="10"/>
  <c r="J753" i="10"/>
  <c r="V71" i="10"/>
  <c r="C675" i="10"/>
  <c r="C503" i="10"/>
  <c r="AS71" i="10"/>
  <c r="G535" i="10"/>
  <c r="H535" i="10" s="1"/>
  <c r="AH71" i="10"/>
  <c r="C686" i="10"/>
  <c r="C531" i="10"/>
  <c r="C703" i="10"/>
  <c r="BF71" i="10"/>
  <c r="C697" i="10"/>
  <c r="C525" i="10"/>
  <c r="G525" i="10" s="1"/>
  <c r="C616" i="10"/>
  <c r="C543" i="10"/>
  <c r="C708" i="10"/>
  <c r="C536" i="10"/>
  <c r="G536" i="10" s="1"/>
  <c r="C685" i="10"/>
  <c r="C513" i="10"/>
  <c r="G513" i="10" s="1"/>
  <c r="F71" i="10"/>
  <c r="C572" i="10"/>
  <c r="C647" i="10"/>
  <c r="C645" i="10"/>
  <c r="C570" i="10"/>
  <c r="CE52" i="10"/>
  <c r="Z71" i="10"/>
  <c r="BA71" i="10"/>
  <c r="C644" i="10"/>
  <c r="C569" i="10"/>
  <c r="C702" i="10"/>
  <c r="C530" i="10"/>
  <c r="G530" i="10" s="1"/>
  <c r="C552" i="10"/>
  <c r="C618" i="10"/>
  <c r="C695" i="10"/>
  <c r="C523" i="10"/>
  <c r="G523" i="10" s="1"/>
  <c r="C706" i="10"/>
  <c r="C534" i="10"/>
  <c r="G534" i="10" s="1"/>
  <c r="C633" i="10"/>
  <c r="C548" i="10"/>
  <c r="BL71" i="10"/>
  <c r="BJ71" i="10"/>
  <c r="BE71" i="10"/>
  <c r="C672" i="10"/>
  <c r="C500" i="10"/>
  <c r="G500" i="10" s="1"/>
  <c r="N816" i="10"/>
  <c r="C465" i="10"/>
  <c r="K612" i="10"/>
  <c r="C709" i="10"/>
  <c r="C537" i="10"/>
  <c r="C690" i="10"/>
  <c r="C518" i="10"/>
  <c r="C670" i="10"/>
  <c r="C498" i="10"/>
  <c r="C638" i="10"/>
  <c r="C558" i="10"/>
  <c r="E734" i="10"/>
  <c r="E815" i="10" s="1"/>
  <c r="CE62" i="10"/>
  <c r="C71" i="10"/>
  <c r="C542" i="10"/>
  <c r="C631" i="10"/>
  <c r="C497" i="10"/>
  <c r="G497" i="10" s="1"/>
  <c r="C669" i="10"/>
  <c r="C635" i="10"/>
  <c r="C556" i="10"/>
  <c r="C636" i="10"/>
  <c r="C553" i="10"/>
  <c r="C673" i="10"/>
  <c r="C501" i="10"/>
  <c r="G501" i="10" s="1"/>
  <c r="C677" i="10"/>
  <c r="C505" i="10"/>
  <c r="G505" i="10" s="1"/>
  <c r="O71" i="10"/>
  <c r="C713" i="10"/>
  <c r="C541" i="10"/>
  <c r="C696" i="10"/>
  <c r="C524" i="10"/>
  <c r="G522" i="10"/>
  <c r="H522" i="10" s="1"/>
  <c r="AB71" i="10"/>
  <c r="C678" i="10"/>
  <c r="C506" i="10"/>
  <c r="G506" i="10" s="1"/>
  <c r="C689" i="10"/>
  <c r="C517" i="10"/>
  <c r="C560" i="10"/>
  <c r="C627" i="10"/>
  <c r="CE67" i="10"/>
  <c r="C701" i="10"/>
  <c r="C529" i="10"/>
  <c r="C688" i="10"/>
  <c r="C516" i="10"/>
  <c r="C674" i="10"/>
  <c r="C502" i="10"/>
  <c r="G502" i="10" s="1"/>
  <c r="S71" i="10"/>
  <c r="BZ71" i="10"/>
  <c r="AZ71" i="10"/>
  <c r="AG71" i="10"/>
  <c r="C676" i="10"/>
  <c r="C504" i="10"/>
  <c r="G504" i="10" s="1"/>
  <c r="C625" i="10"/>
  <c r="C544" i="10"/>
  <c r="AT71" i="10"/>
  <c r="AU71" i="10"/>
  <c r="C700" i="10"/>
  <c r="C528" i="10"/>
  <c r="CC71" i="10"/>
  <c r="J815" i="10"/>
  <c r="C634" i="10"/>
  <c r="C554" i="10"/>
  <c r="AA71" i="10"/>
  <c r="C683" i="10"/>
  <c r="C511" i="10"/>
  <c r="C642" i="10"/>
  <c r="C567" i="10"/>
  <c r="C621" i="10"/>
  <c r="C561" i="10"/>
  <c r="C641" i="10"/>
  <c r="C566" i="10"/>
  <c r="C679" i="10"/>
  <c r="C507" i="10"/>
  <c r="G507" i="10" s="1"/>
  <c r="C704" i="10"/>
  <c r="C532" i="10"/>
  <c r="G532" i="10" s="1"/>
  <c r="C563" i="10"/>
  <c r="C626" i="10"/>
  <c r="C623" i="10"/>
  <c r="C562" i="10"/>
  <c r="C682" i="10"/>
  <c r="C510" i="10"/>
  <c r="C640" i="10"/>
  <c r="C565" i="10"/>
  <c r="C705" i="10"/>
  <c r="C533" i="10"/>
  <c r="G533" i="10" s="1"/>
  <c r="C639" i="10"/>
  <c r="C564" i="10"/>
  <c r="C622" i="10"/>
  <c r="C573" i="10"/>
  <c r="C549" i="10"/>
  <c r="C624" i="10"/>
  <c r="C509" i="10" l="1"/>
  <c r="C632" i="10"/>
  <c r="C568" i="10"/>
  <c r="G528" i="10"/>
  <c r="H528" i="10" s="1"/>
  <c r="C698" i="10"/>
  <c r="C526" i="10"/>
  <c r="G529" i="10"/>
  <c r="H529" i="10" s="1"/>
  <c r="C680" i="10"/>
  <c r="C508" i="10"/>
  <c r="G510" i="10"/>
  <c r="H510" i="10" s="1"/>
  <c r="G511" i="10"/>
  <c r="H511" i="10" s="1"/>
  <c r="C628" i="10"/>
  <c r="C545" i="10"/>
  <c r="G545" i="10" s="1"/>
  <c r="C693" i="10"/>
  <c r="C521" i="10"/>
  <c r="C668" i="10"/>
  <c r="C496" i="10"/>
  <c r="G509" i="10"/>
  <c r="H509" i="10" s="1"/>
  <c r="C499" i="10"/>
  <c r="G499" i="10" s="1"/>
  <c r="C671" i="10"/>
  <c r="C540" i="10"/>
  <c r="G540" i="10" s="1"/>
  <c r="C712" i="10"/>
  <c r="C646" i="10"/>
  <c r="C571" i="10"/>
  <c r="J816" i="10"/>
  <c r="C433" i="10"/>
  <c r="E816" i="10"/>
  <c r="C428" i="10"/>
  <c r="C441" i="10" s="1"/>
  <c r="CE71" i="10"/>
  <c r="C716" i="10" s="1"/>
  <c r="G537" i="10"/>
  <c r="H537" i="10" s="1"/>
  <c r="C630" i="10"/>
  <c r="C546" i="10"/>
  <c r="C551" i="10"/>
  <c r="C629" i="10"/>
  <c r="C710" i="10"/>
  <c r="C538" i="10"/>
  <c r="G538" i="10" s="1"/>
  <c r="C711" i="10"/>
  <c r="C539" i="10"/>
  <c r="G539" i="10" s="1"/>
  <c r="C691" i="10"/>
  <c r="C519" i="10"/>
  <c r="G503" i="10"/>
  <c r="H503" i="10"/>
  <c r="G544" i="10"/>
  <c r="H544" i="10" s="1"/>
  <c r="G524" i="10"/>
  <c r="H524" i="10" s="1"/>
  <c r="G514" i="10"/>
  <c r="H514" i="10" s="1"/>
  <c r="G516" i="10"/>
  <c r="H516" i="10" s="1"/>
  <c r="G498" i="10"/>
  <c r="H498" i="10" s="1"/>
  <c r="C692" i="10"/>
  <c r="C520" i="10"/>
  <c r="C684" i="10"/>
  <c r="C512" i="10"/>
  <c r="C614" i="10"/>
  <c r="C550" i="10"/>
  <c r="C617" i="10"/>
  <c r="C555" i="10"/>
  <c r="G531" i="10"/>
  <c r="H531" i="10" s="1"/>
  <c r="G517" i="10"/>
  <c r="H517" i="10"/>
  <c r="C637" i="10"/>
  <c r="C557" i="10"/>
  <c r="C687" i="10"/>
  <c r="C515" i="10"/>
  <c r="C574" i="10"/>
  <c r="C620" i="10"/>
  <c r="C699" i="10"/>
  <c r="C527" i="10"/>
  <c r="G518" i="10"/>
  <c r="H518" i="10" s="1"/>
  <c r="G521" i="10" l="1"/>
  <c r="H521" i="10"/>
  <c r="G508" i="10"/>
  <c r="H508" i="10" s="1"/>
  <c r="C715" i="10"/>
  <c r="C648" i="10"/>
  <c r="M716" i="10" s="1"/>
  <c r="Y816" i="10" s="1"/>
  <c r="D615" i="10"/>
  <c r="H512" i="10"/>
  <c r="G512" i="10"/>
  <c r="G526" i="10"/>
  <c r="H526" i="10" s="1"/>
  <c r="G550" i="10"/>
  <c r="H550" i="10" s="1"/>
  <c r="G520" i="10"/>
  <c r="H520" i="10"/>
  <c r="G519" i="10"/>
  <c r="H519" i="10" s="1"/>
  <c r="G546" i="10"/>
  <c r="H546" i="10"/>
  <c r="G527" i="10"/>
  <c r="H527" i="10"/>
  <c r="G515" i="10"/>
  <c r="H515" i="10" s="1"/>
  <c r="G496" i="10"/>
  <c r="H496" i="10" s="1"/>
  <c r="D708" i="10" l="1"/>
  <c r="D713" i="10"/>
  <c r="D705" i="10"/>
  <c r="D710" i="10"/>
  <c r="D702" i="10"/>
  <c r="D707" i="10"/>
  <c r="D696" i="10"/>
  <c r="D688" i="10"/>
  <c r="D680" i="10"/>
  <c r="D672" i="10"/>
  <c r="D703" i="10"/>
  <c r="D701" i="10"/>
  <c r="D699" i="10"/>
  <c r="D690" i="10"/>
  <c r="D692" i="10"/>
  <c r="D684" i="10"/>
  <c r="D676" i="10"/>
  <c r="D698" i="10"/>
  <c r="D691" i="10"/>
  <c r="D675" i="10"/>
  <c r="D674" i="10"/>
  <c r="D673" i="10"/>
  <c r="D668" i="10"/>
  <c r="D646" i="10"/>
  <c r="D637" i="10"/>
  <c r="D625" i="10"/>
  <c r="D716" i="10"/>
  <c r="D711" i="10"/>
  <c r="D709" i="10"/>
  <c r="D704" i="10"/>
  <c r="D685" i="10"/>
  <c r="D647" i="10"/>
  <c r="D638" i="10"/>
  <c r="D628" i="10"/>
  <c r="D622" i="10"/>
  <c r="D618" i="10"/>
  <c r="D693" i="10"/>
  <c r="D686" i="10"/>
  <c r="D639" i="10"/>
  <c r="D669" i="10"/>
  <c r="D630" i="10"/>
  <c r="D621" i="10"/>
  <c r="D697" i="10"/>
  <c r="D695" i="10"/>
  <c r="D712" i="10"/>
  <c r="D682" i="10"/>
  <c r="D679" i="10"/>
  <c r="D670" i="10"/>
  <c r="D644" i="10"/>
  <c r="D642" i="10"/>
  <c r="D640" i="10"/>
  <c r="D620" i="10"/>
  <c r="D689" i="10"/>
  <c r="D687" i="10"/>
  <c r="D671" i="10"/>
  <c r="D706" i="10"/>
  <c r="D677" i="10"/>
  <c r="D629" i="10"/>
  <c r="D627" i="10"/>
  <c r="D624" i="10"/>
  <c r="D619" i="10"/>
  <c r="D694" i="10"/>
  <c r="D645" i="10"/>
  <c r="D636" i="10"/>
  <c r="D634" i="10"/>
  <c r="D617" i="10"/>
  <c r="D683" i="10"/>
  <c r="D643" i="10"/>
  <c r="D641" i="10"/>
  <c r="D632" i="10"/>
  <c r="D626" i="10"/>
  <c r="D681" i="10"/>
  <c r="D631" i="10"/>
  <c r="D635" i="10"/>
  <c r="D623" i="10"/>
  <c r="D700" i="10"/>
  <c r="D616" i="10"/>
  <c r="D678" i="10"/>
  <c r="D633" i="10"/>
  <c r="D715" i="10" l="1"/>
  <c r="E623" i="10"/>
  <c r="E612" i="10"/>
  <c r="E713" i="10" l="1"/>
  <c r="E710" i="10"/>
  <c r="E702" i="10"/>
  <c r="E716" i="10"/>
  <c r="E707" i="10"/>
  <c r="E699" i="10"/>
  <c r="E706" i="10"/>
  <c r="E704" i="10"/>
  <c r="E693" i="10"/>
  <c r="E685" i="10"/>
  <c r="E677" i="10"/>
  <c r="E669" i="10"/>
  <c r="E709" i="10"/>
  <c r="E708" i="10"/>
  <c r="E700" i="10"/>
  <c r="E698" i="10"/>
  <c r="E695" i="10"/>
  <c r="E687" i="10"/>
  <c r="E697" i="10"/>
  <c r="E689" i="10"/>
  <c r="E681" i="10"/>
  <c r="E673" i="10"/>
  <c r="E711" i="10"/>
  <c r="E701" i="10"/>
  <c r="E692" i="10"/>
  <c r="E647" i="10"/>
  <c r="E638" i="10"/>
  <c r="E628" i="10"/>
  <c r="E686" i="10"/>
  <c r="E672" i="10"/>
  <c r="E639" i="10"/>
  <c r="E694" i="10"/>
  <c r="E671" i="10"/>
  <c r="E640" i="10"/>
  <c r="E629" i="10"/>
  <c r="E626" i="10"/>
  <c r="E646" i="10"/>
  <c r="E637" i="10"/>
  <c r="E635" i="10"/>
  <c r="E633" i="10"/>
  <c r="E712" i="10"/>
  <c r="E684" i="10"/>
  <c r="E631" i="10"/>
  <c r="E625" i="10"/>
  <c r="E691" i="10"/>
  <c r="E674" i="10"/>
  <c r="E680" i="10"/>
  <c r="E645" i="10"/>
  <c r="E636" i="10"/>
  <c r="E634" i="10"/>
  <c r="E703" i="10"/>
  <c r="E696" i="10"/>
  <c r="E683" i="10"/>
  <c r="E643" i="10"/>
  <c r="E641" i="10"/>
  <c r="E632" i="10"/>
  <c r="E705" i="10"/>
  <c r="E678" i="10"/>
  <c r="E675" i="10"/>
  <c r="E668" i="10"/>
  <c r="E627" i="10"/>
  <c r="E682" i="10"/>
  <c r="E676" i="10"/>
  <c r="E670" i="10"/>
  <c r="E644" i="10"/>
  <c r="E642" i="10"/>
  <c r="E630" i="10"/>
  <c r="E624" i="10"/>
  <c r="E690" i="10"/>
  <c r="E688" i="10"/>
  <c r="E679" i="10"/>
  <c r="E715" i="10" l="1"/>
  <c r="F624" i="10"/>
  <c r="F710" i="10" l="1"/>
  <c r="F716" i="10"/>
  <c r="F707" i="10"/>
  <c r="F699" i="10"/>
  <c r="F712" i="10"/>
  <c r="F704" i="10"/>
  <c r="F705" i="10"/>
  <c r="F703" i="10"/>
  <c r="F701" i="10"/>
  <c r="F690" i="10"/>
  <c r="F682" i="10"/>
  <c r="F674" i="10"/>
  <c r="F692" i="10"/>
  <c r="F684" i="10"/>
  <c r="F711" i="10"/>
  <c r="F694" i="10"/>
  <c r="F686" i="10"/>
  <c r="F678" i="10"/>
  <c r="F713" i="10"/>
  <c r="F709" i="10"/>
  <c r="F685" i="10"/>
  <c r="F672" i="10"/>
  <c r="F639" i="10"/>
  <c r="F693" i="10"/>
  <c r="F671" i="10"/>
  <c r="F640" i="10"/>
  <c r="F629" i="10"/>
  <c r="F626" i="10"/>
  <c r="F687" i="10"/>
  <c r="F641" i="10"/>
  <c r="F633" i="10"/>
  <c r="F632" i="10"/>
  <c r="F631" i="10"/>
  <c r="F630" i="10"/>
  <c r="F697" i="10"/>
  <c r="F695" i="10"/>
  <c r="F679" i="10"/>
  <c r="F676" i="10"/>
  <c r="F673" i="10"/>
  <c r="F670" i="10"/>
  <c r="F644" i="10"/>
  <c r="F642" i="10"/>
  <c r="F628" i="10"/>
  <c r="F691" i="10"/>
  <c r="F689" i="10"/>
  <c r="F627" i="10"/>
  <c r="F706" i="10"/>
  <c r="F680" i="10"/>
  <c r="F677" i="10"/>
  <c r="F647" i="10"/>
  <c r="F645" i="10"/>
  <c r="F638" i="10"/>
  <c r="F636" i="10"/>
  <c r="F696" i="10"/>
  <c r="F683" i="10"/>
  <c r="F643" i="10"/>
  <c r="F708" i="10"/>
  <c r="F698" i="10"/>
  <c r="F675" i="10"/>
  <c r="F668" i="10"/>
  <c r="F700" i="10"/>
  <c r="F688" i="10"/>
  <c r="F681" i="10"/>
  <c r="F637" i="10"/>
  <c r="F669" i="10"/>
  <c r="F635" i="10"/>
  <c r="F625" i="10"/>
  <c r="F634" i="10"/>
  <c r="F702" i="10"/>
  <c r="F646" i="10"/>
  <c r="F715" i="10" l="1"/>
  <c r="G625" i="10"/>
  <c r="G716" i="10" l="1"/>
  <c r="G707" i="10"/>
  <c r="G712" i="10"/>
  <c r="G704" i="10"/>
  <c r="G709" i="10"/>
  <c r="G701" i="10"/>
  <c r="G708" i="10"/>
  <c r="G702" i="10"/>
  <c r="G700" i="10"/>
  <c r="G698" i="10"/>
  <c r="G695" i="10"/>
  <c r="G687" i="10"/>
  <c r="G679" i="10"/>
  <c r="G671" i="10"/>
  <c r="G697" i="10"/>
  <c r="G689" i="10"/>
  <c r="G691" i="10"/>
  <c r="G683" i="10"/>
  <c r="G675" i="10"/>
  <c r="G693" i="10"/>
  <c r="G686" i="10"/>
  <c r="G640" i="10"/>
  <c r="G629" i="10"/>
  <c r="G626" i="10"/>
  <c r="G694" i="10"/>
  <c r="G641" i="10"/>
  <c r="G633" i="10"/>
  <c r="G632" i="10"/>
  <c r="G631" i="10"/>
  <c r="G630" i="10"/>
  <c r="G699" i="10"/>
  <c r="G688" i="10"/>
  <c r="G670" i="10"/>
  <c r="G642" i="10"/>
  <c r="G634" i="10"/>
  <c r="G713" i="10"/>
  <c r="G684" i="10"/>
  <c r="G682" i="10"/>
  <c r="G706" i="10"/>
  <c r="G680" i="10"/>
  <c r="G677" i="10"/>
  <c r="G674" i="10"/>
  <c r="G647" i="10"/>
  <c r="G645" i="10"/>
  <c r="G638" i="10"/>
  <c r="G636" i="10"/>
  <c r="G696" i="10"/>
  <c r="G643" i="10"/>
  <c r="G703" i="10"/>
  <c r="G685" i="10"/>
  <c r="G668" i="10"/>
  <c r="G711" i="10"/>
  <c r="G705" i="10"/>
  <c r="G681" i="10"/>
  <c r="G678" i="10"/>
  <c r="G672" i="10"/>
  <c r="G692" i="10"/>
  <c r="G690" i="10"/>
  <c r="G669" i="10"/>
  <c r="G646" i="10"/>
  <c r="G639" i="10"/>
  <c r="G637" i="10"/>
  <c r="G635" i="10"/>
  <c r="G676" i="10"/>
  <c r="G644" i="10"/>
  <c r="G710" i="10"/>
  <c r="G673" i="10"/>
  <c r="G627" i="10"/>
  <c r="G628" i="10"/>
  <c r="G715" i="10" l="1"/>
  <c r="H628" i="10"/>
  <c r="H712" i="10" l="1"/>
  <c r="H709" i="10"/>
  <c r="H701" i="10"/>
  <c r="H706" i="10"/>
  <c r="H698" i="10"/>
  <c r="H699" i="10"/>
  <c r="H692" i="10"/>
  <c r="H684" i="10"/>
  <c r="H676" i="10"/>
  <c r="H668" i="10"/>
  <c r="H711" i="10"/>
  <c r="H710" i="10"/>
  <c r="H694" i="10"/>
  <c r="H686" i="10"/>
  <c r="H716" i="10"/>
  <c r="H696" i="10"/>
  <c r="H688" i="10"/>
  <c r="H680" i="10"/>
  <c r="H704" i="10"/>
  <c r="H671" i="10"/>
  <c r="H641" i="10"/>
  <c r="H633" i="10"/>
  <c r="H632" i="10"/>
  <c r="H631" i="10"/>
  <c r="H630" i="10"/>
  <c r="H707" i="10"/>
  <c r="H687" i="10"/>
  <c r="H670" i="10"/>
  <c r="H642" i="10"/>
  <c r="H634" i="10"/>
  <c r="H705" i="10"/>
  <c r="H702" i="10"/>
  <c r="H695" i="10"/>
  <c r="H643" i="10"/>
  <c r="H635" i="10"/>
  <c r="H693" i="10"/>
  <c r="H691" i="10"/>
  <c r="H689" i="10"/>
  <c r="H703" i="10"/>
  <c r="H685" i="10"/>
  <c r="H683" i="10"/>
  <c r="H708" i="10"/>
  <c r="H681" i="10"/>
  <c r="H678" i="10"/>
  <c r="H675" i="10"/>
  <c r="H672" i="10"/>
  <c r="H700" i="10"/>
  <c r="H690" i="10"/>
  <c r="H669" i="10"/>
  <c r="H646" i="10"/>
  <c r="H639" i="10"/>
  <c r="H637" i="10"/>
  <c r="H673" i="10"/>
  <c r="H644" i="10"/>
  <c r="H697" i="10"/>
  <c r="H682" i="10"/>
  <c r="H636" i="10"/>
  <c r="H713" i="10"/>
  <c r="H674" i="10"/>
  <c r="H679" i="10"/>
  <c r="H647" i="10"/>
  <c r="H640" i="10"/>
  <c r="H629" i="10"/>
  <c r="H677" i="10"/>
  <c r="H645" i="10"/>
  <c r="H638" i="10"/>
  <c r="H715" i="10" l="1"/>
  <c r="I629" i="10"/>
  <c r="I716" i="10" l="1"/>
  <c r="I709" i="10"/>
  <c r="I706" i="10"/>
  <c r="I698" i="10"/>
  <c r="I711" i="10"/>
  <c r="I703" i="10"/>
  <c r="I697" i="10"/>
  <c r="I689" i="10"/>
  <c r="I681" i="10"/>
  <c r="I673" i="10"/>
  <c r="I691" i="10"/>
  <c r="I683" i="10"/>
  <c r="I713" i="10"/>
  <c r="I712" i="10"/>
  <c r="I693" i="10"/>
  <c r="I685" i="10"/>
  <c r="I677" i="10"/>
  <c r="I707" i="10"/>
  <c r="I694" i="10"/>
  <c r="I687" i="10"/>
  <c r="I670" i="10"/>
  <c r="I642" i="10"/>
  <c r="I634" i="10"/>
  <c r="I705" i="10"/>
  <c r="I702" i="10"/>
  <c r="I699" i="10"/>
  <c r="I695" i="10"/>
  <c r="I688" i="10"/>
  <c r="I643" i="10"/>
  <c r="I635" i="10"/>
  <c r="I696" i="10"/>
  <c r="I682" i="10"/>
  <c r="I669" i="10"/>
  <c r="I645" i="10"/>
  <c r="I644" i="10"/>
  <c r="I636" i="10"/>
  <c r="I674" i="10"/>
  <c r="I647" i="10"/>
  <c r="I640" i="10"/>
  <c r="I638" i="10"/>
  <c r="I704" i="10"/>
  <c r="I671" i="10"/>
  <c r="I708" i="10"/>
  <c r="I701" i="10"/>
  <c r="I678" i="10"/>
  <c r="I675" i="10"/>
  <c r="I672" i="10"/>
  <c r="I668" i="10"/>
  <c r="I700" i="10"/>
  <c r="I690" i="10"/>
  <c r="I646" i="10"/>
  <c r="I641" i="10"/>
  <c r="I639" i="10"/>
  <c r="I637" i="10"/>
  <c r="I632" i="10"/>
  <c r="I692" i="10"/>
  <c r="I710" i="10"/>
  <c r="I679" i="10"/>
  <c r="I676" i="10"/>
  <c r="I630" i="10"/>
  <c r="I631" i="10"/>
  <c r="I680" i="10"/>
  <c r="I633" i="10"/>
  <c r="I684" i="10"/>
  <c r="I686" i="10"/>
  <c r="I715" i="10" l="1"/>
  <c r="J630" i="10"/>
  <c r="J716" i="10" l="1"/>
  <c r="J711" i="10"/>
  <c r="J703" i="10"/>
  <c r="J708" i="10"/>
  <c r="J700" i="10"/>
  <c r="J710" i="10"/>
  <c r="J709" i="10"/>
  <c r="J694" i="10"/>
  <c r="J686" i="10"/>
  <c r="J678" i="10"/>
  <c r="J670" i="10"/>
  <c r="J647" i="10"/>
  <c r="J646" i="10"/>
  <c r="J645" i="10"/>
  <c r="J696" i="10"/>
  <c r="J688" i="10"/>
  <c r="J705" i="10"/>
  <c r="J690" i="10"/>
  <c r="J682" i="10"/>
  <c r="J674" i="10"/>
  <c r="J702" i="10"/>
  <c r="J699" i="10"/>
  <c r="J695" i="10"/>
  <c r="J643" i="10"/>
  <c r="J635" i="10"/>
  <c r="J669" i="10"/>
  <c r="J644" i="10"/>
  <c r="J636" i="10"/>
  <c r="J712" i="10"/>
  <c r="J689" i="10"/>
  <c r="J681" i="10"/>
  <c r="J680" i="10"/>
  <c r="J679" i="10"/>
  <c r="J637" i="10"/>
  <c r="J704" i="10"/>
  <c r="J693" i="10"/>
  <c r="J691" i="10"/>
  <c r="J677" i="10"/>
  <c r="J631" i="10"/>
  <c r="J706" i="10"/>
  <c r="J701" i="10"/>
  <c r="J687" i="10"/>
  <c r="J685" i="10"/>
  <c r="J683" i="10"/>
  <c r="J675" i="10"/>
  <c r="J672" i="10"/>
  <c r="J668" i="10"/>
  <c r="J634" i="10"/>
  <c r="J641" i="10"/>
  <c r="J639" i="10"/>
  <c r="J698" i="10"/>
  <c r="J692" i="10"/>
  <c r="J676" i="10"/>
  <c r="J673" i="10"/>
  <c r="J713" i="10"/>
  <c r="J697" i="10"/>
  <c r="J684" i="10"/>
  <c r="J633" i="10"/>
  <c r="J642" i="10"/>
  <c r="J707" i="10"/>
  <c r="J640" i="10"/>
  <c r="J671" i="10"/>
  <c r="J632" i="10"/>
  <c r="J638" i="10"/>
  <c r="L647" i="10" l="1"/>
  <c r="L705" i="10" s="1"/>
  <c r="J715" i="10"/>
  <c r="K644" i="10"/>
  <c r="L698" i="10" l="1"/>
  <c r="L683" i="10"/>
  <c r="L689" i="10"/>
  <c r="L693" i="10"/>
  <c r="L690" i="10"/>
  <c r="L695" i="10"/>
  <c r="L685" i="10"/>
  <c r="L700" i="10"/>
  <c r="L676" i="10"/>
  <c r="L716" i="10"/>
  <c r="L686" i="10"/>
  <c r="L706" i="10"/>
  <c r="L678" i="10"/>
  <c r="L699" i="10"/>
  <c r="L688" i="10"/>
  <c r="L671" i="10"/>
  <c r="L669" i="10"/>
  <c r="L673" i="10"/>
  <c r="L679" i="10"/>
  <c r="L701" i="10"/>
  <c r="L696" i="10"/>
  <c r="L697" i="10"/>
  <c r="L704" i="10"/>
  <c r="L670" i="10"/>
  <c r="L711" i="10"/>
  <c r="L687" i="10"/>
  <c r="L674" i="10"/>
  <c r="L668" i="10"/>
  <c r="L712" i="10"/>
  <c r="L684" i="10"/>
  <c r="L703" i="10"/>
  <c r="L672" i="10"/>
  <c r="L702" i="10"/>
  <c r="L713" i="10"/>
  <c r="L691" i="10"/>
  <c r="L707" i="10"/>
  <c r="L694" i="10"/>
  <c r="L709" i="10"/>
  <c r="L675" i="10"/>
  <c r="L677" i="10"/>
  <c r="L681" i="10"/>
  <c r="L692" i="10"/>
  <c r="L682" i="10"/>
  <c r="L680" i="10"/>
  <c r="L710" i="10"/>
  <c r="L708" i="10"/>
  <c r="K711" i="10"/>
  <c r="K708" i="10"/>
  <c r="K700" i="10"/>
  <c r="K713" i="10"/>
  <c r="K705" i="10"/>
  <c r="M705" i="10" s="1"/>
  <c r="Y771" i="10" s="1"/>
  <c r="K691" i="10"/>
  <c r="K683" i="10"/>
  <c r="K675" i="10"/>
  <c r="K712" i="10"/>
  <c r="K693" i="10"/>
  <c r="M693" i="10" s="1"/>
  <c r="Y759" i="10" s="1"/>
  <c r="K685" i="10"/>
  <c r="K707" i="10"/>
  <c r="K706" i="10"/>
  <c r="K704" i="10"/>
  <c r="K702" i="10"/>
  <c r="M702" i="10" s="1"/>
  <c r="Y768" i="10" s="1"/>
  <c r="K695" i="10"/>
  <c r="M695" i="10" s="1"/>
  <c r="Y761" i="10" s="1"/>
  <c r="K687" i="10"/>
  <c r="K679" i="10"/>
  <c r="K716" i="10"/>
  <c r="K688" i="10"/>
  <c r="K669" i="10"/>
  <c r="K696" i="10"/>
  <c r="K689" i="10"/>
  <c r="K682" i="10"/>
  <c r="K681" i="10"/>
  <c r="K680" i="10"/>
  <c r="K710" i="10"/>
  <c r="K697" i="10"/>
  <c r="K690" i="10"/>
  <c r="K678" i="10"/>
  <c r="K677" i="10"/>
  <c r="K676" i="10"/>
  <c r="K668" i="10"/>
  <c r="K699" i="10"/>
  <c r="K671" i="10"/>
  <c r="K701" i="10"/>
  <c r="K709" i="10"/>
  <c r="K703" i="10"/>
  <c r="K698" i="10"/>
  <c r="M698" i="10" s="1"/>
  <c r="Y764" i="10" s="1"/>
  <c r="K692" i="10"/>
  <c r="K694" i="10"/>
  <c r="K673" i="10"/>
  <c r="K684" i="10"/>
  <c r="K686" i="10"/>
  <c r="K670" i="10"/>
  <c r="K674" i="10"/>
  <c r="K672" i="10"/>
  <c r="M697" i="10" l="1"/>
  <c r="Y763" i="10" s="1"/>
  <c r="M683" i="10"/>
  <c r="Y749" i="10" s="1"/>
  <c r="M672" i="10"/>
  <c r="Y738" i="10" s="1"/>
  <c r="M671" i="10"/>
  <c r="Y737" i="10" s="1"/>
  <c r="M677" i="10"/>
  <c r="Y743" i="10" s="1"/>
  <c r="M700" i="10"/>
  <c r="Y766" i="10" s="1"/>
  <c r="M688" i="10"/>
  <c r="Y754" i="10" s="1"/>
  <c r="M689" i="10"/>
  <c r="Y755" i="10" s="1"/>
  <c r="M673" i="10"/>
  <c r="Y739" i="10" s="1"/>
  <c r="M699" i="10"/>
  <c r="Y765" i="10" s="1"/>
  <c r="M690" i="10"/>
  <c r="Y756" i="10" s="1"/>
  <c r="M670" i="10"/>
  <c r="Y736" i="10" s="1"/>
  <c r="M669" i="10"/>
  <c r="Y735" i="10" s="1"/>
  <c r="M706" i="10"/>
  <c r="Y772" i="10" s="1"/>
  <c r="M686" i="10"/>
  <c r="Y752" i="10" s="1"/>
  <c r="M668" i="10"/>
  <c r="Y734" i="10" s="1"/>
  <c r="M701" i="10"/>
  <c r="Y767" i="10" s="1"/>
  <c r="M676" i="10"/>
  <c r="Y742" i="10" s="1"/>
  <c r="M685" i="10"/>
  <c r="Y751" i="10" s="1"/>
  <c r="M678" i="10"/>
  <c r="Y744" i="10" s="1"/>
  <c r="M696" i="10"/>
  <c r="Y762" i="10" s="1"/>
  <c r="M679" i="10"/>
  <c r="Y745" i="10" s="1"/>
  <c r="M674" i="10"/>
  <c r="Y740" i="10" s="1"/>
  <c r="M703" i="10"/>
  <c r="Y769" i="10" s="1"/>
  <c r="M704" i="10"/>
  <c r="Y770" i="10" s="1"/>
  <c r="M691" i="10"/>
  <c r="Y757" i="10" s="1"/>
  <c r="M682" i="10"/>
  <c r="Y748" i="10" s="1"/>
  <c r="M675" i="10"/>
  <c r="Y741" i="10" s="1"/>
  <c r="M680" i="10"/>
  <c r="Y746" i="10" s="1"/>
  <c r="M707" i="10"/>
  <c r="Y773" i="10" s="1"/>
  <c r="M694" i="10"/>
  <c r="Y760" i="10" s="1"/>
  <c r="M681" i="10"/>
  <c r="Y747" i="10" s="1"/>
  <c r="M712" i="10"/>
  <c r="Y778" i="10" s="1"/>
  <c r="M711" i="10"/>
  <c r="Y777" i="10" s="1"/>
  <c r="M708" i="10"/>
  <c r="Y774" i="10" s="1"/>
  <c r="L715" i="10"/>
  <c r="M687" i="10"/>
  <c r="Y753" i="10" s="1"/>
  <c r="M692" i="10"/>
  <c r="Y758" i="10" s="1"/>
  <c r="M713" i="10"/>
  <c r="Y779" i="10" s="1"/>
  <c r="M709" i="10"/>
  <c r="Y775" i="10" s="1"/>
  <c r="M684" i="10"/>
  <c r="Y750" i="10" s="1"/>
  <c r="M710" i="10"/>
  <c r="Y776" i="10" s="1"/>
  <c r="K715" i="10"/>
  <c r="Y815" i="10" l="1"/>
  <c r="M715" i="10"/>
  <c r="F493" i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C434" i="1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C473" i="1" s="1"/>
  <c r="E201" i="1"/>
  <c r="E202" i="1"/>
  <c r="C474" i="1" s="1"/>
  <c r="E203" i="1"/>
  <c r="F15" i="6" s="1"/>
  <c r="D204" i="1"/>
  <c r="E16" i="6" s="1"/>
  <c r="B204" i="1"/>
  <c r="D190" i="1"/>
  <c r="D437" i="1" s="1"/>
  <c r="D186" i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G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D436" i="1"/>
  <c r="C34" i="5"/>
  <c r="D366" i="9"/>
  <c r="CE64" i="1"/>
  <c r="F612" i="1" s="1"/>
  <c r="D368" i="9"/>
  <c r="C276" i="9"/>
  <c r="CE70" i="1"/>
  <c r="C458" i="1" s="1"/>
  <c r="CE76" i="1"/>
  <c r="D612" i="1" s="1"/>
  <c r="CE77" i="1"/>
  <c r="G612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CD71" i="1"/>
  <c r="E373" i="9" s="1"/>
  <c r="C615" i="1"/>
  <c r="E372" i="9"/>
  <c r="C575" i="1"/>
  <c r="F10" i="4"/>
  <c r="F499" i="1"/>
  <c r="F517" i="1"/>
  <c r="H505" i="1"/>
  <c r="H501" i="1"/>
  <c r="F501" i="1"/>
  <c r="F497" i="1"/>
  <c r="H497" i="1"/>
  <c r="H499" i="1"/>
  <c r="D368" i="1" l="1"/>
  <c r="C120" i="8" s="1"/>
  <c r="D32" i="6"/>
  <c r="D186" i="9"/>
  <c r="C218" i="9"/>
  <c r="C119" i="8"/>
  <c r="C448" i="1"/>
  <c r="F9" i="6"/>
  <c r="D13" i="7"/>
  <c r="D5" i="7"/>
  <c r="C475" i="1"/>
  <c r="F12" i="6"/>
  <c r="F11" i="6"/>
  <c r="F8" i="6"/>
  <c r="C141" i="8"/>
  <c r="C14" i="5"/>
  <c r="E10" i="4"/>
  <c r="D463" i="1"/>
  <c r="G28" i="4"/>
  <c r="E19" i="4"/>
  <c r="G19" i="4"/>
  <c r="I612" i="1"/>
  <c r="I381" i="9"/>
  <c r="CF77" i="1"/>
  <c r="I380" i="9"/>
  <c r="CF76" i="1"/>
  <c r="AV52" i="1" s="1"/>
  <c r="AV67" i="1" s="1"/>
  <c r="H58" i="9"/>
  <c r="C464" i="1"/>
  <c r="G90" i="9"/>
  <c r="G122" i="9"/>
  <c r="I90" i="9"/>
  <c r="I372" i="9"/>
  <c r="C440" i="1"/>
  <c r="C432" i="1"/>
  <c r="I370" i="9"/>
  <c r="C430" i="1"/>
  <c r="I366" i="9"/>
  <c r="C429" i="1"/>
  <c r="BT48" i="1"/>
  <c r="BT62" i="1" s="1"/>
  <c r="AI48" i="1"/>
  <c r="AI62" i="1" s="1"/>
  <c r="D48" i="1"/>
  <c r="D62" i="1" s="1"/>
  <c r="AN48" i="1"/>
  <c r="AN62" i="1" s="1"/>
  <c r="U48" i="1"/>
  <c r="U62" i="1" s="1"/>
  <c r="G76" i="9" s="1"/>
  <c r="R48" i="1"/>
  <c r="R62" i="1" s="1"/>
  <c r="BD48" i="1"/>
  <c r="BD62" i="1" s="1"/>
  <c r="AO48" i="1"/>
  <c r="AO62" i="1" s="1"/>
  <c r="AC48" i="1"/>
  <c r="AC62" i="1" s="1"/>
  <c r="H108" i="9" s="1"/>
  <c r="W48" i="1"/>
  <c r="W62" i="1" s="1"/>
  <c r="AH48" i="1"/>
  <c r="AH62" i="1" s="1"/>
  <c r="BN48" i="1"/>
  <c r="BN62" i="1" s="1"/>
  <c r="C300" i="9" s="1"/>
  <c r="K48" i="1"/>
  <c r="K62" i="1" s="1"/>
  <c r="BU48" i="1"/>
  <c r="BU62" i="1" s="1"/>
  <c r="C332" i="9" s="1"/>
  <c r="F48" i="1"/>
  <c r="F62" i="1" s="1"/>
  <c r="AX48" i="1"/>
  <c r="AX62" i="1" s="1"/>
  <c r="H204" i="9" s="1"/>
  <c r="BO48" i="1"/>
  <c r="BO62" i="1" s="1"/>
  <c r="D300" i="9" s="1"/>
  <c r="T48" i="1"/>
  <c r="T62" i="1" s="1"/>
  <c r="J48" i="1"/>
  <c r="J62" i="1" s="1"/>
  <c r="AJ48" i="1"/>
  <c r="AJ62" i="1" s="1"/>
  <c r="H140" i="9" s="1"/>
  <c r="AZ48" i="1"/>
  <c r="AZ62" i="1" s="1"/>
  <c r="C236" i="9" s="1"/>
  <c r="BP48" i="1"/>
  <c r="BP62" i="1" s="1"/>
  <c r="CB48" i="1"/>
  <c r="CB62" i="1" s="1"/>
  <c r="C364" i="9" s="1"/>
  <c r="AA48" i="1"/>
  <c r="AA62" i="1" s="1"/>
  <c r="F108" i="9" s="1"/>
  <c r="CC48" i="1"/>
  <c r="CC62" i="1" s="1"/>
  <c r="E48" i="1"/>
  <c r="E62" i="1" s="1"/>
  <c r="M48" i="1"/>
  <c r="M62" i="1" s="1"/>
  <c r="I363" i="9"/>
  <c r="AD48" i="1"/>
  <c r="AD62" i="1" s="1"/>
  <c r="AT48" i="1"/>
  <c r="AT62" i="1" s="1"/>
  <c r="BJ48" i="1"/>
  <c r="BJ62" i="1" s="1"/>
  <c r="F268" i="9" s="1"/>
  <c r="BY48" i="1"/>
  <c r="BY62" i="1" s="1"/>
  <c r="AY48" i="1"/>
  <c r="AY62" i="1" s="1"/>
  <c r="BE48" i="1"/>
  <c r="BE62" i="1" s="1"/>
  <c r="BA48" i="1"/>
  <c r="BA62" i="1" s="1"/>
  <c r="BZ48" i="1"/>
  <c r="BZ62" i="1" s="1"/>
  <c r="H332" i="9" s="1"/>
  <c r="L48" i="1"/>
  <c r="L62" i="1" s="1"/>
  <c r="AS48" i="1"/>
  <c r="AS62" i="1" s="1"/>
  <c r="N48" i="1"/>
  <c r="N62" i="1" s="1"/>
  <c r="G44" i="9" s="1"/>
  <c r="Z48" i="1"/>
  <c r="Z62" i="1" s="1"/>
  <c r="E108" i="9" s="1"/>
  <c r="AP48" i="1"/>
  <c r="AP62" i="1" s="1"/>
  <c r="AV48" i="1"/>
  <c r="AV62" i="1" s="1"/>
  <c r="F204" i="9" s="1"/>
  <c r="BB48" i="1"/>
  <c r="BB62" i="1" s="1"/>
  <c r="BH48" i="1"/>
  <c r="BH62" i="1" s="1"/>
  <c r="BV48" i="1"/>
  <c r="BV62" i="1" s="1"/>
  <c r="CA48" i="1"/>
  <c r="CA62" i="1" s="1"/>
  <c r="I332" i="9" s="1"/>
  <c r="C48" i="1"/>
  <c r="S48" i="1"/>
  <c r="S62" i="1" s="1"/>
  <c r="AQ48" i="1"/>
  <c r="AQ62" i="1" s="1"/>
  <c r="BW48" i="1"/>
  <c r="BW62" i="1" s="1"/>
  <c r="E332" i="9" s="1"/>
  <c r="Q48" i="1"/>
  <c r="Q62" i="1" s="1"/>
  <c r="AG48" i="1"/>
  <c r="AG62" i="1" s="1"/>
  <c r="BM48" i="1"/>
  <c r="BM62" i="1" s="1"/>
  <c r="BQ48" i="1"/>
  <c r="BQ62" i="1" s="1"/>
  <c r="BI48" i="1"/>
  <c r="BI62" i="1" s="1"/>
  <c r="O48" i="1"/>
  <c r="O62" i="1" s="1"/>
  <c r="H44" i="9" s="1"/>
  <c r="AE48" i="1"/>
  <c r="AE62" i="1" s="1"/>
  <c r="C140" i="9" s="1"/>
  <c r="AU48" i="1"/>
  <c r="AU62" i="1" s="1"/>
  <c r="H48" i="1"/>
  <c r="H62" i="1" s="1"/>
  <c r="X48" i="1"/>
  <c r="X62" i="1" s="1"/>
  <c r="V48" i="1"/>
  <c r="V62" i="1" s="1"/>
  <c r="H76" i="9" s="1"/>
  <c r="AF48" i="1"/>
  <c r="AF62" i="1" s="1"/>
  <c r="D140" i="9" s="1"/>
  <c r="AL48" i="1"/>
  <c r="AL62" i="1" s="1"/>
  <c r="AR48" i="1"/>
  <c r="AR62" i="1" s="1"/>
  <c r="BF48" i="1"/>
  <c r="BF62" i="1" s="1"/>
  <c r="BL48" i="1"/>
  <c r="BL62" i="1" s="1"/>
  <c r="H268" i="9" s="1"/>
  <c r="BR48" i="1"/>
  <c r="BR62" i="1" s="1"/>
  <c r="G300" i="9" s="1"/>
  <c r="BX48" i="1"/>
  <c r="BX62" i="1" s="1"/>
  <c r="BG48" i="1"/>
  <c r="BG62" i="1" s="1"/>
  <c r="I48" i="1"/>
  <c r="I62" i="1" s="1"/>
  <c r="Y48" i="1"/>
  <c r="Y62" i="1" s="1"/>
  <c r="AW48" i="1"/>
  <c r="AW62" i="1" s="1"/>
  <c r="G204" i="9" s="1"/>
  <c r="AK48" i="1"/>
  <c r="AK62" i="1" s="1"/>
  <c r="C427" i="1"/>
  <c r="AM48" i="1"/>
  <c r="AM62" i="1" s="1"/>
  <c r="BC48" i="1"/>
  <c r="BC62" i="1" s="1"/>
  <c r="BS48" i="1"/>
  <c r="BS62" i="1" s="1"/>
  <c r="H300" i="9" s="1"/>
  <c r="G48" i="1"/>
  <c r="G62" i="1" s="1"/>
  <c r="G12" i="9" s="1"/>
  <c r="P48" i="1"/>
  <c r="P62" i="1" s="1"/>
  <c r="AB48" i="1"/>
  <c r="AB62" i="1" s="1"/>
  <c r="I362" i="9"/>
  <c r="C415" i="1"/>
  <c r="B10" i="4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Q52" i="1"/>
  <c r="BQ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E236" i="9" l="1"/>
  <c r="D465" i="1"/>
  <c r="T52" i="1"/>
  <c r="T67" i="1" s="1"/>
  <c r="L52" i="1"/>
  <c r="L67" i="1" s="1"/>
  <c r="G52" i="1"/>
  <c r="G67" i="1" s="1"/>
  <c r="G71" i="1" s="1"/>
  <c r="C500" i="1" s="1"/>
  <c r="G500" i="1" s="1"/>
  <c r="BV52" i="1"/>
  <c r="BV67" i="1" s="1"/>
  <c r="BV71" i="1" s="1"/>
  <c r="D341" i="9" s="1"/>
  <c r="F209" i="9"/>
  <c r="AJ52" i="1"/>
  <c r="AJ67" i="1" s="1"/>
  <c r="H145" i="9" s="1"/>
  <c r="D52" i="1"/>
  <c r="D67" i="1" s="1"/>
  <c r="S52" i="1"/>
  <c r="S67" i="1" s="1"/>
  <c r="E81" i="9" s="1"/>
  <c r="AG52" i="1"/>
  <c r="AG67" i="1" s="1"/>
  <c r="E145" i="9" s="1"/>
  <c r="C52" i="1"/>
  <c r="C67" i="1" s="1"/>
  <c r="AX52" i="1"/>
  <c r="AX67" i="1" s="1"/>
  <c r="AX71" i="1" s="1"/>
  <c r="C543" i="1" s="1"/>
  <c r="BM52" i="1"/>
  <c r="BM67" i="1" s="1"/>
  <c r="I273" i="9" s="1"/>
  <c r="P52" i="1"/>
  <c r="P67" i="1" s="1"/>
  <c r="I49" i="9" s="1"/>
  <c r="I52" i="1"/>
  <c r="I67" i="1" s="1"/>
  <c r="O52" i="1"/>
  <c r="O67" i="1" s="1"/>
  <c r="BX52" i="1"/>
  <c r="BX67" i="1" s="1"/>
  <c r="BN52" i="1"/>
  <c r="BN67" i="1" s="1"/>
  <c r="C305" i="9" s="1"/>
  <c r="BF52" i="1"/>
  <c r="BF67" i="1" s="1"/>
  <c r="BF71" i="1" s="1"/>
  <c r="C551" i="1" s="1"/>
  <c r="AU52" i="1"/>
  <c r="AU67" i="1" s="1"/>
  <c r="E209" i="9" s="1"/>
  <c r="U52" i="1"/>
  <c r="U67" i="1" s="1"/>
  <c r="G81" i="9" s="1"/>
  <c r="Q52" i="1"/>
  <c r="Q67" i="1" s="1"/>
  <c r="BT52" i="1"/>
  <c r="BT67" i="1" s="1"/>
  <c r="AY52" i="1"/>
  <c r="AY67" i="1" s="1"/>
  <c r="I209" i="9" s="1"/>
  <c r="CC52" i="1"/>
  <c r="CC67" i="1" s="1"/>
  <c r="D369" i="9" s="1"/>
  <c r="AL52" i="1"/>
  <c r="AL67" i="1" s="1"/>
  <c r="BW52" i="1"/>
  <c r="BW67" i="1" s="1"/>
  <c r="BS52" i="1"/>
  <c r="BS67" i="1" s="1"/>
  <c r="BS71" i="1" s="1"/>
  <c r="AC52" i="1"/>
  <c r="AC67" i="1" s="1"/>
  <c r="AZ52" i="1"/>
  <c r="AZ67" i="1" s="1"/>
  <c r="X52" i="1"/>
  <c r="X67" i="1" s="1"/>
  <c r="BE52" i="1"/>
  <c r="BE67" i="1" s="1"/>
  <c r="BE71" i="1" s="1"/>
  <c r="C614" i="1" s="1"/>
  <c r="AK52" i="1"/>
  <c r="AK67" i="1" s="1"/>
  <c r="AK71" i="1" s="1"/>
  <c r="AW52" i="1"/>
  <c r="AW67" i="1" s="1"/>
  <c r="AW71" i="1" s="1"/>
  <c r="BY52" i="1"/>
  <c r="BY67" i="1" s="1"/>
  <c r="AM52" i="1"/>
  <c r="AM67" i="1" s="1"/>
  <c r="W52" i="1"/>
  <c r="W67" i="1" s="1"/>
  <c r="W71" i="1" s="1"/>
  <c r="AN52" i="1"/>
  <c r="AN67" i="1" s="1"/>
  <c r="AI52" i="1"/>
  <c r="AI67" i="1" s="1"/>
  <c r="AI71" i="1" s="1"/>
  <c r="G149" i="9" s="1"/>
  <c r="BO52" i="1"/>
  <c r="BO67" i="1" s="1"/>
  <c r="D305" i="9" s="1"/>
  <c r="H52" i="1"/>
  <c r="H67" i="1" s="1"/>
  <c r="H71" i="1" s="1"/>
  <c r="C501" i="1" s="1"/>
  <c r="G501" i="1" s="1"/>
  <c r="BA52" i="1"/>
  <c r="BA67" i="1" s="1"/>
  <c r="K52" i="1"/>
  <c r="K67" i="1" s="1"/>
  <c r="Y52" i="1"/>
  <c r="Y67" i="1" s="1"/>
  <c r="D113" i="9" s="1"/>
  <c r="AO52" i="1"/>
  <c r="AO67" i="1" s="1"/>
  <c r="F177" i="9" s="1"/>
  <c r="BP52" i="1"/>
  <c r="BP67" i="1" s="1"/>
  <c r="E305" i="9" s="1"/>
  <c r="BR52" i="1"/>
  <c r="BR67" i="1" s="1"/>
  <c r="G305" i="9" s="1"/>
  <c r="AA52" i="1"/>
  <c r="AA67" i="1" s="1"/>
  <c r="F113" i="9" s="1"/>
  <c r="M52" i="1"/>
  <c r="M67" i="1" s="1"/>
  <c r="M71" i="1" s="1"/>
  <c r="C506" i="1" s="1"/>
  <c r="G506" i="1" s="1"/>
  <c r="CB52" i="1"/>
  <c r="CB67" i="1" s="1"/>
  <c r="CB71" i="1" s="1"/>
  <c r="C573" i="1" s="1"/>
  <c r="F52" i="1"/>
  <c r="F67" i="1" s="1"/>
  <c r="F17" i="9" s="1"/>
  <c r="BD52" i="1"/>
  <c r="BD67" i="1" s="1"/>
  <c r="BD71" i="1" s="1"/>
  <c r="G245" i="9" s="1"/>
  <c r="BL52" i="1"/>
  <c r="BL67" i="1" s="1"/>
  <c r="BI52" i="1"/>
  <c r="BI67" i="1" s="1"/>
  <c r="E273" i="9" s="1"/>
  <c r="BZ52" i="1"/>
  <c r="BZ67" i="1" s="1"/>
  <c r="H337" i="9" s="1"/>
  <c r="BK52" i="1"/>
  <c r="BK67" i="1" s="1"/>
  <c r="AR52" i="1"/>
  <c r="AR67" i="1" s="1"/>
  <c r="Z52" i="1"/>
  <c r="Z67" i="1" s="1"/>
  <c r="AQ52" i="1"/>
  <c r="AQ67" i="1" s="1"/>
  <c r="H177" i="9" s="1"/>
  <c r="V52" i="1"/>
  <c r="V67" i="1" s="1"/>
  <c r="AP52" i="1"/>
  <c r="AP67" i="1" s="1"/>
  <c r="CA52" i="1"/>
  <c r="CA67" i="1" s="1"/>
  <c r="AS52" i="1"/>
  <c r="AS67" i="1" s="1"/>
  <c r="C209" i="9" s="1"/>
  <c r="R52" i="1"/>
  <c r="R67" i="1" s="1"/>
  <c r="D81" i="9" s="1"/>
  <c r="AE52" i="1"/>
  <c r="AE67" i="1" s="1"/>
  <c r="C145" i="9" s="1"/>
  <c r="J52" i="1"/>
  <c r="J67" i="1" s="1"/>
  <c r="AB52" i="1"/>
  <c r="AB67" i="1" s="1"/>
  <c r="G113" i="9" s="1"/>
  <c r="BJ52" i="1"/>
  <c r="BJ67" i="1" s="1"/>
  <c r="BB52" i="1"/>
  <c r="BB67" i="1" s="1"/>
  <c r="E241" i="9" s="1"/>
  <c r="BG52" i="1"/>
  <c r="BG67" i="1" s="1"/>
  <c r="AT52" i="1"/>
  <c r="AT67" i="1" s="1"/>
  <c r="D209" i="9" s="1"/>
  <c r="AH52" i="1"/>
  <c r="AH67" i="1" s="1"/>
  <c r="F145" i="9" s="1"/>
  <c r="BC52" i="1"/>
  <c r="BC67" i="1" s="1"/>
  <c r="F241" i="9" s="1"/>
  <c r="N52" i="1"/>
  <c r="N67" i="1" s="1"/>
  <c r="N71" i="1" s="1"/>
  <c r="C679" i="1" s="1"/>
  <c r="AF52" i="1"/>
  <c r="AF67" i="1" s="1"/>
  <c r="D145" i="9" s="1"/>
  <c r="AD52" i="1"/>
  <c r="AD67" i="1" s="1"/>
  <c r="I113" i="9" s="1"/>
  <c r="BH52" i="1"/>
  <c r="BH67" i="1" s="1"/>
  <c r="BU52" i="1"/>
  <c r="BU67" i="1" s="1"/>
  <c r="E52" i="1"/>
  <c r="E67" i="1" s="1"/>
  <c r="E71" i="1" s="1"/>
  <c r="C670" i="1" s="1"/>
  <c r="I300" i="9"/>
  <c r="F12" i="9"/>
  <c r="F44" i="9"/>
  <c r="C44" i="9"/>
  <c r="F140" i="9"/>
  <c r="I44" i="9"/>
  <c r="D268" i="9"/>
  <c r="D44" i="9"/>
  <c r="F172" i="9"/>
  <c r="F76" i="9"/>
  <c r="T71" i="1"/>
  <c r="C513" i="1" s="1"/>
  <c r="G513" i="1" s="1"/>
  <c r="AV71" i="1"/>
  <c r="C541" i="1" s="1"/>
  <c r="I204" i="9"/>
  <c r="I76" i="9"/>
  <c r="D108" i="9"/>
  <c r="G140" i="9"/>
  <c r="H12" i="9"/>
  <c r="D236" i="9"/>
  <c r="E172" i="9"/>
  <c r="D76" i="9"/>
  <c r="C172" i="9"/>
  <c r="G332" i="9"/>
  <c r="D12" i="9"/>
  <c r="E300" i="9"/>
  <c r="G236" i="9"/>
  <c r="H236" i="9"/>
  <c r="G108" i="9"/>
  <c r="E204" i="9"/>
  <c r="E140" i="9"/>
  <c r="D172" i="9"/>
  <c r="D332" i="9"/>
  <c r="I108" i="9"/>
  <c r="D204" i="9"/>
  <c r="E44" i="9"/>
  <c r="E12" i="9"/>
  <c r="E76" i="9"/>
  <c r="D364" i="9"/>
  <c r="H172" i="9"/>
  <c r="C108" i="9"/>
  <c r="C204" i="9"/>
  <c r="I12" i="9"/>
  <c r="G172" i="9"/>
  <c r="I268" i="9"/>
  <c r="E268" i="9"/>
  <c r="C62" i="1"/>
  <c r="CE48" i="1"/>
  <c r="I236" i="9"/>
  <c r="C76" i="9"/>
  <c r="F300" i="9"/>
  <c r="BQ71" i="1"/>
  <c r="C268" i="9"/>
  <c r="I140" i="9"/>
  <c r="F236" i="9"/>
  <c r="F332" i="9"/>
  <c r="I172" i="9"/>
  <c r="D27" i="7"/>
  <c r="B448" i="1"/>
  <c r="F544" i="1"/>
  <c r="H536" i="1"/>
  <c r="F536" i="1"/>
  <c r="F528" i="1"/>
  <c r="F520" i="1"/>
  <c r="D341" i="1"/>
  <c r="C481" i="1" s="1"/>
  <c r="C50" i="8"/>
  <c r="F81" i="9"/>
  <c r="I378" i="9"/>
  <c r="K612" i="1"/>
  <c r="C465" i="1"/>
  <c r="C126" i="8"/>
  <c r="D391" i="1"/>
  <c r="F32" i="6"/>
  <c r="C478" i="1"/>
  <c r="C102" i="8"/>
  <c r="C482" i="1"/>
  <c r="F498" i="1"/>
  <c r="C476" i="1"/>
  <c r="F16" i="6"/>
  <c r="F516" i="1"/>
  <c r="F305" i="9"/>
  <c r="F540" i="1"/>
  <c r="H540" i="1"/>
  <c r="F532" i="1"/>
  <c r="H532" i="1"/>
  <c r="F524" i="1"/>
  <c r="F550" i="1"/>
  <c r="CE67" i="1" l="1"/>
  <c r="C433" i="1" s="1"/>
  <c r="CE52" i="1"/>
  <c r="AG71" i="1"/>
  <c r="E149" i="9" s="1"/>
  <c r="E49" i="9"/>
  <c r="G17" i="9"/>
  <c r="D17" i="9"/>
  <c r="D337" i="9"/>
  <c r="D71" i="1"/>
  <c r="C669" i="1" s="1"/>
  <c r="L71" i="1"/>
  <c r="C505" i="1" s="1"/>
  <c r="G505" i="1" s="1"/>
  <c r="S71" i="1"/>
  <c r="C512" i="1" s="1"/>
  <c r="G512" i="1" s="1"/>
  <c r="AJ71" i="1"/>
  <c r="H149" i="9" s="1"/>
  <c r="H209" i="9"/>
  <c r="I369" i="9"/>
  <c r="C17" i="9"/>
  <c r="AY71" i="1"/>
  <c r="C544" i="1" s="1"/>
  <c r="G544" i="1" s="1"/>
  <c r="P71" i="1"/>
  <c r="I53" i="9" s="1"/>
  <c r="BX71" i="1"/>
  <c r="C644" i="1" s="1"/>
  <c r="BM71" i="1"/>
  <c r="C638" i="1" s="1"/>
  <c r="O71" i="1"/>
  <c r="C680" i="1" s="1"/>
  <c r="AU71" i="1"/>
  <c r="C540" i="1" s="1"/>
  <c r="G540" i="1" s="1"/>
  <c r="H49" i="9"/>
  <c r="F337" i="9"/>
  <c r="AS71" i="1"/>
  <c r="C213" i="9" s="1"/>
  <c r="I17" i="9"/>
  <c r="I71" i="1"/>
  <c r="C674" i="1" s="1"/>
  <c r="I241" i="9"/>
  <c r="Q71" i="1"/>
  <c r="C682" i="1" s="1"/>
  <c r="AZ71" i="1"/>
  <c r="C245" i="9" s="1"/>
  <c r="C241" i="9"/>
  <c r="C81" i="9"/>
  <c r="F49" i="9"/>
  <c r="BN71" i="1"/>
  <c r="C309" i="9" s="1"/>
  <c r="D177" i="9"/>
  <c r="I145" i="9"/>
  <c r="BI71" i="1"/>
  <c r="C554" i="1" s="1"/>
  <c r="CC71" i="1"/>
  <c r="D373" i="9" s="1"/>
  <c r="BR71" i="1"/>
  <c r="C563" i="1" s="1"/>
  <c r="CA71" i="1"/>
  <c r="C572" i="1" s="1"/>
  <c r="K71" i="1"/>
  <c r="C504" i="1" s="1"/>
  <c r="G504" i="1" s="1"/>
  <c r="F71" i="1"/>
  <c r="F21" i="9" s="1"/>
  <c r="I337" i="9"/>
  <c r="BO71" i="1"/>
  <c r="C560" i="1" s="1"/>
  <c r="U71" i="1"/>
  <c r="C514" i="1" s="1"/>
  <c r="G514" i="1" s="1"/>
  <c r="G241" i="9"/>
  <c r="AA71" i="1"/>
  <c r="F117" i="9" s="1"/>
  <c r="AC71" i="1"/>
  <c r="C694" i="1" s="1"/>
  <c r="Y71" i="1"/>
  <c r="C690" i="1" s="1"/>
  <c r="F273" i="9"/>
  <c r="BT71" i="1"/>
  <c r="I309" i="9" s="1"/>
  <c r="R71" i="1"/>
  <c r="D85" i="9" s="1"/>
  <c r="BJ71" i="1"/>
  <c r="F277" i="9" s="1"/>
  <c r="AH71" i="1"/>
  <c r="C699" i="1" s="1"/>
  <c r="H113" i="9"/>
  <c r="AR71" i="1"/>
  <c r="C537" i="1" s="1"/>
  <c r="G537" i="1" s="1"/>
  <c r="I305" i="9"/>
  <c r="G337" i="9"/>
  <c r="BW71" i="1"/>
  <c r="E341" i="9" s="1"/>
  <c r="AL71" i="1"/>
  <c r="C181" i="9" s="1"/>
  <c r="BP71" i="1"/>
  <c r="C561" i="1" s="1"/>
  <c r="C177" i="9"/>
  <c r="E337" i="9"/>
  <c r="E113" i="9"/>
  <c r="BZ71" i="1"/>
  <c r="C646" i="1" s="1"/>
  <c r="C113" i="9"/>
  <c r="C369" i="9"/>
  <c r="BC71" i="1"/>
  <c r="C633" i="1" s="1"/>
  <c r="BB71" i="1"/>
  <c r="C632" i="1" s="1"/>
  <c r="Z71" i="1"/>
  <c r="C691" i="1" s="1"/>
  <c r="BY71" i="1"/>
  <c r="C570" i="1" s="1"/>
  <c r="D273" i="9"/>
  <c r="E177" i="9"/>
  <c r="H305" i="9"/>
  <c r="G145" i="9"/>
  <c r="AQ71" i="1"/>
  <c r="C708" i="1" s="1"/>
  <c r="V71" i="1"/>
  <c r="H85" i="9" s="1"/>
  <c r="BA71" i="1"/>
  <c r="C630" i="1" s="1"/>
  <c r="BH71" i="1"/>
  <c r="C636" i="1" s="1"/>
  <c r="D241" i="9"/>
  <c r="H241" i="9"/>
  <c r="AM71" i="1"/>
  <c r="C704" i="1" s="1"/>
  <c r="D49" i="9"/>
  <c r="AE71" i="1"/>
  <c r="C524" i="1" s="1"/>
  <c r="AN71" i="1"/>
  <c r="C705" i="1" s="1"/>
  <c r="X71" i="1"/>
  <c r="C688" i="1"/>
  <c r="I85" i="9"/>
  <c r="C516" i="1"/>
  <c r="G516" i="1" s="1"/>
  <c r="AF71" i="1"/>
  <c r="D149" i="9" s="1"/>
  <c r="AP71" i="1"/>
  <c r="C535" i="1" s="1"/>
  <c r="G535" i="1" s="1"/>
  <c r="H17" i="9"/>
  <c r="G273" i="9"/>
  <c r="BK71" i="1"/>
  <c r="AB71" i="1"/>
  <c r="G117" i="9" s="1"/>
  <c r="H81" i="9"/>
  <c r="H273" i="9"/>
  <c r="I81" i="9"/>
  <c r="G209" i="9"/>
  <c r="BL71" i="1"/>
  <c r="H277" i="9" s="1"/>
  <c r="G177" i="9"/>
  <c r="AT71" i="1"/>
  <c r="C711" i="1" s="1"/>
  <c r="I177" i="9"/>
  <c r="AO71" i="1"/>
  <c r="C337" i="9"/>
  <c r="BU71" i="1"/>
  <c r="C641" i="1" s="1"/>
  <c r="C273" i="9"/>
  <c r="G49" i="9"/>
  <c r="J71" i="1"/>
  <c r="BG71" i="1"/>
  <c r="C552" i="1" s="1"/>
  <c r="AD71" i="1"/>
  <c r="C523" i="1" s="1"/>
  <c r="G523" i="1" s="1"/>
  <c r="C49" i="9"/>
  <c r="E17" i="9"/>
  <c r="C549" i="1"/>
  <c r="C624" i="1"/>
  <c r="C373" i="9"/>
  <c r="C616" i="1"/>
  <c r="C673" i="1"/>
  <c r="C622" i="1"/>
  <c r="H21" i="9"/>
  <c r="C713" i="1"/>
  <c r="C685" i="1"/>
  <c r="C528" i="1"/>
  <c r="G528" i="1" s="1"/>
  <c r="F213" i="9"/>
  <c r="G21" i="9"/>
  <c r="C700" i="1"/>
  <c r="H213" i="9"/>
  <c r="F85" i="9"/>
  <c r="C507" i="1"/>
  <c r="G507" i="1" s="1"/>
  <c r="F53" i="9"/>
  <c r="C629" i="1"/>
  <c r="C678" i="1"/>
  <c r="E21" i="9"/>
  <c r="I245" i="9"/>
  <c r="G53" i="9"/>
  <c r="C498" i="1"/>
  <c r="G498" i="1" s="1"/>
  <c r="H245" i="9"/>
  <c r="C642" i="1"/>
  <c r="C672" i="1"/>
  <c r="C550" i="1"/>
  <c r="G550" i="1" s="1"/>
  <c r="C567" i="1"/>
  <c r="C530" i="1"/>
  <c r="G530" i="1" s="1"/>
  <c r="I149" i="9"/>
  <c r="F309" i="9"/>
  <c r="C562" i="1"/>
  <c r="C623" i="1"/>
  <c r="C12" i="9"/>
  <c r="CE62" i="1"/>
  <c r="C71" i="1"/>
  <c r="C639" i="1"/>
  <c r="C564" i="1"/>
  <c r="H309" i="9"/>
  <c r="C702" i="1"/>
  <c r="G213" i="9"/>
  <c r="C631" i="1"/>
  <c r="C542" i="1"/>
  <c r="D615" i="1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497" i="1" l="1"/>
  <c r="G497" i="1" s="1"/>
  <c r="D117" i="9"/>
  <c r="C526" i="1"/>
  <c r="G526" i="1" s="1"/>
  <c r="C698" i="1"/>
  <c r="E53" i="9"/>
  <c r="C677" i="1"/>
  <c r="D21" i="9"/>
  <c r="H512" i="1"/>
  <c r="I213" i="9"/>
  <c r="E85" i="9"/>
  <c r="C684" i="1"/>
  <c r="C529" i="1"/>
  <c r="G529" i="1" s="1"/>
  <c r="C701" i="1"/>
  <c r="C569" i="1"/>
  <c r="H544" i="1"/>
  <c r="F341" i="9"/>
  <c r="C545" i="1"/>
  <c r="G545" i="1" s="1"/>
  <c r="C625" i="1"/>
  <c r="C85" i="9"/>
  <c r="C618" i="1"/>
  <c r="C681" i="1"/>
  <c r="I277" i="9"/>
  <c r="I21" i="9"/>
  <c r="C710" i="1"/>
  <c r="C538" i="1"/>
  <c r="G538" i="1" s="1"/>
  <c r="C509" i="1"/>
  <c r="G509" i="1" s="1"/>
  <c r="E213" i="9"/>
  <c r="C712" i="1"/>
  <c r="C508" i="1"/>
  <c r="G508" i="1" s="1"/>
  <c r="C558" i="1"/>
  <c r="H53" i="9"/>
  <c r="C619" i="1"/>
  <c r="C502" i="1"/>
  <c r="G502" i="1" s="1"/>
  <c r="H514" i="1"/>
  <c r="C548" i="1"/>
  <c r="C574" i="1"/>
  <c r="C522" i="1"/>
  <c r="G522" i="1" s="1"/>
  <c r="C499" i="1"/>
  <c r="G499" i="1" s="1"/>
  <c r="C703" i="1"/>
  <c r="C510" i="1"/>
  <c r="G510" i="1" s="1"/>
  <c r="G85" i="9"/>
  <c r="C536" i="1"/>
  <c r="G536" i="1" s="1"/>
  <c r="H181" i="9"/>
  <c r="C628" i="1"/>
  <c r="C547" i="1"/>
  <c r="E245" i="9"/>
  <c r="C643" i="1"/>
  <c r="C559" i="1"/>
  <c r="F245" i="9"/>
  <c r="C531" i="1"/>
  <c r="G531" i="1" s="1"/>
  <c r="H117" i="9"/>
  <c r="C527" i="1"/>
  <c r="G527" i="1" s="1"/>
  <c r="C686" i="1"/>
  <c r="F149" i="9"/>
  <c r="C620" i="1"/>
  <c r="C671" i="1"/>
  <c r="D53" i="9"/>
  <c r="E309" i="9"/>
  <c r="C149" i="9"/>
  <c r="C568" i="1"/>
  <c r="C621" i="1"/>
  <c r="H341" i="9"/>
  <c r="G309" i="9"/>
  <c r="C626" i="1"/>
  <c r="C571" i="1"/>
  <c r="C634" i="1"/>
  <c r="C676" i="1"/>
  <c r="I341" i="9"/>
  <c r="E277" i="9"/>
  <c r="C647" i="1"/>
  <c r="C683" i="1"/>
  <c r="C627" i="1"/>
  <c r="H550" i="1"/>
  <c r="C515" i="1"/>
  <c r="D309" i="9"/>
  <c r="C533" i="1"/>
  <c r="G533" i="1" s="1"/>
  <c r="C555" i="1"/>
  <c r="C617" i="1"/>
  <c r="C697" i="1"/>
  <c r="D277" i="9"/>
  <c r="C692" i="1"/>
  <c r="C518" i="1"/>
  <c r="G518" i="1" s="1"/>
  <c r="C693" i="1"/>
  <c r="C520" i="1"/>
  <c r="G520" i="1" s="1"/>
  <c r="I181" i="9"/>
  <c r="C709" i="1"/>
  <c r="C687" i="1"/>
  <c r="C519" i="1"/>
  <c r="G519" i="1" s="1"/>
  <c r="E117" i="9"/>
  <c r="G341" i="9"/>
  <c r="C511" i="1"/>
  <c r="G511" i="1" s="1"/>
  <c r="C565" i="1"/>
  <c r="C640" i="1"/>
  <c r="C707" i="1"/>
  <c r="C566" i="1"/>
  <c r="C341" i="9"/>
  <c r="E181" i="9"/>
  <c r="C645" i="1"/>
  <c r="D181" i="9"/>
  <c r="C521" i="1"/>
  <c r="G521" i="1" s="1"/>
  <c r="G181" i="9"/>
  <c r="C532" i="1"/>
  <c r="G532" i="1" s="1"/>
  <c r="C553" i="1"/>
  <c r="C696" i="1"/>
  <c r="C546" i="1"/>
  <c r="G546" i="1" s="1"/>
  <c r="D245" i="9"/>
  <c r="C637" i="1"/>
  <c r="C689" i="1"/>
  <c r="C517" i="1"/>
  <c r="C117" i="9"/>
  <c r="C695" i="1"/>
  <c r="F181" i="9"/>
  <c r="C706" i="1"/>
  <c r="C534" i="1"/>
  <c r="G534" i="1" s="1"/>
  <c r="C525" i="1"/>
  <c r="G525" i="1" s="1"/>
  <c r="I117" i="9"/>
  <c r="C635" i="1"/>
  <c r="C556" i="1"/>
  <c r="G277" i="9"/>
  <c r="H516" i="1"/>
  <c r="C557" i="1"/>
  <c r="C539" i="1"/>
  <c r="G539" i="1" s="1"/>
  <c r="D213" i="9"/>
  <c r="C675" i="1"/>
  <c r="C503" i="1"/>
  <c r="C53" i="9"/>
  <c r="C277" i="9"/>
  <c r="H528" i="1"/>
  <c r="H526" i="1"/>
  <c r="H498" i="1"/>
  <c r="C496" i="1"/>
  <c r="C668" i="1"/>
  <c r="C21" i="9"/>
  <c r="I364" i="9"/>
  <c r="C428" i="1"/>
  <c r="C441" i="1" s="1"/>
  <c r="CE71" i="1"/>
  <c r="G524" i="1"/>
  <c r="H524" i="1" s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H545" i="1"/>
  <c r="F545" i="1"/>
  <c r="H525" i="1"/>
  <c r="F525" i="1"/>
  <c r="F529" i="1"/>
  <c r="C146" i="8"/>
  <c r="D396" i="1"/>
  <c r="C151" i="8" s="1"/>
  <c r="F521" i="1"/>
  <c r="F535" i="1"/>
  <c r="H535" i="1" s="1"/>
  <c r="H533" i="1"/>
  <c r="F533" i="1"/>
  <c r="F527" i="1"/>
  <c r="F539" i="1"/>
  <c r="H539" i="1"/>
  <c r="F519" i="1"/>
  <c r="F523" i="1"/>
  <c r="H523" i="1"/>
  <c r="F537" i="1"/>
  <c r="H537" i="1"/>
  <c r="F531" i="1"/>
  <c r="H518" i="1" l="1"/>
  <c r="E623" i="1"/>
  <c r="E716" i="1" s="1"/>
  <c r="C648" i="1"/>
  <c r="M716" i="1" s="1"/>
  <c r="H529" i="1"/>
  <c r="H509" i="1"/>
  <c r="H508" i="1"/>
  <c r="H531" i="1"/>
  <c r="H510" i="1"/>
  <c r="H522" i="1"/>
  <c r="H527" i="1"/>
  <c r="H520" i="1"/>
  <c r="G515" i="1"/>
  <c r="H515" i="1" s="1"/>
  <c r="H511" i="1"/>
  <c r="H519" i="1"/>
  <c r="H521" i="1"/>
  <c r="H546" i="1"/>
  <c r="G517" i="1"/>
  <c r="H517" i="1" s="1"/>
  <c r="G503" i="1"/>
  <c r="H503" i="1" s="1"/>
  <c r="C716" i="1"/>
  <c r="I373" i="9"/>
  <c r="C715" i="1"/>
  <c r="E612" i="1"/>
  <c r="G496" i="1"/>
  <c r="H496" i="1"/>
  <c r="D715" i="1"/>
  <c r="E693" i="1" l="1"/>
  <c r="E674" i="1"/>
  <c r="E689" i="1"/>
  <c r="E676" i="1"/>
  <c r="E691" i="1"/>
  <c r="E637" i="1"/>
  <c r="E669" i="1"/>
  <c r="E683" i="1"/>
  <c r="E647" i="1"/>
  <c r="E641" i="1"/>
  <c r="E635" i="1"/>
  <c r="E627" i="1"/>
  <c r="E711" i="1"/>
  <c r="E645" i="1"/>
  <c r="E668" i="1"/>
  <c r="E694" i="1"/>
  <c r="E628" i="1"/>
  <c r="E673" i="1"/>
  <c r="E644" i="1"/>
  <c r="E682" i="1"/>
  <c r="E685" i="1"/>
  <c r="E672" i="1"/>
  <c r="E634" i="1"/>
  <c r="E675" i="1"/>
  <c r="E671" i="1"/>
  <c r="E713" i="1"/>
  <c r="E710" i="1"/>
  <c r="E707" i="1"/>
  <c r="E624" i="1"/>
  <c r="F624" i="1" s="1"/>
  <c r="E701" i="1"/>
  <c r="E631" i="1"/>
  <c r="E703" i="1"/>
  <c r="E709" i="1"/>
  <c r="E680" i="1"/>
  <c r="E706" i="1"/>
  <c r="E702" i="1"/>
  <c r="E639" i="1"/>
  <c r="E625" i="1"/>
  <c r="E708" i="1"/>
  <c r="E690" i="1"/>
  <c r="E686" i="1"/>
  <c r="E681" i="1"/>
  <c r="E696" i="1"/>
  <c r="E684" i="1"/>
  <c r="E640" i="1"/>
  <c r="E643" i="1"/>
  <c r="E630" i="1"/>
  <c r="E697" i="1"/>
  <c r="E670" i="1"/>
  <c r="E636" i="1"/>
  <c r="E629" i="1"/>
  <c r="E679" i="1"/>
  <c r="E699" i="1"/>
  <c r="E638" i="1"/>
  <c r="E687" i="1"/>
  <c r="E704" i="1"/>
  <c r="E700" i="1"/>
  <c r="E698" i="1"/>
  <c r="E688" i="1"/>
  <c r="E705" i="1"/>
  <c r="E626" i="1"/>
  <c r="E646" i="1"/>
  <c r="E712" i="1"/>
  <c r="E642" i="1"/>
  <c r="E678" i="1"/>
  <c r="E692" i="1"/>
  <c r="E695" i="1"/>
  <c r="E633" i="1"/>
  <c r="E632" i="1"/>
  <c r="E677" i="1"/>
  <c r="F637" i="1" l="1"/>
  <c r="F633" i="1"/>
  <c r="F699" i="1"/>
  <c r="F686" i="1"/>
  <c r="F703" i="1"/>
  <c r="F710" i="1"/>
  <c r="F688" i="1"/>
  <c r="F694" i="1"/>
  <c r="F681" i="1"/>
  <c r="F685" i="1"/>
  <c r="F646" i="1"/>
  <c r="F627" i="1"/>
  <c r="F693" i="1"/>
  <c r="F687" i="1"/>
  <c r="F696" i="1"/>
  <c r="F634" i="1"/>
  <c r="F691" i="1"/>
  <c r="F669" i="1"/>
  <c r="F670" i="1"/>
  <c r="F708" i="1"/>
  <c r="F644" i="1"/>
  <c r="F683" i="1"/>
  <c r="F698" i="1"/>
  <c r="F712" i="1"/>
  <c r="F647" i="1"/>
  <c r="F636" i="1"/>
  <c r="F674" i="1"/>
  <c r="F702" i="1"/>
  <c r="F684" i="1"/>
  <c r="F700" i="1"/>
  <c r="F671" i="1"/>
  <c r="F682" i="1"/>
  <c r="F675" i="1"/>
  <c r="F704" i="1"/>
  <c r="F643" i="1"/>
  <c r="F632" i="1"/>
  <c r="F628" i="1"/>
  <c r="F678" i="1"/>
  <c r="F689" i="1"/>
  <c r="F641" i="1"/>
  <c r="F629" i="1"/>
  <c r="F635" i="1"/>
  <c r="F626" i="1"/>
  <c r="F707" i="1"/>
  <c r="F672" i="1"/>
  <c r="F645" i="1"/>
  <c r="F642" i="1"/>
  <c r="F625" i="1"/>
  <c r="G625" i="1" s="1"/>
  <c r="F673" i="1"/>
  <c r="F680" i="1"/>
  <c r="F676" i="1"/>
  <c r="F679" i="1"/>
  <c r="F697" i="1"/>
  <c r="F709" i="1"/>
  <c r="F706" i="1"/>
  <c r="F690" i="1"/>
  <c r="F631" i="1"/>
  <c r="F711" i="1"/>
  <c r="F695" i="1"/>
  <c r="F639" i="1"/>
  <c r="F705" i="1"/>
  <c r="F701" i="1"/>
  <c r="F630" i="1"/>
  <c r="F692" i="1"/>
  <c r="F713" i="1"/>
  <c r="F640" i="1"/>
  <c r="F716" i="1"/>
  <c r="F677" i="1"/>
  <c r="F638" i="1"/>
  <c r="F668" i="1"/>
  <c r="E715" i="1"/>
  <c r="G628" i="1" l="1"/>
  <c r="G684" i="1"/>
  <c r="G675" i="1"/>
  <c r="G637" i="1"/>
  <c r="G640" i="1"/>
  <c r="G709" i="1"/>
  <c r="G683" i="1"/>
  <c r="G638" i="1"/>
  <c r="G632" i="1"/>
  <c r="G695" i="1"/>
  <c r="G643" i="1"/>
  <c r="G702" i="1"/>
  <c r="G707" i="1"/>
  <c r="G697" i="1"/>
  <c r="G698" i="1"/>
  <c r="G694" i="1"/>
  <c r="G642" i="1"/>
  <c r="G716" i="1"/>
  <c r="G679" i="1"/>
  <c r="G713" i="1"/>
  <c r="G705" i="1"/>
  <c r="G693" i="1"/>
  <c r="G699" i="1"/>
  <c r="G704" i="1"/>
  <c r="G673" i="1"/>
  <c r="G689" i="1"/>
  <c r="G629" i="1"/>
  <c r="G688" i="1"/>
  <c r="G678" i="1"/>
  <c r="G644" i="1"/>
  <c r="G672" i="1"/>
  <c r="G680" i="1"/>
  <c r="G639" i="1"/>
  <c r="G691" i="1"/>
  <c r="G636" i="1"/>
  <c r="G626" i="1"/>
  <c r="G634" i="1"/>
  <c r="G708" i="1"/>
  <c r="G668" i="1"/>
  <c r="G669" i="1"/>
  <c r="G712" i="1"/>
  <c r="G700" i="1"/>
  <c r="G631" i="1"/>
  <c r="G671" i="1"/>
  <c r="G681" i="1"/>
  <c r="G682" i="1"/>
  <c r="G670" i="1"/>
  <c r="G692" i="1"/>
  <c r="G685" i="1"/>
  <c r="G647" i="1"/>
  <c r="G711" i="1"/>
  <c r="G703" i="1"/>
  <c r="G710" i="1"/>
  <c r="G646" i="1"/>
  <c r="G674" i="1"/>
  <c r="G630" i="1"/>
  <c r="G645" i="1"/>
  <c r="G627" i="1"/>
  <c r="G641" i="1"/>
  <c r="G633" i="1"/>
  <c r="G696" i="1"/>
  <c r="G677" i="1"/>
  <c r="G701" i="1"/>
  <c r="G690" i="1"/>
  <c r="G686" i="1"/>
  <c r="G706" i="1"/>
  <c r="G687" i="1"/>
  <c r="G676" i="1"/>
  <c r="G635" i="1"/>
  <c r="F715" i="1"/>
  <c r="H628" i="1" l="1"/>
  <c r="H708" i="1" s="1"/>
  <c r="G715" i="1"/>
  <c r="H680" i="1" l="1"/>
  <c r="H681" i="1"/>
  <c r="H694" i="1"/>
  <c r="H713" i="1"/>
  <c r="H684" i="1"/>
  <c r="H683" i="1"/>
  <c r="H640" i="1"/>
  <c r="H693" i="1"/>
  <c r="H633" i="1"/>
  <c r="H675" i="1"/>
  <c r="H668" i="1"/>
  <c r="H678" i="1"/>
  <c r="H634" i="1"/>
  <c r="H671" i="1"/>
  <c r="H704" i="1"/>
  <c r="H698" i="1"/>
  <c r="H631" i="1"/>
  <c r="H702" i="1"/>
  <c r="H709" i="1"/>
  <c r="H632" i="1"/>
  <c r="H641" i="1"/>
  <c r="H712" i="1"/>
  <c r="H686" i="1"/>
  <c r="H716" i="1"/>
  <c r="H703" i="1"/>
  <c r="H672" i="1"/>
  <c r="H685" i="1"/>
  <c r="H638" i="1"/>
  <c r="H647" i="1"/>
  <c r="H643" i="1"/>
  <c r="H699" i="1"/>
  <c r="H677" i="1"/>
  <c r="H636" i="1"/>
  <c r="H691" i="1"/>
  <c r="H674" i="1"/>
  <c r="H710" i="1"/>
  <c r="H692" i="1"/>
  <c r="H707" i="1"/>
  <c r="H642" i="1"/>
  <c r="H689" i="1"/>
  <c r="H682" i="1"/>
  <c r="H687" i="1"/>
  <c r="H629" i="1"/>
  <c r="I629" i="1" s="1"/>
  <c r="H700" i="1"/>
  <c r="H645" i="1"/>
  <c r="H696" i="1"/>
  <c r="H676" i="1"/>
  <c r="H669" i="1"/>
  <c r="H690" i="1"/>
  <c r="H670" i="1"/>
  <c r="H637" i="1"/>
  <c r="H688" i="1"/>
  <c r="H644" i="1"/>
  <c r="H701" i="1"/>
  <c r="H639" i="1"/>
  <c r="H635" i="1"/>
  <c r="H679" i="1"/>
  <c r="H630" i="1"/>
  <c r="H697" i="1"/>
  <c r="H673" i="1"/>
  <c r="H711" i="1"/>
  <c r="H646" i="1"/>
  <c r="H706" i="1"/>
  <c r="H705" i="1"/>
  <c r="H695" i="1"/>
  <c r="H715" i="1" l="1"/>
  <c r="I645" i="1"/>
  <c r="I695" i="1"/>
  <c r="I678" i="1"/>
  <c r="I710" i="1"/>
  <c r="I671" i="1"/>
  <c r="I638" i="1"/>
  <c r="I639" i="1"/>
  <c r="I690" i="1"/>
  <c r="I685" i="1"/>
  <c r="I708" i="1"/>
  <c r="I704" i="1"/>
  <c r="I683" i="1"/>
  <c r="I716" i="1"/>
  <c r="I634" i="1"/>
  <c r="I711" i="1"/>
  <c r="I681" i="1"/>
  <c r="I670" i="1"/>
  <c r="I643" i="1"/>
  <c r="I713" i="1"/>
  <c r="I680" i="1"/>
  <c r="I682" i="1"/>
  <c r="I687" i="1"/>
  <c r="I679" i="1"/>
  <c r="I698" i="1"/>
  <c r="I691" i="1"/>
  <c r="I700" i="1"/>
  <c r="I702" i="1"/>
  <c r="I641" i="1"/>
  <c r="I674" i="1"/>
  <c r="I669" i="1"/>
  <c r="I709" i="1"/>
  <c r="I672" i="1"/>
  <c r="I647" i="1"/>
  <c r="I637" i="1"/>
  <c r="I633" i="1"/>
  <c r="I703" i="1"/>
  <c r="I686" i="1"/>
  <c r="I646" i="1"/>
  <c r="I697" i="1"/>
  <c r="I636" i="1"/>
  <c r="I684" i="1"/>
  <c r="I635" i="1"/>
  <c r="I706" i="1"/>
  <c r="I632" i="1"/>
  <c r="I688" i="1"/>
  <c r="I673" i="1"/>
  <c r="I689" i="1"/>
  <c r="I630" i="1"/>
  <c r="I676" i="1"/>
  <c r="I701" i="1"/>
  <c r="I694" i="1"/>
  <c r="I640" i="1"/>
  <c r="I644" i="1"/>
  <c r="I696" i="1"/>
  <c r="I668" i="1"/>
  <c r="I631" i="1"/>
  <c r="I675" i="1"/>
  <c r="I712" i="1"/>
  <c r="I677" i="1"/>
  <c r="I693" i="1"/>
  <c r="I642" i="1"/>
  <c r="I707" i="1"/>
  <c r="I699" i="1"/>
  <c r="I705" i="1"/>
  <c r="I692" i="1"/>
  <c r="I715" i="1" l="1"/>
  <c r="J630" i="1"/>
  <c r="J700" i="1" l="1"/>
  <c r="J635" i="1"/>
  <c r="J705" i="1"/>
  <c r="J673" i="1"/>
  <c r="J690" i="1"/>
  <c r="J674" i="1"/>
  <c r="J634" i="1"/>
  <c r="J644" i="1"/>
  <c r="J633" i="1"/>
  <c r="J647" i="1"/>
  <c r="J686" i="1"/>
  <c r="J640" i="1"/>
  <c r="J713" i="1"/>
  <c r="J669" i="1"/>
  <c r="J691" i="1"/>
  <c r="J687" i="1"/>
  <c r="J670" i="1"/>
  <c r="J697" i="1"/>
  <c r="J671" i="1"/>
  <c r="J636" i="1"/>
  <c r="J695" i="1"/>
  <c r="J696" i="1"/>
  <c r="J689" i="1"/>
  <c r="J631" i="1"/>
  <c r="J684" i="1"/>
  <c r="J677" i="1"/>
  <c r="J694" i="1"/>
  <c r="J678" i="1"/>
  <c r="J668" i="1"/>
  <c r="J704" i="1"/>
  <c r="J716" i="1"/>
  <c r="J682" i="1"/>
  <c r="J638" i="1"/>
  <c r="J710" i="1"/>
  <c r="J676" i="1"/>
  <c r="J632" i="1"/>
  <c r="J692" i="1"/>
  <c r="J681" i="1"/>
  <c r="J698" i="1"/>
  <c r="J637" i="1"/>
  <c r="J712" i="1"/>
  <c r="J642" i="1"/>
  <c r="J703" i="1"/>
  <c r="J702" i="1"/>
  <c r="J709" i="1"/>
  <c r="J672" i="1"/>
  <c r="J646" i="1"/>
  <c r="J643" i="1"/>
  <c r="J707" i="1"/>
  <c r="J680" i="1"/>
  <c r="J645" i="1"/>
  <c r="J639" i="1"/>
  <c r="J701" i="1"/>
  <c r="J708" i="1"/>
  <c r="J699" i="1"/>
  <c r="J683" i="1"/>
  <c r="J685" i="1"/>
  <c r="J711" i="1"/>
  <c r="J679" i="1"/>
  <c r="J641" i="1"/>
  <c r="J688" i="1"/>
  <c r="J706" i="1"/>
  <c r="J693" i="1"/>
  <c r="J675" i="1"/>
  <c r="K644" i="1" l="1"/>
  <c r="L647" i="1"/>
  <c r="J715" i="1"/>
  <c r="K699" i="1" l="1"/>
  <c r="K707" i="1"/>
  <c r="K689" i="1"/>
  <c r="K716" i="1"/>
  <c r="K684" i="1"/>
  <c r="K674" i="1"/>
  <c r="K675" i="1"/>
  <c r="K677" i="1"/>
  <c r="K670" i="1"/>
  <c r="K671" i="1"/>
  <c r="K710" i="1"/>
  <c r="K668" i="1"/>
  <c r="K673" i="1"/>
  <c r="K683" i="1"/>
  <c r="K709" i="1"/>
  <c r="K705" i="1"/>
  <c r="K694" i="1"/>
  <c r="K704" i="1"/>
  <c r="K696" i="1"/>
  <c r="K697" i="1"/>
  <c r="K691" i="1"/>
  <c r="K682" i="1"/>
  <c r="K701" i="1"/>
  <c r="K685" i="1"/>
  <c r="K700" i="1"/>
  <c r="K713" i="1"/>
  <c r="K712" i="1"/>
  <c r="K686" i="1"/>
  <c r="K693" i="1"/>
  <c r="K695" i="1"/>
  <c r="K711" i="1"/>
  <c r="K672" i="1"/>
  <c r="K692" i="1"/>
  <c r="K687" i="1"/>
  <c r="K706" i="1"/>
  <c r="K708" i="1"/>
  <c r="K703" i="1"/>
  <c r="K680" i="1"/>
  <c r="K676" i="1"/>
  <c r="K702" i="1"/>
  <c r="K688" i="1"/>
  <c r="K690" i="1"/>
  <c r="K678" i="1"/>
  <c r="K679" i="1"/>
  <c r="K681" i="1"/>
  <c r="K698" i="1"/>
  <c r="K669" i="1"/>
  <c r="L672" i="1"/>
  <c r="M672" i="1" s="1"/>
  <c r="L709" i="1"/>
  <c r="L716" i="1"/>
  <c r="L691" i="1"/>
  <c r="L683" i="1"/>
  <c r="L699" i="1"/>
  <c r="L680" i="1"/>
  <c r="L671" i="1"/>
  <c r="L701" i="1"/>
  <c r="L685" i="1"/>
  <c r="L702" i="1"/>
  <c r="L688" i="1"/>
  <c r="L678" i="1"/>
  <c r="L697" i="1"/>
  <c r="L703" i="1"/>
  <c r="L693" i="1"/>
  <c r="L669" i="1"/>
  <c r="L679" i="1"/>
  <c r="L711" i="1"/>
  <c r="L705" i="1"/>
  <c r="L708" i="1"/>
  <c r="L696" i="1"/>
  <c r="L686" i="1"/>
  <c r="L676" i="1"/>
  <c r="L674" i="1"/>
  <c r="L677" i="1"/>
  <c r="L692" i="1"/>
  <c r="L707" i="1"/>
  <c r="L698" i="1"/>
  <c r="L713" i="1"/>
  <c r="L670" i="1"/>
  <c r="L689" i="1"/>
  <c r="L668" i="1"/>
  <c r="L681" i="1"/>
  <c r="L673" i="1"/>
  <c r="L704" i="1"/>
  <c r="L710" i="1"/>
  <c r="L700" i="1"/>
  <c r="L690" i="1"/>
  <c r="L675" i="1"/>
  <c r="M675" i="1" s="1"/>
  <c r="L694" i="1"/>
  <c r="L712" i="1"/>
  <c r="L706" i="1"/>
  <c r="L695" i="1"/>
  <c r="L684" i="1"/>
  <c r="L687" i="1"/>
  <c r="L682" i="1"/>
  <c r="L715" i="1" l="1"/>
  <c r="M678" i="1"/>
  <c r="M673" i="1"/>
  <c r="H23" i="9" s="1"/>
  <c r="M679" i="1"/>
  <c r="G55" i="9" s="1"/>
  <c r="M692" i="1"/>
  <c r="F119" i="9" s="1"/>
  <c r="M687" i="1"/>
  <c r="M695" i="1"/>
  <c r="M713" i="1"/>
  <c r="M704" i="1"/>
  <c r="D183" i="9" s="1"/>
  <c r="M671" i="1"/>
  <c r="F23" i="9" s="1"/>
  <c r="M696" i="1"/>
  <c r="C151" i="9" s="1"/>
  <c r="M685" i="1"/>
  <c r="F87" i="9" s="1"/>
  <c r="M697" i="1"/>
  <c r="M677" i="1"/>
  <c r="E55" i="9" s="1"/>
  <c r="M691" i="1"/>
  <c r="G23" i="9"/>
  <c r="M702" i="1"/>
  <c r="M708" i="1"/>
  <c r="M686" i="1"/>
  <c r="K715" i="1"/>
  <c r="M668" i="1"/>
  <c r="C55" i="9"/>
  <c r="M707" i="1"/>
  <c r="M705" i="1"/>
  <c r="M669" i="1"/>
  <c r="M676" i="1"/>
  <c r="M706" i="1"/>
  <c r="M711" i="1"/>
  <c r="M712" i="1"/>
  <c r="M701" i="1"/>
  <c r="M709" i="1"/>
  <c r="M710" i="1"/>
  <c r="M689" i="1"/>
  <c r="M698" i="1"/>
  <c r="M690" i="1"/>
  <c r="M680" i="1"/>
  <c r="M682" i="1"/>
  <c r="M683" i="1"/>
  <c r="M674" i="1"/>
  <c r="M681" i="1"/>
  <c r="M688" i="1"/>
  <c r="M703" i="1"/>
  <c r="M693" i="1"/>
  <c r="M700" i="1"/>
  <c r="M694" i="1"/>
  <c r="M670" i="1"/>
  <c r="M684" i="1"/>
  <c r="M699" i="1"/>
  <c r="F55" i="9" l="1"/>
  <c r="H87" i="9"/>
  <c r="F215" i="9"/>
  <c r="I119" i="9"/>
  <c r="E119" i="9"/>
  <c r="D151" i="9"/>
  <c r="I87" i="9"/>
  <c r="I23" i="9"/>
  <c r="C119" i="9"/>
  <c r="E215" i="9"/>
  <c r="D23" i="9"/>
  <c r="G183" i="9"/>
  <c r="H183" i="9"/>
  <c r="F151" i="9"/>
  <c r="G151" i="9"/>
  <c r="I55" i="9"/>
  <c r="H55" i="9"/>
  <c r="C215" i="9"/>
  <c r="D215" i="9"/>
  <c r="M715" i="1"/>
  <c r="C23" i="9"/>
  <c r="I151" i="9"/>
  <c r="H119" i="9"/>
  <c r="E87" i="9"/>
  <c r="G119" i="9"/>
  <c r="C87" i="9"/>
  <c r="D119" i="9"/>
  <c r="I183" i="9"/>
  <c r="F183" i="9"/>
  <c r="E23" i="9"/>
  <c r="C183" i="9"/>
  <c r="D87" i="9"/>
  <c r="E151" i="9"/>
  <c r="H151" i="9"/>
  <c r="D55" i="9"/>
  <c r="E183" i="9"/>
  <c r="G87" i="9"/>
</calcChain>
</file>

<file path=xl/sharedStrings.xml><?xml version="1.0" encoding="utf-8"?>
<sst xmlns="http://schemas.openxmlformats.org/spreadsheetml/2006/main" count="4673" uniqueCount="1280">
  <si>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</si>
  <si>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</si>
  <si>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</si>
  <si>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</si>
  <si>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</si>
  <si>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</si>
  <si>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</si>
  <si>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</si>
  <si>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</si>
  <si>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</si>
  <si>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</si>
  <si>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</si>
  <si>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</si>
  <si>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</si>
  <si>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</si>
  <si>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</si>
  <si>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</si>
  <si>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</si>
  <si>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</si>
  <si>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</si>
  <si>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</si>
  <si>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</si>
  <si>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</si>
  <si>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</si>
  <si>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</si>
  <si>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</si>
  <si>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</si>
  <si>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</si>
  <si>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</si>
  <si>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</si>
  <si>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</si>
  <si>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</si>
  <si>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</si>
  <si>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</si>
  <si>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</si>
  <si>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</si>
  <si>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</si>
  <si>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</si>
  <si>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</si>
  <si>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</si>
  <si>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</si>
  <si>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</si>
  <si>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</si>
  <si>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</si>
  <si>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</si>
  <si>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</si>
  <si>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</si>
  <si>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</si>
  <si>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</si>
  <si>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</si>
  <si>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</si>
  <si>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</si>
  <si>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</si>
  <si>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</si>
  <si>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</si>
  <si>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</si>
  <si>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</si>
  <si>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</si>
  <si>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</si>
  <si>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</si>
  <si>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</si>
  <si>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</si>
  <si>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</si>
  <si>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</si>
  <si>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</si>
  <si>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</si>
  <si>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</si>
  <si>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</si>
  <si>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</si>
  <si>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</si>
  <si>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</si>
  <si>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</si>
  <si>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</si>
  <si>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</si>
  <si>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</si>
  <si>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</si>
  <si>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</si>
  <si>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</si>
  <si>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</si>
  <si>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</si>
  <si>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</si>
  <si>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</si>
  <si>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</si>
  <si>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</si>
  <si>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</si>
  <si>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</si>
  <si>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</si>
  <si>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</si>
  <si>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</si>
  <si>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</si>
  <si>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</si>
  <si>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</si>
  <si>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</si>
  <si>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</si>
  <si>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</si>
  <si>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</si>
  <si>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</si>
  <si>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</si>
  <si>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</si>
  <si>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</si>
  <si>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</si>
  <si>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</si>
  <si>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</si>
  <si>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</si>
  <si>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</si>
  <si>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</si>
  <si>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</si>
  <si>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</si>
  <si>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</si>
  <si>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</si>
  <si>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</si>
  <si>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</si>
  <si>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</si>
  <si>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</si>
  <si>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</si>
  <si>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</si>
  <si>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</si>
  <si>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</si>
  <si>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</si>
  <si>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</si>
  <si>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</si>
  <si>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</si>
  <si>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</si>
  <si>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</si>
  <si>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</si>
  <si>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</si>
  <si>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</si>
  <si>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</si>
  <si>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</si>
  <si>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</si>
  <si>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</si>
  <si>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</si>
  <si>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</si>
  <si>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</si>
  <si>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</si>
  <si>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</si>
  <si>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</si>
  <si>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</si>
  <si>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</si>
  <si>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</si>
  <si>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</si>
  <si>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</si>
  <si>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</si>
  <si>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</si>
  <si>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</si>
  <si>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</si>
  <si>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</si>
  <si>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</si>
  <si>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</si>
  <si>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</si>
  <si>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</si>
  <si>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</si>
  <si>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</si>
  <si>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</si>
  <si>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</si>
  <si>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</si>
  <si>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</si>
  <si>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</si>
  <si>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</si>
  <si>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</si>
  <si>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</si>
  <si>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</si>
  <si>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</si>
  <si>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</si>
  <si>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</si>
  <si>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</si>
  <si>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</si>
  <si>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</si>
  <si>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</si>
  <si>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</si>
  <si>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</si>
  <si>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</si>
  <si>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</si>
  <si>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</si>
  <si>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</si>
  <si>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</si>
  <si>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</si>
  <si>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</si>
  <si>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</si>
  <si>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</si>
  <si>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</si>
  <si>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</si>
  <si>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</si>
  <si>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</si>
  <si>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</si>
  <si>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</si>
  <si>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</si>
  <si>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</si>
  <si>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</si>
  <si>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</si>
  <si>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</si>
  <si>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</si>
  <si>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</si>
  <si>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</si>
  <si>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</si>
  <si>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</si>
  <si>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</si>
  <si>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</si>
  <si>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</si>
  <si>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</si>
  <si>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</si>
  <si>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</si>
  <si>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</si>
  <si>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</si>
  <si>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</si>
  <si>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</si>
  <si>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</si>
  <si>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</si>
  <si>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</si>
  <si>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</si>
  <si>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</si>
  <si>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</si>
  <si>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</si>
  <si>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</si>
  <si>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</si>
  <si>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</si>
  <si>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</si>
  <si>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</si>
  <si>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</si>
  <si>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</si>
  <si>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</si>
  <si>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</si>
  <si>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</si>
  <si>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</si>
  <si>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</si>
  <si>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</si>
  <si>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</si>
  <si>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</si>
  <si>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</si>
  <si>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</si>
  <si>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</si>
  <si>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</si>
  <si>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</si>
  <si>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</si>
  <si>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</si>
  <si>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</si>
  <si>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</si>
  <si>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</si>
  <si>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</si>
  <si>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</si>
  <si>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</si>
  <si>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</si>
  <si>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</si>
  <si>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</si>
  <si>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</si>
  <si>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</si>
  <si>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</si>
  <si>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</si>
  <si>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</si>
  <si>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</si>
  <si>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</si>
  <si>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</si>
  <si>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</si>
  <si>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</si>
  <si>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</si>
  <si>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</si>
  <si>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</si>
  <si>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</si>
  <si>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</si>
  <si>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</si>
  <si>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</si>
  <si>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</si>
  <si>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</si>
  <si>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</si>
  <si>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</si>
  <si>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</si>
  <si>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</si>
  <si>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</si>
  <si>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</si>
  <si>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</si>
  <si>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</si>
  <si>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</si>
  <si>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</si>
  <si>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</si>
  <si>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</si>
  <si>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</si>
  <si>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</si>
  <si>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</si>
  <si>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</si>
  <si>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</si>
  <si>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</si>
  <si>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</si>
  <si>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</si>
  <si>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</si>
  <si>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</si>
  <si>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</si>
  <si>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</si>
  <si>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</si>
  <si>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</si>
  <si>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</si>
  <si>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</si>
  <si>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</si>
  <si>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</si>
  <si>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</si>
  <si>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</si>
  <si>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</si>
  <si>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</si>
  <si>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</si>
  <si>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</si>
  <si>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</si>
  <si>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</si>
  <si>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</si>
  <si>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</si>
  <si>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</si>
  <si>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</si>
  <si>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</si>
  <si>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</si>
  <si>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</si>
  <si>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</si>
  <si>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</si>
  <si>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</si>
  <si>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</si>
  <si>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</si>
  <si>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</si>
  <si>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</si>
  <si>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</si>
  <si>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</si>
  <si>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</si>
  <si>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</si>
  <si>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</si>
  <si>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</si>
  <si>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</si>
  <si>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</si>
  <si>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</si>
  <si>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</si>
  <si>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</si>
  <si>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</si>
  <si>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</si>
  <si>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</si>
  <si>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</si>
  <si>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</si>
  <si>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</si>
  <si>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</si>
  <si>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</si>
  <si>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</si>
  <si>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</si>
  <si>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</si>
  <si>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</si>
  <si>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</si>
  <si>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</si>
  <si>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</si>
  <si>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</si>
  <si>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</si>
  <si>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</si>
  <si>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</si>
  <si>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</si>
  <si>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</si>
  <si>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</si>
  <si>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</si>
  <si>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</si>
  <si>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</si>
  <si>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</si>
  <si>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</si>
  <si>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</si>
  <si>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</si>
  <si>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</si>
  <si>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</si>
  <si>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</si>
  <si>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</si>
  <si>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</si>
  <si>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</si>
  <si>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</si>
  <si>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</si>
  <si>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</si>
  <si>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</si>
  <si>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</si>
  <si>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</si>
  <si>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</si>
  <si>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</si>
  <si>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</si>
  <si>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</si>
  <si>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</si>
  <si>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</si>
  <si>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</si>
  <si>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</si>
  <si>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</si>
  <si>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</si>
  <si>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</si>
  <si>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</si>
  <si>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</si>
  <si>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</si>
  <si>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</si>
  <si>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</si>
  <si>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</si>
  <si>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</si>
  <si>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</si>
  <si>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</si>
  <si>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</si>
  <si>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</si>
  <si>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</si>
  <si>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</si>
  <si>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</si>
  <si>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</si>
  <si>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</si>
  <si>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</si>
  <si>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</si>
  <si>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</si>
  <si>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</si>
  <si>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</si>
  <si>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</si>
  <si>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</si>
  <si>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</si>
  <si>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</si>
  <si>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</si>
  <si>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</si>
  <si>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</si>
  <si>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</si>
  <si>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</si>
  <si>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</si>
  <si>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</si>
  <si>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</si>
  <si>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</si>
  <si>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</si>
  <si>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</si>
  <si>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</si>
  <si>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</si>
  <si>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</si>
  <si>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</si>
  <si>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</si>
  <si>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</si>
  <si>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</si>
  <si>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</si>
  <si>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</si>
  <si>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</si>
  <si>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</si>
  <si>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</si>
  <si>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</si>
  <si>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</si>
  <si>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</si>
  <si>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</si>
  <si>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</si>
  <si>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</si>
  <si>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</si>
  <si>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</si>
  <si>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</si>
  <si>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</si>
  <si>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</si>
  <si>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</si>
  <si>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</si>
  <si>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</si>
  <si>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</si>
  <si>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</si>
  <si>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</si>
  <si>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</si>
  <si>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</si>
  <si>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</si>
  <si>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</si>
  <si>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</si>
  <si>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</si>
  <si>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</si>
  <si>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</si>
  <si>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</si>
  <si>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</si>
  <si>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</si>
  <si>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</si>
  <si>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</si>
  <si>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</si>
  <si>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</si>
  <si>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</si>
  <si>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</si>
  <si>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</si>
  <si>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</si>
  <si>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</si>
  <si>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</si>
  <si>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</si>
  <si>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</si>
  <si>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</si>
  <si>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</si>
  <si>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</si>
  <si>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</si>
  <si>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</si>
  <si>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</si>
  <si>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</si>
  <si>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</si>
  <si>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</si>
  <si>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</si>
  <si>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</si>
  <si>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</si>
  <si>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</si>
  <si>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</si>
  <si>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</si>
  <si>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</si>
  <si>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</si>
  <si>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</si>
  <si>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</si>
  <si>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</si>
  <si>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</si>
  <si>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</si>
  <si>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</si>
  <si>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</si>
  <si>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</si>
  <si>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</si>
  <si>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</si>
  <si>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</si>
  <si>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</si>
  <si>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</si>
  <si>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</si>
  <si>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</si>
  <si>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</si>
  <si>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</si>
  <si>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</si>
  <si>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</si>
  <si>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</si>
  <si>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</si>
  <si>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</si>
  <si>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</si>
  <si>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</si>
  <si>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</si>
  <si>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</si>
  <si>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</si>
  <si>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</si>
  <si>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</si>
  <si>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</si>
  <si>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</si>
  <si>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</si>
  <si>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</si>
  <si>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</si>
  <si>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</si>
  <si>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</si>
  <si>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</si>
  <si>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</si>
  <si>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</si>
  <si>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</si>
  <si>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</si>
  <si>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</si>
  <si>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</si>
  <si>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</si>
  <si>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</si>
  <si>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</si>
  <si>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</si>
  <si>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</si>
  <si>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</si>
  <si>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</si>
  <si>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</si>
  <si>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</si>
  <si>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</si>
  <si>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</si>
  <si>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</si>
  <si>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</si>
  <si>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</si>
  <si>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</si>
  <si>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</si>
  <si>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</si>
  <si>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</si>
  <si>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</si>
  <si>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</si>
  <si>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</si>
  <si>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</si>
  <si>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</si>
  <si>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</si>
  <si>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</si>
  <si>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</si>
  <si>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</si>
  <si>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</si>
  <si>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</si>
  <si>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</si>
  <si>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</si>
  <si>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</si>
  <si>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</si>
  <si>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</si>
  <si>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</si>
  <si>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</si>
  <si>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</si>
  <si>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</si>
  <si>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</si>
  <si>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</si>
  <si>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</si>
  <si>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</si>
  <si>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</si>
  <si>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</si>
  <si>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</si>
  <si>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</si>
  <si>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</si>
  <si>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</si>
  <si>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</si>
  <si>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</si>
  <si>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</si>
  <si>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</si>
  <si>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</si>
  <si>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</si>
  <si>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</si>
  <si>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</si>
  <si>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</si>
  <si>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</si>
  <si>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</si>
  <si>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</si>
  <si>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</si>
  <si>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</si>
  <si>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</si>
  <si>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</si>
  <si>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</si>
  <si>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</si>
  <si>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</si>
  <si>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</si>
  <si>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</si>
  <si>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</si>
  <si>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</si>
  <si>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</si>
  <si>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</si>
  <si>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</si>
  <si>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</si>
  <si>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</si>
  <si>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</si>
  <si>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</si>
  <si>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</si>
  <si>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</si>
  <si>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</si>
  <si>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</si>
  <si>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</si>
  <si>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</si>
  <si>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</si>
  <si>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</si>
  <si>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</si>
  <si>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</si>
  <si>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</si>
  <si>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</si>
  <si>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</si>
  <si>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</si>
  <si>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</si>
  <si>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</si>
  <si>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</si>
  <si>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</si>
  <si>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</si>
  <si>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</si>
  <si>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</si>
  <si>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</si>
  <si>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</si>
  <si>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</si>
  <si>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</si>
  <si>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</si>
  <si>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</si>
  <si>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</si>
  <si>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</si>
  <si>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</si>
  <si>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</si>
  <si>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</si>
  <si>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</si>
  <si>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</si>
  <si>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</si>
  <si>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</si>
  <si>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</si>
  <si>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</si>
  <si>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</si>
  <si>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</si>
  <si>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</si>
  <si>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</si>
  <si>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</si>
  <si>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</si>
  <si>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</si>
  <si>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</si>
  <si>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</si>
  <si>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</si>
  <si>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</si>
  <si>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</si>
  <si>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</si>
  <si>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</si>
  <si>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</si>
  <si>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</si>
  <si>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</si>
  <si>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</si>
  <si>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</si>
  <si>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</si>
  <si>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</si>
  <si>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</si>
  <si>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</si>
  <si>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</si>
  <si>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</si>
  <si>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</si>
  <si>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</si>
  <si>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</si>
  <si>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</si>
  <si>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</si>
  <si>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</si>
  <si>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</si>
  <si>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</si>
  <si>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</si>
  <si>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</si>
  <si>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</si>
  <si>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</si>
  <si>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</si>
  <si>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</si>
  <si>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</si>
  <si>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</si>
  <si>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</si>
  <si>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</si>
  <si>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</si>
  <si>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</si>
  <si>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</si>
  <si>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</si>
  <si>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</si>
  <si>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</si>
  <si>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</si>
  <si>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</si>
  <si>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</si>
  <si>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</si>
  <si>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</si>
  <si>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</si>
  <si>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</si>
  <si>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</si>
  <si>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</si>
  <si>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</si>
  <si>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</si>
  <si>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</si>
  <si>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</si>
  <si>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</si>
  <si>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</si>
  <si>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</si>
  <si>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</si>
  <si>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</si>
  <si>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</si>
  <si>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</si>
  <si>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</si>
  <si>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</si>
  <si>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</si>
  <si>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</si>
  <si>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</si>
  <si>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</si>
  <si>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</si>
  <si>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</si>
  <si>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</si>
  <si>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</si>
  <si>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</si>
  <si>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</si>
  <si>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</si>
  <si>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</si>
  <si>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</si>
  <si>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</si>
  <si>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</si>
  <si>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</si>
  <si>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</si>
  <si>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</si>
  <si>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</si>
  <si>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</si>
  <si>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</si>
  <si>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</si>
  <si>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</si>
  <si>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</si>
  <si>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</si>
  <si>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</si>
  <si>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</si>
  <si>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</si>
  <si>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</si>
  <si>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</si>
  <si>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</si>
  <si>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</si>
  <si>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</si>
  <si>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</si>
  <si>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</si>
  <si>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</si>
  <si>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</si>
  <si>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</si>
  <si>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</si>
  <si>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</si>
  <si>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</si>
  <si>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</si>
  <si>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</si>
  <si>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</si>
  <si>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</si>
  <si>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</si>
  <si>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</si>
  <si>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</si>
  <si>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</si>
  <si>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</si>
  <si>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</si>
  <si>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</si>
  <si>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</si>
  <si>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</si>
  <si>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</si>
  <si>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</si>
  <si>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</si>
  <si>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</si>
  <si>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</si>
  <si>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</si>
  <si>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</si>
  <si>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</si>
  <si>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</si>
  <si>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</si>
  <si>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</si>
  <si>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</si>
  <si>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</si>
  <si>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</si>
  <si>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</si>
  <si>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</si>
  <si>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</si>
  <si>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</si>
  <si>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</si>
  <si>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</si>
  <si>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</si>
  <si>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</si>
  <si>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</si>
  <si>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</si>
  <si>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</si>
  <si>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</si>
  <si>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</si>
  <si>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</si>
  <si>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</si>
  <si>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</si>
  <si>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</si>
  <si>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</si>
  <si>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</si>
  <si>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</si>
  <si>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</si>
  <si>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</si>
  <si>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</si>
  <si>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</si>
  <si>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</si>
  <si>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</si>
  <si>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</si>
  <si>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</si>
  <si>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</si>
  <si>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</si>
  <si>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</si>
  <si>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</si>
  <si>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</si>
  <si>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</si>
  <si>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</si>
  <si>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</si>
  <si>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</si>
  <si>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</si>
  <si>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</si>
  <si>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</si>
  <si>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</si>
  <si>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</si>
  <si>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</si>
  <si>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</si>
  <si>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</si>
  <si>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</si>
  <si>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</si>
  <si>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</si>
  <si>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</si>
  <si>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</si>
  <si>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</si>
  <si>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</si>
  <si>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</si>
  <si>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</si>
  <si>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</si>
  <si>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</si>
  <si>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</si>
  <si>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</si>
  <si>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</si>
  <si>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</si>
  <si>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</si>
  <si>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</si>
  <si>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</si>
  <si>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</si>
  <si>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</si>
  <si>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</si>
  <si>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</si>
  <si>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</si>
  <si>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</si>
  <si>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</si>
  <si>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</si>
  <si>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</si>
  <si>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</si>
  <si>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</si>
  <si>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</si>
  <si>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</si>
  <si>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</si>
  <si>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</si>
  <si>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</si>
  <si>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</si>
  <si>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</si>
  <si>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</si>
  <si>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</si>
  <si>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</si>
  <si>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</si>
  <si>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</si>
  <si>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</si>
  <si>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</si>
  <si>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</si>
  <si>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</si>
  <si>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</si>
  <si>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</si>
  <si>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</si>
  <si>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</si>
  <si>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</si>
  <si>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</si>
  <si>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</si>
  <si>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</si>
  <si>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</si>
  <si>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</si>
  <si>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</si>
  <si>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</si>
  <si>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</si>
  <si>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</si>
  <si>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</si>
  <si>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</si>
  <si>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</si>
  <si>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</si>
  <si>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</si>
  <si>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</si>
  <si>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</si>
  <si>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</si>
  <si>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</si>
  <si>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</si>
  <si>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</si>
  <si>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</si>
  <si>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</si>
  <si>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</si>
  <si>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</si>
  <si>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</si>
  <si>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</si>
  <si>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</si>
  <si>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</si>
  <si>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</si>
  <si>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</si>
  <si>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</si>
  <si>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</si>
  <si>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</si>
  <si>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</si>
  <si>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</si>
  <si>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</si>
  <si>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</si>
  <si>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</si>
  <si>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</si>
  <si>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</si>
  <si>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</si>
  <si>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</si>
  <si>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</si>
  <si>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</si>
  <si>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</si>
  <si>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</si>
  <si>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</si>
  <si>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</si>
  <si>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</si>
  <si>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</si>
  <si>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</si>
  <si>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</si>
  <si>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</si>
  <si>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</si>
  <si>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</si>
  <si>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</si>
  <si>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</si>
  <si>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</si>
  <si>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</si>
  <si>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</si>
  <si>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</si>
  <si>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</si>
  <si>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</si>
  <si>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</si>
  <si>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</si>
  <si>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</si>
  <si>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</si>
  <si>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</si>
  <si>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</si>
  <si>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</si>
  <si>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</si>
  <si>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</si>
  <si>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</si>
  <si>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</si>
  <si>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</si>
  <si>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</si>
  <si>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</si>
  <si>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</si>
  <si>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</si>
  <si>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</si>
  <si>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</si>
  <si>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</si>
  <si>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</si>
  <si>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</si>
  <si>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</si>
  <si>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</si>
  <si>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</si>
  <si>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</si>
  <si>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</si>
  <si>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</si>
  <si>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</si>
  <si>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</si>
  <si>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</si>
  <si>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</si>
  <si>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</si>
  <si>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</si>
  <si>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</si>
  <si>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</si>
  <si>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</si>
  <si>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</si>
  <si>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</si>
  <si>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</si>
  <si>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</si>
  <si>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</si>
  <si>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</si>
  <si>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</si>
  <si>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</si>
  <si>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</si>
  <si>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</si>
  <si>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</si>
  <si>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</si>
  <si>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</si>
  <si>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</si>
  <si>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</si>
  <si>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</si>
  <si>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</si>
  <si>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</si>
  <si>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</si>
  <si>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</si>
  <si>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</si>
  <si>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</si>
  <si>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</si>
  <si>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</si>
  <si>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</si>
  <si>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</si>
  <si>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</si>
  <si>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</si>
  <si>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</si>
  <si>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</si>
  <si>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</si>
  <si>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</si>
  <si>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</si>
  <si>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</si>
  <si>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</si>
  <si>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</si>
  <si>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</si>
  <si>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</si>
  <si>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</si>
  <si>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</si>
  <si>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</si>
  <si>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</si>
  <si>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</si>
  <si>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</si>
  <si>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</si>
  <si>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</si>
  <si>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</si>
  <si>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</si>
  <si>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</si>
  <si>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</si>
  <si>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</si>
  <si>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</si>
  <si>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</si>
  <si>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</si>
  <si>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</si>
  <si>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</si>
  <si>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</si>
  <si>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</si>
  <si>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</si>
  <si>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</si>
  <si>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</si>
  <si>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</si>
  <si>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</si>
  <si>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</si>
  <si>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</si>
  <si>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</si>
  <si>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</si>
  <si>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</si>
  <si>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</si>
  <si>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</si>
  <si>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</si>
  <si>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</si>
  <si>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</si>
  <si>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</si>
  <si>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</si>
  <si>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</si>
  <si>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</si>
  <si>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</si>
  <si>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</si>
  <si>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</si>
  <si>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</si>
  <si>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</si>
  <si>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</si>
  <si>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</si>
  <si>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</si>
  <si>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</si>
  <si>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</si>
  <si>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</si>
  <si>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</si>
  <si>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</si>
  <si>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</si>
  <si>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</si>
  <si>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</si>
  <si>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</si>
  <si>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</si>
  <si>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</si>
  <si>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</si>
  <si>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</si>
  <si>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</si>
  <si>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</si>
  <si>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</si>
  <si>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</si>
  <si>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</si>
  <si>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</si>
  <si>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</si>
  <si>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</si>
  <si>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</si>
  <si>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</si>
  <si>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</si>
  <si>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</si>
  <si>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</si>
  <si>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</si>
  <si>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</si>
  <si>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</si>
  <si>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</si>
  <si>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</si>
  <si>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</si>
  <si>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</si>
  <si>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</si>
  <si>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</si>
  <si>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</si>
  <si>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</si>
  <si>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</si>
  <si>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</si>
  <si>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</si>
  <si>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</si>
  <si>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</si>
  <si>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</si>
  <si>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</si>
  <si>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</si>
  <si>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</si>
  <si>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</si>
  <si>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</si>
  <si>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</si>
  <si>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</si>
  <si>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</si>
  <si>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</si>
  <si>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</si>
  <si>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</si>
  <si>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</si>
  <si>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</si>
  <si>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</si>
  <si>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</si>
  <si>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</si>
  <si>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</si>
  <si>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</si>
  <si>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</si>
  <si>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</si>
  <si>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</si>
  <si>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</si>
  <si>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</si>
  <si>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</si>
  <si>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</si>
  <si>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</si>
  <si>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</si>
  <si>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</si>
  <si>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</si>
  <si>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</si>
  <si>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</si>
  <si>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</si>
  <si>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</si>
  <si>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</si>
  <si>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</si>
  <si>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</si>
  <si>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</si>
  <si>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</si>
  <si>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</si>
  <si>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</si>
  <si>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</si>
  <si>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</si>
  <si>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</si>
  <si>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</si>
  <si>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</si>
  <si>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</si>
  <si>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</si>
  <si>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</si>
  <si>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</si>
  <si>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</si>
  <si>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</si>
  <si>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</si>
  <si>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</si>
  <si>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</si>
  <si>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</si>
  <si>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</si>
  <si>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</si>
  <si>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</si>
  <si>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</si>
  <si>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</si>
  <si>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</si>
  <si>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</si>
  <si>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</si>
  <si>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</si>
  <si>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</si>
  <si>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</si>
  <si>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</si>
  <si>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</si>
  <si>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</si>
  <si>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</si>
  <si>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</si>
  <si>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</si>
  <si>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</si>
  <si>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</si>
  <si>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</si>
  <si>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</si>
  <si>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</si>
  <si>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</si>
  <si>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</si>
  <si>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</si>
  <si>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</si>
  <si>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</si>
  <si>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</si>
  <si>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</si>
  <si>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</si>
  <si>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</si>
  <si>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</si>
  <si>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</si>
  <si>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</si>
  <si>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</si>
  <si>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</si>
  <si>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</si>
  <si>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</si>
  <si>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</si>
  <si>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</si>
  <si>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</si>
  <si>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</si>
  <si>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</si>
  <si>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</si>
  <si>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</si>
  <si>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</si>
  <si>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</si>
  <si>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</si>
  <si>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</si>
  <si>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</si>
  <si>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</si>
  <si>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</si>
  <si>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</si>
  <si>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</si>
  <si>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</si>
  <si>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</si>
  <si>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</si>
  <si>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</si>
  <si>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</si>
  <si>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</si>
  <si>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</si>
  <si>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</si>
  <si>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</si>
  <si>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</si>
  <si>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</si>
  <si>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</si>
  <si>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</si>
  <si>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</si>
  <si>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</si>
  <si>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</si>
  <si>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</si>
  <si>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</si>
  <si>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</si>
  <si>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</si>
  <si>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</si>
  <si>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</si>
  <si>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</si>
  <si>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</si>
  <si>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</si>
  <si>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</si>
  <si>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</si>
  <si>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</si>
  <si>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</si>
  <si>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</si>
  <si>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</si>
  <si>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</si>
  <si>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</si>
  <si>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</si>
  <si>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</si>
  <si>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</si>
  <si>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</si>
  <si>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</si>
  <si>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</si>
  <si>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</si>
  <si>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</si>
  <si>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</si>
  <si>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</si>
  <si>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</si>
  <si>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</si>
  <si>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</si>
  <si>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</si>
  <si>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</si>
  <si>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</si>
  <si>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</si>
  <si>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</si>
  <si>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</si>
  <si>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</si>
  <si>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</si>
  <si>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</si>
  <si>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</si>
  <si>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134</t>
  </si>
  <si>
    <t>Island Hospital</t>
  </si>
  <si>
    <t xml:space="preserve"> 2411 24th Street</t>
  </si>
  <si>
    <t>Anacortes, WA 98221</t>
  </si>
  <si>
    <t>Skagit</t>
  </si>
  <si>
    <t>Vince Oliver</t>
  </si>
  <si>
    <t>Elise Cutter</t>
  </si>
  <si>
    <t>Paul Maughan, PhD</t>
  </si>
  <si>
    <t xml:space="preserve"> 360-299-1300</t>
  </si>
  <si>
    <t xml:space="preserve"> 360-299-1384</t>
  </si>
  <si>
    <t xml:space="preserve">Warren Tessler </t>
  </si>
  <si>
    <t>Labor allocation issue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</si>
</sst>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9" fillId="4" borderId="14" xfId="0" applyNumberFormat="1" applyFont="1" applyFill="1" applyBorder="1" applyAlignment="1" applyProtection="1">
      <alignment horizontal="left"/>
      <protection locked="0"/>
    </xf>
    <xf numFmtId="38" fontId="9" fillId="4" borderId="1" xfId="0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10346597.26</v>
      </c>
      <c r="C47" s="184">
        <v>334777.65000000002</v>
      </c>
      <c r="D47" s="184">
        <v>0</v>
      </c>
      <c r="E47" s="184">
        <v>1226150.73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331856.57</v>
      </c>
      <c r="P47" s="184">
        <f>418136.73+211021.14</f>
        <v>629157.87</v>
      </c>
      <c r="Q47" s="184">
        <f>202122.57</f>
        <v>202122.57</v>
      </c>
      <c r="R47" s="184">
        <f>36310.71+90.85</f>
        <v>36401.56</v>
      </c>
      <c r="S47" s="184">
        <v>107945.8</v>
      </c>
      <c r="T47" s="184">
        <v>0</v>
      </c>
      <c r="U47" s="184">
        <v>399964.5</v>
      </c>
      <c r="V47" s="184">
        <f>21407.28</f>
        <v>21407.279999999999</v>
      </c>
      <c r="W47" s="184">
        <f>46086.13</f>
        <v>46086.13</v>
      </c>
      <c r="X47" s="184">
        <f>66781.88</f>
        <v>66781.88</v>
      </c>
      <c r="Y47" s="184">
        <f>11732.55+47249.13+119043.34+226191.68+65431.34</f>
        <v>469648.03999999992</v>
      </c>
      <c r="Z47" s="184">
        <f>203507.68</f>
        <v>203507.68</v>
      </c>
      <c r="AA47" s="184">
        <f>41132.57</f>
        <v>41132.57</v>
      </c>
      <c r="AB47" s="184">
        <f>270281.68</f>
        <v>270281.68</v>
      </c>
      <c r="AC47" s="184">
        <f>146831.5+45878.93</f>
        <v>192710.43</v>
      </c>
      <c r="AD47" s="184">
        <v>0</v>
      </c>
      <c r="AE47" s="184">
        <f>334070.08</f>
        <v>334070.08</v>
      </c>
      <c r="AF47" s="184">
        <v>0</v>
      </c>
      <c r="AG47" s="184">
        <f>519758.33</f>
        <v>519758.33</v>
      </c>
      <c r="AH47" s="184">
        <f>3773.56</f>
        <v>3773.56</v>
      </c>
      <c r="AI47" s="184">
        <f>154925.04</f>
        <v>154925.04</v>
      </c>
      <c r="AJ47" s="184">
        <f>7163.84+84031.43+298050.04+116561.83+1096603.65+2033.14+115022.58</f>
        <v>1719466.5099999998</v>
      </c>
      <c r="AK47" s="184">
        <v>0</v>
      </c>
      <c r="AL47" s="184">
        <f>55557.74</f>
        <v>55557.74</v>
      </c>
      <c r="AM47" s="184">
        <v>0</v>
      </c>
      <c r="AN47" s="184">
        <v>0</v>
      </c>
      <c r="AO47" s="184">
        <v>0</v>
      </c>
      <c r="AP47" s="184">
        <f>637.05+202.34</f>
        <v>839.39</v>
      </c>
      <c r="AQ47" s="184">
        <v>0</v>
      </c>
      <c r="AR47" s="184"/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f>236744.95</f>
        <v>236744.95</v>
      </c>
      <c r="AZ47" s="184">
        <v>0</v>
      </c>
      <c r="BA47" s="184">
        <v>0</v>
      </c>
      <c r="BB47" s="184">
        <v>0</v>
      </c>
      <c r="BC47" s="184">
        <v>0</v>
      </c>
      <c r="BD47" s="184">
        <f>117018.14</f>
        <v>117018.14</v>
      </c>
      <c r="BE47" s="184">
        <f>143417.96</f>
        <v>143417.96</v>
      </c>
      <c r="BF47" s="184">
        <f>342202.88</f>
        <v>342202.88</v>
      </c>
      <c r="BG47" s="184">
        <v>0</v>
      </c>
      <c r="BH47" s="184">
        <f>291370.26</f>
        <v>291370.26</v>
      </c>
      <c r="BI47" s="184">
        <v>0</v>
      </c>
      <c r="BJ47" s="184">
        <f>82589.34</f>
        <v>82589.34</v>
      </c>
      <c r="BK47" s="184">
        <f>358079.18</f>
        <v>358079.18</v>
      </c>
      <c r="BL47" s="184">
        <f>397883.13</f>
        <v>397883.13</v>
      </c>
      <c r="BM47" s="184">
        <v>0</v>
      </c>
      <c r="BN47" s="184">
        <f>292191.25</f>
        <v>292191.25</v>
      </c>
      <c r="BO47" s="184">
        <f>21425.36</f>
        <v>21425.360000000001</v>
      </c>
      <c r="BP47" s="184">
        <f>47033.16</f>
        <v>47033.16</v>
      </c>
      <c r="BQ47" s="184">
        <v>0</v>
      </c>
      <c r="BR47" s="184">
        <f>144918.85</f>
        <v>144918.85</v>
      </c>
      <c r="BS47" s="184">
        <v>17636.64</v>
      </c>
      <c r="BT47" s="184">
        <v>530.36</v>
      </c>
      <c r="BU47" s="184">
        <v>1591.86</v>
      </c>
      <c r="BV47" s="184">
        <v>132413.43</v>
      </c>
      <c r="BW47" s="184">
        <f>21995.91</f>
        <v>21995.91</v>
      </c>
      <c r="BX47" s="184">
        <f>139217.51</f>
        <v>139217.51</v>
      </c>
      <c r="BY47" s="184">
        <f>11.8+49085.72</f>
        <v>49097.520000000004</v>
      </c>
      <c r="BZ47" s="184">
        <v>0</v>
      </c>
      <c r="CA47" s="184">
        <v>0</v>
      </c>
      <c r="CB47" s="184">
        <f>20650.25+11196.36</f>
        <v>31846.61</v>
      </c>
      <c r="CC47" s="184">
        <f>24.9+10095.08+30936.71+45573.18+12219.1+9951.06+269.34</f>
        <v>109069.37</v>
      </c>
      <c r="CD47" s="195"/>
      <c r="CE47" s="195">
        <f>SUM(C47:CC47)</f>
        <v>10346597.259999994</v>
      </c>
    </row>
    <row r="48" spans="1:83" ht="12.6" customHeight="1" x14ac:dyDescent="0.25">
      <c r="A48" s="175" t="s">
        <v>205</v>
      </c>
      <c r="B48" s="183">
        <v>0</v>
      </c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10346597.26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3415825</v>
      </c>
      <c r="C51" s="184">
        <f>67236</f>
        <v>67236</v>
      </c>
      <c r="D51" s="184">
        <v>0</v>
      </c>
      <c r="E51" s="184">
        <v>47981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f>32505</f>
        <v>32505</v>
      </c>
      <c r="P51" s="184">
        <f>392357+1778</f>
        <v>394135</v>
      </c>
      <c r="Q51" s="184">
        <f>6192</f>
        <v>6192</v>
      </c>
      <c r="R51" s="184">
        <f>27282</f>
        <v>27282</v>
      </c>
      <c r="S51" s="184">
        <f>31512</f>
        <v>31512</v>
      </c>
      <c r="T51" s="184">
        <v>0</v>
      </c>
      <c r="U51" s="184">
        <f>48082</f>
        <v>48082</v>
      </c>
      <c r="V51" s="184">
        <f>3207</f>
        <v>3207</v>
      </c>
      <c r="W51" s="184">
        <f>65154</f>
        <v>65154</v>
      </c>
      <c r="X51" s="184">
        <f>116040</f>
        <v>116040</v>
      </c>
      <c r="Y51" s="184">
        <f>504+42968+59404+76249</f>
        <v>179125</v>
      </c>
      <c r="Z51" s="184">
        <f>53818</f>
        <v>53818</v>
      </c>
      <c r="AA51" s="184">
        <f>5184</f>
        <v>5184</v>
      </c>
      <c r="AB51" s="184">
        <f>87270</f>
        <v>87270</v>
      </c>
      <c r="AC51" s="184">
        <f>16300+4033</f>
        <v>20333</v>
      </c>
      <c r="AD51" s="184">
        <v>0</v>
      </c>
      <c r="AE51" s="184">
        <f>6102</f>
        <v>6102</v>
      </c>
      <c r="AF51" s="184">
        <v>0</v>
      </c>
      <c r="AG51" s="184">
        <f>28683</f>
        <v>28683</v>
      </c>
      <c r="AH51" s="184">
        <f>636</f>
        <v>636</v>
      </c>
      <c r="AI51" s="184">
        <f>17194</f>
        <v>17194</v>
      </c>
      <c r="AJ51" s="184">
        <f>552+9871+1034+5948+6271+29166</f>
        <v>52842</v>
      </c>
      <c r="AK51" s="184">
        <v>0</v>
      </c>
      <c r="AL51" s="184">
        <f>252</f>
        <v>252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f>21802</f>
        <v>21802</v>
      </c>
      <c r="AZ51" s="184">
        <v>0</v>
      </c>
      <c r="BA51" s="184">
        <v>0</v>
      </c>
      <c r="BB51" s="184">
        <v>0</v>
      </c>
      <c r="BC51" s="184">
        <v>0</v>
      </c>
      <c r="BD51" s="184">
        <f>7680</f>
        <v>7680</v>
      </c>
      <c r="BE51" s="184">
        <f>103711</f>
        <v>103711</v>
      </c>
      <c r="BF51" s="184">
        <f>8632</f>
        <v>8632</v>
      </c>
      <c r="BG51" s="184">
        <v>0</v>
      </c>
      <c r="BH51" s="184">
        <f>1025716</f>
        <v>1025716</v>
      </c>
      <c r="BI51" s="184">
        <v>0</v>
      </c>
      <c r="BJ51" s="184">
        <f>9102</f>
        <v>9102</v>
      </c>
      <c r="BK51" s="184">
        <f>2772</f>
        <v>2772</v>
      </c>
      <c r="BL51" s="184">
        <f>34550</f>
        <v>34550</v>
      </c>
      <c r="BM51" s="184">
        <v>0</v>
      </c>
      <c r="BN51" s="184">
        <f>1209</f>
        <v>1209</v>
      </c>
      <c r="BO51" s="184">
        <v>0</v>
      </c>
      <c r="BP51" s="184">
        <v>3420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f>504</f>
        <v>504</v>
      </c>
      <c r="BW51" s="184">
        <v>0</v>
      </c>
      <c r="BX51" s="184">
        <f>1356</f>
        <v>1356</v>
      </c>
      <c r="BY51" s="184">
        <f>4257</f>
        <v>4257</v>
      </c>
      <c r="BZ51" s="184">
        <v>0</v>
      </c>
      <c r="CA51" s="184">
        <v>0</v>
      </c>
      <c r="CB51" s="184">
        <v>0</v>
      </c>
      <c r="CC51" s="184">
        <f>7127+624+132604+166868+9132+577238+324+6432</f>
        <v>900349</v>
      </c>
      <c r="CD51" s="195"/>
      <c r="CE51" s="195">
        <f>SUM(C51:CD51)</f>
        <v>3415825</v>
      </c>
    </row>
    <row r="52" spans="1:84" ht="12.6" customHeight="1" x14ac:dyDescent="0.25">
      <c r="A52" s="171" t="s">
        <v>208</v>
      </c>
      <c r="B52" s="184">
        <v>1393893</v>
      </c>
      <c r="C52" s="195">
        <f>ROUND((B52/(CE76+CF76)*C76),0)</f>
        <v>24990</v>
      </c>
      <c r="D52" s="195">
        <f>ROUND((B52/(CE76+CF76)*D76),0)</f>
        <v>0</v>
      </c>
      <c r="E52" s="195">
        <f>ROUND((B52/(CE76+CF76)*E76),0)</f>
        <v>156768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35962</v>
      </c>
      <c r="P52" s="195">
        <f>ROUND((B52/(CE76+CF76)*P76),0)</f>
        <v>78543</v>
      </c>
      <c r="Q52" s="195">
        <f>ROUND((B52/(CE76+CF76)*Q76),0)</f>
        <v>0</v>
      </c>
      <c r="R52" s="195">
        <f>ROUND((B52/(CE76+CF76)*R76),0)</f>
        <v>3384</v>
      </c>
      <c r="S52" s="195">
        <f>ROUND((B52/(CE76+CF76)*S76),0)</f>
        <v>20516</v>
      </c>
      <c r="T52" s="195">
        <f>ROUND((B52/(CE76+CF76)*T76),0)</f>
        <v>0</v>
      </c>
      <c r="U52" s="195">
        <f>ROUND((B52/(CE76+CF76)*U76),0)</f>
        <v>26668</v>
      </c>
      <c r="V52" s="195">
        <f>ROUND((B52/(CE76+CF76)*V76),0)</f>
        <v>68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73947</v>
      </c>
      <c r="Z52" s="195">
        <f>ROUND((B52/(CE76+CF76)*Z76),0)</f>
        <v>52118</v>
      </c>
      <c r="AA52" s="195">
        <f>ROUND((B52/(CE76+CF76)*AA76),0)</f>
        <v>0</v>
      </c>
      <c r="AB52" s="195">
        <f>ROUND((B52/(CE76+CF76)*AB76),0)</f>
        <v>12833</v>
      </c>
      <c r="AC52" s="195">
        <f>ROUND((B52/(CE76+CF76)*AC76),0)</f>
        <v>28069</v>
      </c>
      <c r="AD52" s="195">
        <f>ROUND((B52/(CE76+CF76)*AD76),0)</f>
        <v>0</v>
      </c>
      <c r="AE52" s="195">
        <f>ROUND((B52/(CE76+CF76)*AE76),0)</f>
        <v>50088</v>
      </c>
      <c r="AF52" s="195">
        <f>ROUND((B52/(CE76+CF76)*AF76),0)</f>
        <v>0</v>
      </c>
      <c r="AG52" s="195">
        <f>ROUND((B52/(CE76+CF76)*AG76),0)</f>
        <v>48057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128692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7642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28442</v>
      </c>
      <c r="AZ52" s="195">
        <f>ROUND((B52/(CE76+CF76)*AZ76),0)</f>
        <v>0</v>
      </c>
      <c r="BA52" s="195">
        <f>ROUND((B52/(CE76+CF76)*BA76),0)</f>
        <v>1943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32428</v>
      </c>
      <c r="BE52" s="195">
        <f>ROUND((B52/(CE76+CF76)*BE76),0)</f>
        <v>79958</v>
      </c>
      <c r="BF52" s="195">
        <f>ROUND((B52/(CE76+CF76)*BF76),0)</f>
        <v>16197</v>
      </c>
      <c r="BG52" s="195">
        <f>ROUND((B52/(CE76+CF76)*BG76),0)</f>
        <v>0</v>
      </c>
      <c r="BH52" s="195">
        <f>ROUND((B52/(CE76+CF76)*BH76),0)</f>
        <v>12048</v>
      </c>
      <c r="BI52" s="195">
        <f>ROUND((B52/(CE76+CF76)*BI76),0)</f>
        <v>0</v>
      </c>
      <c r="BJ52" s="195">
        <f>ROUND((B52/(CE76+CF76)*BJ76),0)</f>
        <v>8400</v>
      </c>
      <c r="BK52" s="195">
        <f>ROUND((B52/(CE76+CF76)*BK76),0)</f>
        <v>23298</v>
      </c>
      <c r="BL52" s="195">
        <f>ROUND((B52/(CE76+CF76)*BL76),0)</f>
        <v>82069</v>
      </c>
      <c r="BM52" s="195">
        <f>ROUND((B52/(CE76+CF76)*BM76),0)</f>
        <v>0</v>
      </c>
      <c r="BN52" s="195">
        <f>ROUND((B52/(CE76+CF76)*BN76),0)</f>
        <v>11013</v>
      </c>
      <c r="BO52" s="195">
        <f>ROUND((B52/(CE76+CF76)*BO76),0)</f>
        <v>0</v>
      </c>
      <c r="BP52" s="195">
        <f>ROUND((B52/(CE76+CF76)*BP76),0)</f>
        <v>873</v>
      </c>
      <c r="BQ52" s="195">
        <f>ROUND((B52/(CE76+CF76)*BQ76),0)</f>
        <v>0</v>
      </c>
      <c r="BR52" s="195">
        <f>ROUND((B52/(CE76+CF76)*BR76),0)</f>
        <v>8075</v>
      </c>
      <c r="BS52" s="195">
        <f>ROUND((B52/(CE76+CF76)*BS76),0)</f>
        <v>7628</v>
      </c>
      <c r="BT52" s="195">
        <f>ROUND((B52/(CE76+CF76)*BT76),0)</f>
        <v>2647</v>
      </c>
      <c r="BU52" s="195">
        <f>ROUND((B52/(CE76+CF76)*BU76),0)</f>
        <v>3777</v>
      </c>
      <c r="BV52" s="195">
        <f>ROUND((B52/(CE76+CF76)*BV76),0)</f>
        <v>9652</v>
      </c>
      <c r="BW52" s="195">
        <f>ROUND((B52/(CE76+CF76)*BW76),0)</f>
        <v>1665</v>
      </c>
      <c r="BX52" s="195">
        <f>ROUND((B52/(CE76+CF76)*BX76),0)</f>
        <v>1354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4352</v>
      </c>
      <c r="CC52" s="195">
        <f>ROUND((B52/(CE76+CF76)*CC76),0)</f>
        <v>309731</v>
      </c>
      <c r="CD52" s="195"/>
      <c r="CE52" s="195">
        <f>SUM(C52:CD52)</f>
        <v>1393895</v>
      </c>
    </row>
    <row r="53" spans="1:84" ht="12.6" customHeight="1" x14ac:dyDescent="0.25">
      <c r="A53" s="175" t="s">
        <v>206</v>
      </c>
      <c r="B53" s="195">
        <f>B51+B52</f>
        <v>4809718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701</v>
      </c>
      <c r="D59" s="184">
        <v>0</v>
      </c>
      <c r="E59" s="184">
        <f>6718+27</f>
        <v>6745</v>
      </c>
      <c r="F59" s="184">
        <v>0</v>
      </c>
      <c r="G59" s="184">
        <v>0</v>
      </c>
      <c r="H59" s="184">
        <v>0</v>
      </c>
      <c r="I59" s="184">
        <v>0</v>
      </c>
      <c r="J59" s="184">
        <v>704</v>
      </c>
      <c r="K59" s="184">
        <v>0</v>
      </c>
      <c r="L59" s="184">
        <v>0</v>
      </c>
      <c r="M59" s="184">
        <v>0</v>
      </c>
      <c r="N59" s="184">
        <v>0</v>
      </c>
      <c r="O59" s="184">
        <f>441+835+873</f>
        <v>2149</v>
      </c>
      <c r="P59" s="185">
        <v>385376</v>
      </c>
      <c r="Q59" s="185">
        <v>255979</v>
      </c>
      <c r="R59" s="185">
        <v>385376</v>
      </c>
      <c r="S59" s="246"/>
      <c r="T59" s="246"/>
      <c r="U59" s="224">
        <v>237844</v>
      </c>
      <c r="V59" s="185">
        <v>5896</v>
      </c>
      <c r="W59" s="185">
        <v>4439</v>
      </c>
      <c r="X59" s="185">
        <v>9980</v>
      </c>
      <c r="Y59" s="185">
        <f>19849+4876+1458+6731</f>
        <v>32914</v>
      </c>
      <c r="Z59" s="185">
        <v>10854</v>
      </c>
      <c r="AA59" s="185">
        <v>967</v>
      </c>
      <c r="AB59" s="246"/>
      <c r="AC59" s="185">
        <f>7208+4793</f>
        <v>12001</v>
      </c>
      <c r="AD59" s="185">
        <v>0</v>
      </c>
      <c r="AE59" s="185">
        <f>2562+13083+558</f>
        <v>16203</v>
      </c>
      <c r="AF59" s="185">
        <v>0</v>
      </c>
      <c r="AG59" s="185">
        <v>17418</v>
      </c>
      <c r="AH59" s="185">
        <v>0</v>
      </c>
      <c r="AI59" s="185">
        <v>524</v>
      </c>
      <c r="AJ59" s="185">
        <f>3+17383+3836+36670</f>
        <v>57892</v>
      </c>
      <c r="AK59" s="185">
        <v>0</v>
      </c>
      <c r="AL59" s="185">
        <v>2687</v>
      </c>
      <c r="AM59" s="185">
        <v>0</v>
      </c>
      <c r="AN59" s="185">
        <v>0</v>
      </c>
      <c r="AO59" s="185">
        <v>0</v>
      </c>
      <c r="AP59" s="185">
        <f>449.31+58.93</f>
        <v>508.24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6"/>
      <c r="AW59" s="246"/>
      <c r="AX59" s="246"/>
      <c r="AY59" s="185">
        <v>201221</v>
      </c>
      <c r="AZ59" s="185">
        <v>0</v>
      </c>
      <c r="BA59" s="246"/>
      <c r="BB59" s="246"/>
      <c r="BC59" s="246"/>
      <c r="BD59" s="246"/>
      <c r="BE59" s="185">
        <v>205935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14.02</v>
      </c>
      <c r="D60" s="187">
        <v>0</v>
      </c>
      <c r="E60" s="187">
        <v>59.93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f>13.56</f>
        <v>13.56</v>
      </c>
      <c r="P60" s="221">
        <f>20.36+9.37</f>
        <v>29.729999999999997</v>
      </c>
      <c r="Q60" s="221">
        <f>9.95</f>
        <v>9.9499999999999993</v>
      </c>
      <c r="R60" s="221">
        <f>1.51</f>
        <v>1.51</v>
      </c>
      <c r="S60" s="221">
        <f>7.61</f>
        <v>7.61</v>
      </c>
      <c r="T60" s="221">
        <v>0</v>
      </c>
      <c r="U60" s="221">
        <f>23.53</f>
        <v>23.53</v>
      </c>
      <c r="V60" s="221">
        <f>1</f>
        <v>1</v>
      </c>
      <c r="W60" s="221">
        <f>2.09</f>
        <v>2.09</v>
      </c>
      <c r="X60" s="221">
        <f>3.53</f>
        <v>3.53</v>
      </c>
      <c r="Y60" s="221">
        <f>0.65+2.13+7+12.57+2.78</f>
        <v>25.130000000000003</v>
      </c>
      <c r="Z60" s="221">
        <f>8.96</f>
        <v>8.9600000000000009</v>
      </c>
      <c r="AA60" s="221">
        <f>1.61</f>
        <v>1.61</v>
      </c>
      <c r="AB60" s="221">
        <v>12.68</v>
      </c>
      <c r="AC60" s="221">
        <f>7.79+2.63</f>
        <v>10.42</v>
      </c>
      <c r="AD60" s="221">
        <v>0</v>
      </c>
      <c r="AE60" s="221">
        <f>17.48</f>
        <v>17.48</v>
      </c>
      <c r="AF60" s="221">
        <v>0</v>
      </c>
      <c r="AG60" s="221">
        <f>26.7</f>
        <v>26.7</v>
      </c>
      <c r="AH60" s="221">
        <f>0.3</f>
        <v>0.3</v>
      </c>
      <c r="AI60" s="221">
        <f>8.69</f>
        <v>8.69</v>
      </c>
      <c r="AJ60" s="221">
        <f>0.19+4.98+20.21+6.45+55.44+6.53</f>
        <v>93.8</v>
      </c>
      <c r="AK60" s="221">
        <v>0</v>
      </c>
      <c r="AL60" s="221">
        <f>3.16</f>
        <v>3.16</v>
      </c>
      <c r="AM60" s="221">
        <v>0</v>
      </c>
      <c r="AN60" s="221">
        <v>0</v>
      </c>
      <c r="AO60" s="221">
        <v>0</v>
      </c>
      <c r="AP60" s="221">
        <f>0.09+0.06</f>
        <v>0.15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f>17.73</f>
        <v>17.73</v>
      </c>
      <c r="AZ60" s="221">
        <v>0</v>
      </c>
      <c r="BA60" s="221">
        <v>0</v>
      </c>
      <c r="BB60" s="221">
        <v>0</v>
      </c>
      <c r="BC60" s="221">
        <v>0</v>
      </c>
      <c r="BD60" s="221">
        <f>7.56</f>
        <v>7.56</v>
      </c>
      <c r="BE60" s="221">
        <f>7.49</f>
        <v>7.49</v>
      </c>
      <c r="BF60" s="221">
        <f>27.8</f>
        <v>27.8</v>
      </c>
      <c r="BG60" s="221">
        <v>0</v>
      </c>
      <c r="BH60" s="221">
        <f>13.52</f>
        <v>13.52</v>
      </c>
      <c r="BI60" s="221">
        <v>0</v>
      </c>
      <c r="BJ60" s="221">
        <f>4.27</f>
        <v>4.2699999999999996</v>
      </c>
      <c r="BK60" s="221">
        <f>23.07</f>
        <v>23.07</v>
      </c>
      <c r="BL60" s="221">
        <f>28.5</f>
        <v>28.5</v>
      </c>
      <c r="BM60" s="221">
        <v>0</v>
      </c>
      <c r="BN60" s="221">
        <v>6.92</v>
      </c>
      <c r="BO60" s="221">
        <f>0.92</f>
        <v>0.92</v>
      </c>
      <c r="BP60" s="221">
        <f>2.03</f>
        <v>2.0299999999999998</v>
      </c>
      <c r="BQ60" s="221">
        <v>0</v>
      </c>
      <c r="BR60" s="221">
        <f>5.34</f>
        <v>5.34</v>
      </c>
      <c r="BS60" s="221">
        <f>1.01</f>
        <v>1.01</v>
      </c>
      <c r="BT60" s="221">
        <f>0.09</f>
        <v>0.09</v>
      </c>
      <c r="BU60" s="221">
        <f>0.36</f>
        <v>0.36</v>
      </c>
      <c r="BV60" s="221">
        <v>10</v>
      </c>
      <c r="BW60" s="221">
        <v>1</v>
      </c>
      <c r="BX60" s="221">
        <f>7.17</f>
        <v>7.17</v>
      </c>
      <c r="BY60" s="221">
        <f>2.35</f>
        <v>2.35</v>
      </c>
      <c r="BZ60" s="221">
        <v>0</v>
      </c>
      <c r="CA60" s="221">
        <v>0</v>
      </c>
      <c r="CB60" s="221">
        <v>0</v>
      </c>
      <c r="CC60" s="221">
        <f>0.03+0.4+2.38+2.44+0.53+0.54+1+0.69</f>
        <v>8.01</v>
      </c>
      <c r="CD60" s="247" t="s">
        <v>221</v>
      </c>
      <c r="CE60" s="249">
        <f t="shared" ref="CE60:CE70" si="0">SUM(C60:CD60)</f>
        <v>550.68000000000006</v>
      </c>
    </row>
    <row r="61" spans="1:84" ht="12.6" customHeight="1" x14ac:dyDescent="0.25">
      <c r="A61" s="171" t="s">
        <v>235</v>
      </c>
      <c r="B61" s="175"/>
      <c r="C61" s="184">
        <v>1193074.3500000001</v>
      </c>
      <c r="D61" s="184">
        <v>0</v>
      </c>
      <c r="E61" s="184">
        <v>4408375.5599999996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1391069.17</v>
      </c>
      <c r="P61" s="185">
        <f>1791755.23+1522509.13</f>
        <v>3314264.36</v>
      </c>
      <c r="Q61" s="185">
        <f>1058208.71</f>
        <v>1058208.71</v>
      </c>
      <c r="R61" s="185">
        <f>141123.09+1112.93</f>
        <v>142236.01999999999</v>
      </c>
      <c r="S61" s="185">
        <f>339938.1</f>
        <v>339938.1</v>
      </c>
      <c r="T61" s="185">
        <v>0</v>
      </c>
      <c r="U61" s="185">
        <f>1402498.19</f>
        <v>1402498.19</v>
      </c>
      <c r="V61" s="185">
        <f>82967.1</f>
        <v>82967.100000000006</v>
      </c>
      <c r="W61" s="185">
        <f>220471.08</f>
        <v>220471.08</v>
      </c>
      <c r="X61" s="185">
        <f>263220.11</f>
        <v>263220.11</v>
      </c>
      <c r="Y61" s="185">
        <f>59005.66+175505.15+407958.22+945380.46+343372.79</f>
        <v>1931222.28</v>
      </c>
      <c r="Z61" s="185">
        <f>645803.13</f>
        <v>645803.13</v>
      </c>
      <c r="AA61" s="185">
        <f>188716.96</f>
        <v>188716.96</v>
      </c>
      <c r="AB61" s="185">
        <f>1200219.76</f>
        <v>1200219.76</v>
      </c>
      <c r="AC61" s="185">
        <f>565593.96+192116.67</f>
        <v>757710.63</v>
      </c>
      <c r="AD61" s="185">
        <v>0</v>
      </c>
      <c r="AE61" s="185">
        <f>1344200.28</f>
        <v>1344200.28</v>
      </c>
      <c r="AF61" s="185">
        <v>0</v>
      </c>
      <c r="AG61" s="185">
        <f>2237603.04</f>
        <v>2237603.04</v>
      </c>
      <c r="AH61" s="185">
        <f>41871.54</f>
        <v>41871.54</v>
      </c>
      <c r="AI61" s="185">
        <f>727411.07</f>
        <v>727411.07</v>
      </c>
      <c r="AJ61" s="185">
        <f>69017.89+542087.24+1273962.95+566393.98+5366520.21+11250+433997.26</f>
        <v>8263229.5299999993</v>
      </c>
      <c r="AK61" s="185">
        <v>0</v>
      </c>
      <c r="AL61" s="185">
        <f>228304.3</f>
        <v>228304.3</v>
      </c>
      <c r="AM61" s="185">
        <v>0</v>
      </c>
      <c r="AN61" s="185">
        <v>0</v>
      </c>
      <c r="AO61" s="185">
        <v>0</v>
      </c>
      <c r="AP61" s="185">
        <f>6560.63+2040.75</f>
        <v>8601.380000000001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752800.68</v>
      </c>
      <c r="AZ61" s="185">
        <v>0</v>
      </c>
      <c r="BA61" s="185">
        <v>0</v>
      </c>
      <c r="BB61" s="185">
        <v>0</v>
      </c>
      <c r="BC61" s="185">
        <v>0</v>
      </c>
      <c r="BD61" s="185">
        <v>403399.25</v>
      </c>
      <c r="BE61" s="185">
        <f>486782.93</f>
        <v>486782.93</v>
      </c>
      <c r="BF61" s="185">
        <f>1008935.73</f>
        <v>1008935.73</v>
      </c>
      <c r="BG61" s="185">
        <v>0</v>
      </c>
      <c r="BH61" s="185">
        <f>1127667.62</f>
        <v>1127667.6200000001</v>
      </c>
      <c r="BI61" s="185">
        <v>0</v>
      </c>
      <c r="BJ61" s="185">
        <v>304988.43</v>
      </c>
      <c r="BK61" s="185">
        <f>1032836.3</f>
        <v>1032836.3</v>
      </c>
      <c r="BL61" s="185">
        <f>1212995.38</f>
        <v>1212995.3799999999</v>
      </c>
      <c r="BM61" s="185">
        <v>0</v>
      </c>
      <c r="BN61" s="185">
        <f>1194821.58</f>
        <v>1194821.58</v>
      </c>
      <c r="BO61" s="185">
        <f>68891.28</f>
        <v>68891.28</v>
      </c>
      <c r="BP61" s="185">
        <f>173179.42</f>
        <v>173179.42</v>
      </c>
      <c r="BQ61" s="185">
        <v>0</v>
      </c>
      <c r="BR61" s="185">
        <f>382415.72</f>
        <v>382415.72</v>
      </c>
      <c r="BS61" s="185">
        <v>49319.86</v>
      </c>
      <c r="BT61" s="185">
        <v>4910.46</v>
      </c>
      <c r="BU61" s="185">
        <v>14526.34</v>
      </c>
      <c r="BV61" s="185">
        <v>424896.33</v>
      </c>
      <c r="BW61" s="185">
        <v>84122.3</v>
      </c>
      <c r="BX61" s="185">
        <v>554910.07999999996</v>
      </c>
      <c r="BY61" s="185">
        <f>74.54+195673.97</f>
        <v>195748.51</v>
      </c>
      <c r="BZ61" s="185">
        <v>0</v>
      </c>
      <c r="CA61" s="185">
        <v>0</v>
      </c>
      <c r="CB61" s="185">
        <f>65290.26+28364.29</f>
        <v>93654.55</v>
      </c>
      <c r="CC61" s="185">
        <f>200.54+34739.68+139855.03+181912.03+54263.86+31261.01-112919.72</f>
        <v>329312.43000000005</v>
      </c>
      <c r="CD61" s="247" t="s">
        <v>221</v>
      </c>
      <c r="CE61" s="195">
        <f t="shared" si="0"/>
        <v>41292331.829999983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334778</v>
      </c>
      <c r="D62" s="195">
        <f t="shared" si="1"/>
        <v>0</v>
      </c>
      <c r="E62" s="195">
        <f t="shared" si="1"/>
        <v>1226151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331857</v>
      </c>
      <c r="P62" s="195">
        <f t="shared" si="1"/>
        <v>629158</v>
      </c>
      <c r="Q62" s="195">
        <f t="shared" si="1"/>
        <v>202123</v>
      </c>
      <c r="R62" s="195">
        <f t="shared" si="1"/>
        <v>36402</v>
      </c>
      <c r="S62" s="195">
        <f t="shared" si="1"/>
        <v>107946</v>
      </c>
      <c r="T62" s="195">
        <f t="shared" si="1"/>
        <v>0</v>
      </c>
      <c r="U62" s="195">
        <f t="shared" si="1"/>
        <v>399965</v>
      </c>
      <c r="V62" s="195">
        <f t="shared" si="1"/>
        <v>21407</v>
      </c>
      <c r="W62" s="195">
        <f t="shared" si="1"/>
        <v>46086</v>
      </c>
      <c r="X62" s="195">
        <f t="shared" si="1"/>
        <v>66782</v>
      </c>
      <c r="Y62" s="195">
        <f t="shared" si="1"/>
        <v>469648</v>
      </c>
      <c r="Z62" s="195">
        <f t="shared" si="1"/>
        <v>203508</v>
      </c>
      <c r="AA62" s="195">
        <f t="shared" si="1"/>
        <v>41133</v>
      </c>
      <c r="AB62" s="195">
        <f t="shared" si="1"/>
        <v>270282</v>
      </c>
      <c r="AC62" s="195">
        <f t="shared" si="1"/>
        <v>192710</v>
      </c>
      <c r="AD62" s="195">
        <f t="shared" si="1"/>
        <v>0</v>
      </c>
      <c r="AE62" s="195">
        <f t="shared" si="1"/>
        <v>334070</v>
      </c>
      <c r="AF62" s="195">
        <f t="shared" si="1"/>
        <v>0</v>
      </c>
      <c r="AG62" s="195">
        <f t="shared" si="1"/>
        <v>519758</v>
      </c>
      <c r="AH62" s="195">
        <f t="shared" si="1"/>
        <v>3774</v>
      </c>
      <c r="AI62" s="195">
        <f t="shared" si="1"/>
        <v>154925</v>
      </c>
      <c r="AJ62" s="195">
        <f t="shared" si="1"/>
        <v>1719467</v>
      </c>
      <c r="AK62" s="195">
        <f t="shared" si="1"/>
        <v>0</v>
      </c>
      <c r="AL62" s="195">
        <f t="shared" si="1"/>
        <v>55558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839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236745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117018</v>
      </c>
      <c r="BE62" s="195">
        <f t="shared" si="1"/>
        <v>143418</v>
      </c>
      <c r="BF62" s="195">
        <f t="shared" si="1"/>
        <v>342203</v>
      </c>
      <c r="BG62" s="195">
        <f t="shared" si="1"/>
        <v>0</v>
      </c>
      <c r="BH62" s="195">
        <f t="shared" si="1"/>
        <v>291370</v>
      </c>
      <c r="BI62" s="195">
        <f t="shared" si="1"/>
        <v>0</v>
      </c>
      <c r="BJ62" s="195">
        <f t="shared" si="1"/>
        <v>82589</v>
      </c>
      <c r="BK62" s="195">
        <f t="shared" si="1"/>
        <v>358079</v>
      </c>
      <c r="BL62" s="195">
        <f t="shared" si="1"/>
        <v>397883</v>
      </c>
      <c r="BM62" s="195">
        <f t="shared" si="1"/>
        <v>0</v>
      </c>
      <c r="BN62" s="195">
        <f t="shared" si="1"/>
        <v>292191</v>
      </c>
      <c r="BO62" s="195">
        <f t="shared" ref="BO62:CC62" si="2">ROUND(BO47+BO48,0)</f>
        <v>21425</v>
      </c>
      <c r="BP62" s="195">
        <f t="shared" si="2"/>
        <v>47033</v>
      </c>
      <c r="BQ62" s="195">
        <f t="shared" si="2"/>
        <v>0</v>
      </c>
      <c r="BR62" s="195">
        <f t="shared" si="2"/>
        <v>144919</v>
      </c>
      <c r="BS62" s="195">
        <f t="shared" si="2"/>
        <v>17637</v>
      </c>
      <c r="BT62" s="195">
        <f t="shared" si="2"/>
        <v>530</v>
      </c>
      <c r="BU62" s="195">
        <f t="shared" si="2"/>
        <v>1592</v>
      </c>
      <c r="BV62" s="195">
        <f t="shared" si="2"/>
        <v>132413</v>
      </c>
      <c r="BW62" s="195">
        <f t="shared" si="2"/>
        <v>21996</v>
      </c>
      <c r="BX62" s="195">
        <f t="shared" si="2"/>
        <v>139218</v>
      </c>
      <c r="BY62" s="195">
        <f t="shared" si="2"/>
        <v>49098</v>
      </c>
      <c r="BZ62" s="195">
        <f t="shared" si="2"/>
        <v>0</v>
      </c>
      <c r="CA62" s="195">
        <f t="shared" si="2"/>
        <v>0</v>
      </c>
      <c r="CB62" s="195">
        <f t="shared" si="2"/>
        <v>31847</v>
      </c>
      <c r="CC62" s="195">
        <f t="shared" si="2"/>
        <v>109069</v>
      </c>
      <c r="CD62" s="247" t="s">
        <v>221</v>
      </c>
      <c r="CE62" s="195">
        <f t="shared" si="0"/>
        <v>10346600</v>
      </c>
      <c r="CF62" s="250"/>
    </row>
    <row r="63" spans="1:84" ht="12.6" customHeight="1" x14ac:dyDescent="0.25">
      <c r="A63" s="171" t="s">
        <v>236</v>
      </c>
      <c r="B63" s="175"/>
      <c r="C63" s="184">
        <v>213.11</v>
      </c>
      <c r="D63" s="184">
        <v>0</v>
      </c>
      <c r="E63" s="184">
        <f>1052.17+637173.18</f>
        <v>638225.35000000009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f>12110.94+348750</f>
        <v>360860.94</v>
      </c>
      <c r="P63" s="185">
        <f>320719.52+98656.72</f>
        <v>419376.24</v>
      </c>
      <c r="Q63" s="185">
        <v>0</v>
      </c>
      <c r="R63" s="185">
        <v>0</v>
      </c>
      <c r="S63" s="185">
        <v>0</v>
      </c>
      <c r="T63" s="185">
        <v>0</v>
      </c>
      <c r="U63" s="185">
        <f>45337.5+241332.5</f>
        <v>286670</v>
      </c>
      <c r="V63" s="185">
        <v>0</v>
      </c>
      <c r="W63" s="185">
        <v>0</v>
      </c>
      <c r="X63" s="185">
        <v>0</v>
      </c>
      <c r="Y63" s="185">
        <f>11254.73</f>
        <v>11254.73</v>
      </c>
      <c r="Z63" s="185">
        <f>20194.98+544199.56</f>
        <v>564394.54</v>
      </c>
      <c r="AA63" s="185">
        <f>28350</f>
        <v>28350</v>
      </c>
      <c r="AB63" s="185">
        <v>0</v>
      </c>
      <c r="AC63" s="185">
        <v>0</v>
      </c>
      <c r="AD63" s="185">
        <v>0</v>
      </c>
      <c r="AE63" s="185">
        <f>19523.76</f>
        <v>19523.759999999998</v>
      </c>
      <c r="AF63" s="185">
        <v>0</v>
      </c>
      <c r="AG63" s="185">
        <f>192126.28+92500</f>
        <v>284626.28000000003</v>
      </c>
      <c r="AH63" s="185">
        <v>0</v>
      </c>
      <c r="AI63" s="185">
        <f>2265</f>
        <v>2265</v>
      </c>
      <c r="AJ63" s="185">
        <f>21442.31+2515.2+282266.37+99324.75+158337+19500</f>
        <v>583385.63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f>93776.48</f>
        <v>93776.48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f>142280.88</f>
        <v>142280.88</v>
      </c>
      <c r="BK63" s="185">
        <f>115748.95</f>
        <v>115748.95</v>
      </c>
      <c r="BL63" s="185">
        <f>12516.18</f>
        <v>12516.18</v>
      </c>
      <c r="BM63" s="185">
        <v>0</v>
      </c>
      <c r="BN63" s="185">
        <f>487728.11</f>
        <v>487728.11</v>
      </c>
      <c r="BO63" s="185">
        <v>0</v>
      </c>
      <c r="BP63" s="185">
        <f>53761.72</f>
        <v>53761.72</v>
      </c>
      <c r="BQ63" s="185">
        <v>0</v>
      </c>
      <c r="BR63" s="185">
        <f>91926.14</f>
        <v>91926.14</v>
      </c>
      <c r="BS63" s="185">
        <v>0</v>
      </c>
      <c r="BT63" s="185">
        <v>0</v>
      </c>
      <c r="BU63" s="185">
        <v>0</v>
      </c>
      <c r="BV63" s="185">
        <v>64055.25</v>
      </c>
      <c r="BW63" s="185">
        <v>2481.5</v>
      </c>
      <c r="BX63" s="185">
        <f>43594.44</f>
        <v>43594.44</v>
      </c>
      <c r="BY63" s="185">
        <f>410</f>
        <v>410</v>
      </c>
      <c r="BZ63" s="185">
        <v>0</v>
      </c>
      <c r="CA63" s="185">
        <v>0</v>
      </c>
      <c r="CB63" s="185">
        <f>819.2</f>
        <v>819.2</v>
      </c>
      <c r="CC63" s="185">
        <f>3196.34+102785.53+45980+1550</f>
        <v>153511.87</v>
      </c>
      <c r="CD63" s="247" t="s">
        <v>221</v>
      </c>
      <c r="CE63" s="195">
        <f t="shared" si="0"/>
        <v>4461756.3000000007</v>
      </c>
      <c r="CF63" s="250"/>
    </row>
    <row r="64" spans="1:84" ht="12.6" customHeight="1" x14ac:dyDescent="0.25">
      <c r="A64" s="171" t="s">
        <v>237</v>
      </c>
      <c r="B64" s="175"/>
      <c r="C64" s="184">
        <v>51322.21</v>
      </c>
      <c r="D64" s="184">
        <v>0</v>
      </c>
      <c r="E64" s="185">
        <f>234581.77+1208.61</f>
        <v>235790.37999999998</v>
      </c>
      <c r="F64" s="185">
        <v>0</v>
      </c>
      <c r="G64" s="184">
        <v>0</v>
      </c>
      <c r="H64" s="184">
        <v>0</v>
      </c>
      <c r="I64" s="185">
        <v>0</v>
      </c>
      <c r="J64" s="185">
        <f>14705.18</f>
        <v>14705.18</v>
      </c>
      <c r="K64" s="185">
        <v>0</v>
      </c>
      <c r="L64" s="185">
        <v>0</v>
      </c>
      <c r="M64" s="184">
        <v>0</v>
      </c>
      <c r="N64" s="184">
        <v>0</v>
      </c>
      <c r="O64" s="184">
        <f>105068.21</f>
        <v>105068.21</v>
      </c>
      <c r="P64" s="185">
        <f>12423014.62+8208.69</f>
        <v>12431223.309999999</v>
      </c>
      <c r="Q64" s="185">
        <f>30071.34</f>
        <v>30071.34</v>
      </c>
      <c r="R64" s="185">
        <f>292.88+212490.42</f>
        <v>212783.30000000002</v>
      </c>
      <c r="S64" s="185">
        <f>132210.67</f>
        <v>132210.67000000001</v>
      </c>
      <c r="T64" s="185">
        <v>0</v>
      </c>
      <c r="U64" s="185">
        <f>1653531.91+6384.71</f>
        <v>1659916.6199999999</v>
      </c>
      <c r="V64" s="185">
        <f>2012.35</f>
        <v>2012.35</v>
      </c>
      <c r="W64" s="185">
        <f>35006.77</f>
        <v>35006.769999999997</v>
      </c>
      <c r="X64" s="185">
        <v>147996.26999999999</v>
      </c>
      <c r="Y64" s="185">
        <f>22576.09+10779.65+15899.57+94758.3+42286.42+12374.51</f>
        <v>198674.53999999998</v>
      </c>
      <c r="Z64" s="185">
        <f>91505.05</f>
        <v>91505.05</v>
      </c>
      <c r="AA64" s="185">
        <f>120173.76</f>
        <v>120173.75999999999</v>
      </c>
      <c r="AB64" s="185">
        <f>5545657.48</f>
        <v>5545657.4800000004</v>
      </c>
      <c r="AC64" s="185">
        <f>111520.14+7287.3</f>
        <v>118807.44</v>
      </c>
      <c r="AD64" s="185">
        <v>0</v>
      </c>
      <c r="AE64" s="185">
        <f>20291.67</f>
        <v>20291.669999999998</v>
      </c>
      <c r="AF64" s="185">
        <v>0</v>
      </c>
      <c r="AG64" s="185">
        <f>319151.27</f>
        <v>319151.27</v>
      </c>
      <c r="AH64" s="185">
        <f>723.22</f>
        <v>723.22</v>
      </c>
      <c r="AI64" s="185">
        <f>26511</f>
        <v>26511</v>
      </c>
      <c r="AJ64" s="185">
        <f>224124.63+89611.15-40.83+74.56+92711.03+3692.88+470914.31+518.09</f>
        <v>881605.82</v>
      </c>
      <c r="AK64" s="185">
        <v>0</v>
      </c>
      <c r="AL64" s="185">
        <f>2140.3</f>
        <v>2140.3000000000002</v>
      </c>
      <c r="AM64" s="185">
        <v>0</v>
      </c>
      <c r="AN64" s="185">
        <v>0</v>
      </c>
      <c r="AO64" s="185">
        <v>0</v>
      </c>
      <c r="AP64" s="185">
        <f>49.75+12987.32</f>
        <v>13037.07</v>
      </c>
      <c r="AQ64" s="185">
        <v>0</v>
      </c>
      <c r="AR64" s="185">
        <f>40.07</f>
        <v>40.07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f>534642.3</f>
        <v>534642.30000000005</v>
      </c>
      <c r="AZ64" s="185">
        <v>0</v>
      </c>
      <c r="BA64" s="185">
        <v>0</v>
      </c>
      <c r="BB64" s="185">
        <v>0</v>
      </c>
      <c r="BC64" s="185">
        <v>0</v>
      </c>
      <c r="BD64" s="185">
        <f>233034.97</f>
        <v>233034.97</v>
      </c>
      <c r="BE64" s="185">
        <f>79988.93</f>
        <v>79988.929999999993</v>
      </c>
      <c r="BF64" s="185">
        <f>218733.17</f>
        <v>218733.17</v>
      </c>
      <c r="BG64" s="185">
        <v>0</v>
      </c>
      <c r="BH64" s="185">
        <f>19465.04</f>
        <v>19465.04</v>
      </c>
      <c r="BI64" s="185">
        <v>0</v>
      </c>
      <c r="BJ64" s="185">
        <f>5032.35</f>
        <v>5032.3500000000004</v>
      </c>
      <c r="BK64" s="185">
        <f>25956.52</f>
        <v>25956.52</v>
      </c>
      <c r="BL64" s="185">
        <f>55367.31</f>
        <v>55367.31</v>
      </c>
      <c r="BM64" s="185">
        <v>0</v>
      </c>
      <c r="BN64" s="185">
        <f>32212.42</f>
        <v>32212.42</v>
      </c>
      <c r="BO64" s="185">
        <f>25886.03</f>
        <v>25886.03</v>
      </c>
      <c r="BP64" s="185">
        <f>57200.01</f>
        <v>57200.01</v>
      </c>
      <c r="BQ64" s="185">
        <v>0</v>
      </c>
      <c r="BR64" s="185">
        <f>6589.19</f>
        <v>6589.19</v>
      </c>
      <c r="BS64" s="185">
        <f>848.05</f>
        <v>848.05</v>
      </c>
      <c r="BT64" s="185">
        <f>203.4</f>
        <v>203.4</v>
      </c>
      <c r="BU64" s="185">
        <v>0</v>
      </c>
      <c r="BV64" s="185">
        <f>8065.95</f>
        <v>8065.95</v>
      </c>
      <c r="BW64" s="185">
        <f>470.8</f>
        <v>470.8</v>
      </c>
      <c r="BX64" s="185">
        <f>3125.89</f>
        <v>3125.89</v>
      </c>
      <c r="BY64" s="185">
        <f>11054.52</f>
        <v>11054.52</v>
      </c>
      <c r="BZ64" s="185">
        <v>0</v>
      </c>
      <c r="CA64" s="185">
        <v>0</v>
      </c>
      <c r="CB64" s="185">
        <f>796.56+1039.46</f>
        <v>1836.02</v>
      </c>
      <c r="CC64" s="185">
        <f>349.56+908.94+2126+17.35+649.04</f>
        <v>4050.89</v>
      </c>
      <c r="CD64" s="247" t="s">
        <v>221</v>
      </c>
      <c r="CE64" s="195">
        <f t="shared" si="0"/>
        <v>23720189.060000006</v>
      </c>
      <c r="CF64" s="250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f>742.45+331.8</f>
        <v>1074.25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300</v>
      </c>
      <c r="P65" s="185">
        <f>585.76+4480.18</f>
        <v>5065.9400000000005</v>
      </c>
      <c r="Q65" s="185">
        <v>0</v>
      </c>
      <c r="R65" s="185">
        <v>49.56</v>
      </c>
      <c r="S65" s="185">
        <v>62.11</v>
      </c>
      <c r="T65" s="185">
        <v>0</v>
      </c>
      <c r="U65" s="185">
        <v>2965.97</v>
      </c>
      <c r="V65" s="185">
        <v>0</v>
      </c>
      <c r="W65" s="185">
        <v>0</v>
      </c>
      <c r="X65" s="185">
        <f>581.01</f>
        <v>581.01</v>
      </c>
      <c r="Y65" s="185">
        <f>600+634.65+369.48</f>
        <v>1604.13</v>
      </c>
      <c r="Z65" s="185">
        <v>281.02</v>
      </c>
      <c r="AA65" s="185">
        <v>0</v>
      </c>
      <c r="AB65" s="185">
        <f>850.06</f>
        <v>850.06</v>
      </c>
      <c r="AC65" s="185">
        <f>795.72</f>
        <v>795.72</v>
      </c>
      <c r="AD65" s="185">
        <v>0</v>
      </c>
      <c r="AE65" s="185">
        <f>128.02</f>
        <v>128.02000000000001</v>
      </c>
      <c r="AF65" s="185">
        <v>0</v>
      </c>
      <c r="AG65" s="185">
        <f>931.75</f>
        <v>931.75</v>
      </c>
      <c r="AH65" s="185">
        <f>3700.88</f>
        <v>3700.88</v>
      </c>
      <c r="AI65" s="185">
        <f>12428.97</f>
        <v>12428.97</v>
      </c>
      <c r="AJ65" s="185">
        <f>972.84-159.46+3652.58+64.01+15718.71+3109.05+300</f>
        <v>23657.73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f>316.31</f>
        <v>316.31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f>501.61</f>
        <v>501.61</v>
      </c>
      <c r="AZ65" s="185">
        <v>0</v>
      </c>
      <c r="BA65" s="185">
        <v>0</v>
      </c>
      <c r="BB65" s="185">
        <v>0</v>
      </c>
      <c r="BC65" s="185">
        <v>0</v>
      </c>
      <c r="BD65" s="185">
        <f>338.75</f>
        <v>338.75</v>
      </c>
      <c r="BE65" s="185">
        <f>592508.79</f>
        <v>592508.79</v>
      </c>
      <c r="BF65" s="185">
        <f>62476.61</f>
        <v>62476.61</v>
      </c>
      <c r="BG65" s="185">
        <v>0</v>
      </c>
      <c r="BH65" s="185">
        <f>164253.93</f>
        <v>164253.93</v>
      </c>
      <c r="BI65" s="185">
        <v>0</v>
      </c>
      <c r="BJ65" s="185">
        <v>0</v>
      </c>
      <c r="BK65" s="185">
        <v>1378.4</v>
      </c>
      <c r="BL65" s="185">
        <f>985.52</f>
        <v>985.52</v>
      </c>
      <c r="BM65" s="185">
        <v>0</v>
      </c>
      <c r="BN65" s="185">
        <f>58.59</f>
        <v>58.59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f>316.31</f>
        <v>316.31</v>
      </c>
      <c r="BU65" s="185">
        <v>0</v>
      </c>
      <c r="BV65" s="185">
        <v>0</v>
      </c>
      <c r="BW65" s="185">
        <v>0</v>
      </c>
      <c r="BX65" s="185">
        <f>765.14</f>
        <v>765.14</v>
      </c>
      <c r="BY65" s="185">
        <f>932.55</f>
        <v>932.55</v>
      </c>
      <c r="BZ65" s="185">
        <v>0</v>
      </c>
      <c r="CA65" s="185">
        <v>0</v>
      </c>
      <c r="CB65" s="185">
        <v>0</v>
      </c>
      <c r="CC65" s="185">
        <f>12.63+35180.37+258.24+87792.26+5891.61</f>
        <v>129135.11</v>
      </c>
      <c r="CD65" s="247" t="s">
        <v>221</v>
      </c>
      <c r="CE65" s="195">
        <f t="shared" si="0"/>
        <v>1008444.7400000002</v>
      </c>
      <c r="CF65" s="250"/>
    </row>
    <row r="66" spans="1:84" ht="12.6" customHeight="1" x14ac:dyDescent="0.25">
      <c r="A66" s="171" t="s">
        <v>239</v>
      </c>
      <c r="B66" s="175"/>
      <c r="C66" s="184">
        <v>938.2</v>
      </c>
      <c r="D66" s="184">
        <v>0</v>
      </c>
      <c r="E66" s="184">
        <v>17339.22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75160.86</v>
      </c>
      <c r="P66" s="185">
        <f>671692.85+36754.71</f>
        <v>708447.55999999994</v>
      </c>
      <c r="Q66" s="185">
        <f>54441.5</f>
        <v>54441.5</v>
      </c>
      <c r="R66" s="185">
        <f>1143.01</f>
        <v>1143.01</v>
      </c>
      <c r="S66" s="184">
        <f>306.87</f>
        <v>306.87</v>
      </c>
      <c r="T66" s="184">
        <v>0</v>
      </c>
      <c r="U66" s="185">
        <f>767755.21</f>
        <v>767755.21</v>
      </c>
      <c r="V66" s="185">
        <f>5073.7</f>
        <v>5073.7</v>
      </c>
      <c r="W66" s="185">
        <f>96367.9</f>
        <v>96367.9</v>
      </c>
      <c r="X66" s="185">
        <f>114364.96</f>
        <v>114364.96</v>
      </c>
      <c r="Y66" s="185">
        <f>142268.74+280913.18+36167.19+394431</f>
        <v>853780.11</v>
      </c>
      <c r="Z66" s="185">
        <f>13132.37</f>
        <v>13132.37</v>
      </c>
      <c r="AA66" s="185">
        <f>40637.98</f>
        <v>40637.980000000003</v>
      </c>
      <c r="AB66" s="185">
        <f>244327.97</f>
        <v>244327.97</v>
      </c>
      <c r="AC66" s="185">
        <f>10949.61+668.55</f>
        <v>11618.16</v>
      </c>
      <c r="AD66" s="185">
        <v>0</v>
      </c>
      <c r="AE66" s="185">
        <v>38299.879999999997</v>
      </c>
      <c r="AF66" s="185">
        <v>0</v>
      </c>
      <c r="AG66" s="185">
        <f>36627.16</f>
        <v>36627.160000000003</v>
      </c>
      <c r="AH66" s="185">
        <f>2653.86</f>
        <v>2653.86</v>
      </c>
      <c r="AI66" s="185">
        <f>83968.76</f>
        <v>83968.76</v>
      </c>
      <c r="AJ66" s="185">
        <f>585434.75+65923.2+291496.46+55507+246036.75+537.5</f>
        <v>1244935.6599999999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f>101.8</f>
        <v>101.8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f>187117.6</f>
        <v>187117.6</v>
      </c>
      <c r="AY66" s="185">
        <f>105111.42</f>
        <v>105111.42</v>
      </c>
      <c r="AZ66" s="185">
        <v>0</v>
      </c>
      <c r="BA66" s="185">
        <f>276416.34</f>
        <v>276416.34000000003</v>
      </c>
      <c r="BB66" s="185">
        <v>0</v>
      </c>
      <c r="BC66" s="185">
        <v>0</v>
      </c>
      <c r="BD66" s="185">
        <f>15200.87</f>
        <v>15200.87</v>
      </c>
      <c r="BE66" s="185">
        <f>568900.45</f>
        <v>568900.44999999995</v>
      </c>
      <c r="BF66" s="185">
        <f>107947.99</f>
        <v>107947.99</v>
      </c>
      <c r="BG66" s="185">
        <v>0</v>
      </c>
      <c r="BH66" s="185">
        <f>791327.76</f>
        <v>791327.76</v>
      </c>
      <c r="BI66" s="185">
        <v>0</v>
      </c>
      <c r="BJ66" s="185">
        <f>127432.27</f>
        <v>127432.27</v>
      </c>
      <c r="BK66" s="185">
        <f>240007.1</f>
        <v>240007.1</v>
      </c>
      <c r="BL66" s="185">
        <f>75346.09</f>
        <v>75346.09</v>
      </c>
      <c r="BM66" s="185">
        <v>0</v>
      </c>
      <c r="BN66" s="185">
        <f>35281.31</f>
        <v>35281.31</v>
      </c>
      <c r="BO66" s="185">
        <f>44040.87</f>
        <v>44040.87</v>
      </c>
      <c r="BP66" s="185">
        <f>153752.63</f>
        <v>153752.63</v>
      </c>
      <c r="BQ66" s="185">
        <v>0</v>
      </c>
      <c r="BR66" s="185">
        <f>92349.1</f>
        <v>92349.1</v>
      </c>
      <c r="BS66" s="185">
        <v>0</v>
      </c>
      <c r="BT66" s="185">
        <v>0</v>
      </c>
      <c r="BU66" s="185">
        <v>0</v>
      </c>
      <c r="BV66" s="185">
        <f>136357.4</f>
        <v>136357.4</v>
      </c>
      <c r="BW66" s="185">
        <v>0</v>
      </c>
      <c r="BX66" s="185">
        <f>31732.67</f>
        <v>31732.67</v>
      </c>
      <c r="BY66" s="185">
        <f>20705.83</f>
        <v>20705.830000000002</v>
      </c>
      <c r="BZ66" s="185">
        <v>0</v>
      </c>
      <c r="CA66" s="185">
        <v>0</v>
      </c>
      <c r="CB66" s="185">
        <v>0</v>
      </c>
      <c r="CC66" s="185">
        <f>120962.91+3542.96+6649.2+11400.88+69999+232714.24+15+3812.5+2800.9+676.77+5344.09</f>
        <v>457918.45000000007</v>
      </c>
      <c r="CD66" s="247" t="s">
        <v>221</v>
      </c>
      <c r="CE66" s="195">
        <f t="shared" si="0"/>
        <v>7878368.8499999978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92226</v>
      </c>
      <c r="D67" s="195">
        <f>ROUND(D51+D52,0)</f>
        <v>0</v>
      </c>
      <c r="E67" s="195">
        <f t="shared" ref="E67:BP67" si="3">ROUND(E51+E52,0)</f>
        <v>204749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68467</v>
      </c>
      <c r="P67" s="195">
        <f t="shared" si="3"/>
        <v>472678</v>
      </c>
      <c r="Q67" s="195">
        <f t="shared" si="3"/>
        <v>6192</v>
      </c>
      <c r="R67" s="195">
        <f t="shared" si="3"/>
        <v>30666</v>
      </c>
      <c r="S67" s="195">
        <f t="shared" si="3"/>
        <v>52028</v>
      </c>
      <c r="T67" s="195">
        <f t="shared" si="3"/>
        <v>0</v>
      </c>
      <c r="U67" s="195">
        <f t="shared" si="3"/>
        <v>74750</v>
      </c>
      <c r="V67" s="195">
        <f t="shared" si="3"/>
        <v>3275</v>
      </c>
      <c r="W67" s="195">
        <f t="shared" si="3"/>
        <v>65154</v>
      </c>
      <c r="X67" s="195">
        <f t="shared" si="3"/>
        <v>116040</v>
      </c>
      <c r="Y67" s="195">
        <f t="shared" si="3"/>
        <v>253072</v>
      </c>
      <c r="Z67" s="195">
        <f t="shared" si="3"/>
        <v>105936</v>
      </c>
      <c r="AA67" s="195">
        <f t="shared" si="3"/>
        <v>5184</v>
      </c>
      <c r="AB67" s="195">
        <f t="shared" si="3"/>
        <v>100103</v>
      </c>
      <c r="AC67" s="195">
        <f t="shared" si="3"/>
        <v>48402</v>
      </c>
      <c r="AD67" s="195">
        <f t="shared" si="3"/>
        <v>0</v>
      </c>
      <c r="AE67" s="195">
        <f t="shared" si="3"/>
        <v>56190</v>
      </c>
      <c r="AF67" s="195">
        <f t="shared" si="3"/>
        <v>0</v>
      </c>
      <c r="AG67" s="195">
        <f t="shared" si="3"/>
        <v>76740</v>
      </c>
      <c r="AH67" s="195">
        <f t="shared" si="3"/>
        <v>636</v>
      </c>
      <c r="AI67" s="195">
        <f t="shared" si="3"/>
        <v>17194</v>
      </c>
      <c r="AJ67" s="195">
        <f t="shared" si="3"/>
        <v>181534</v>
      </c>
      <c r="AK67" s="195">
        <f t="shared" si="3"/>
        <v>0</v>
      </c>
      <c r="AL67" s="195">
        <f t="shared" si="3"/>
        <v>252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7642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50244</v>
      </c>
      <c r="AZ67" s="195">
        <f>ROUND(AZ51+AZ52,0)</f>
        <v>0</v>
      </c>
      <c r="BA67" s="195">
        <f>ROUND(BA51+BA52,0)</f>
        <v>1943</v>
      </c>
      <c r="BB67" s="195">
        <f t="shared" si="3"/>
        <v>0</v>
      </c>
      <c r="BC67" s="195">
        <f t="shared" si="3"/>
        <v>0</v>
      </c>
      <c r="BD67" s="195">
        <f t="shared" si="3"/>
        <v>40108</v>
      </c>
      <c r="BE67" s="195">
        <f t="shared" si="3"/>
        <v>183669</v>
      </c>
      <c r="BF67" s="195">
        <f t="shared" si="3"/>
        <v>24829</v>
      </c>
      <c r="BG67" s="195">
        <f t="shared" si="3"/>
        <v>0</v>
      </c>
      <c r="BH67" s="195">
        <f t="shared" si="3"/>
        <v>1037764</v>
      </c>
      <c r="BI67" s="195">
        <f t="shared" si="3"/>
        <v>0</v>
      </c>
      <c r="BJ67" s="195">
        <f t="shared" si="3"/>
        <v>17502</v>
      </c>
      <c r="BK67" s="195">
        <f t="shared" si="3"/>
        <v>26070</v>
      </c>
      <c r="BL67" s="195">
        <f t="shared" si="3"/>
        <v>116619</v>
      </c>
      <c r="BM67" s="195">
        <f t="shared" si="3"/>
        <v>0</v>
      </c>
      <c r="BN67" s="195">
        <f t="shared" si="3"/>
        <v>12222</v>
      </c>
      <c r="BO67" s="195">
        <f t="shared" si="3"/>
        <v>0</v>
      </c>
      <c r="BP67" s="195">
        <f t="shared" si="3"/>
        <v>4293</v>
      </c>
      <c r="BQ67" s="195">
        <f t="shared" ref="BQ67:CC67" si="4">ROUND(BQ51+BQ52,0)</f>
        <v>0</v>
      </c>
      <c r="BR67" s="195">
        <f t="shared" si="4"/>
        <v>8075</v>
      </c>
      <c r="BS67" s="195">
        <f t="shared" si="4"/>
        <v>7628</v>
      </c>
      <c r="BT67" s="195">
        <f t="shared" si="4"/>
        <v>2647</v>
      </c>
      <c r="BU67" s="195">
        <f t="shared" si="4"/>
        <v>3777</v>
      </c>
      <c r="BV67" s="195">
        <f t="shared" si="4"/>
        <v>10156</v>
      </c>
      <c r="BW67" s="195">
        <f t="shared" si="4"/>
        <v>1665</v>
      </c>
      <c r="BX67" s="195">
        <f t="shared" si="4"/>
        <v>2710</v>
      </c>
      <c r="BY67" s="195">
        <f t="shared" si="4"/>
        <v>4257</v>
      </c>
      <c r="BZ67" s="195">
        <f t="shared" si="4"/>
        <v>0</v>
      </c>
      <c r="CA67" s="195">
        <f t="shared" si="4"/>
        <v>0</v>
      </c>
      <c r="CB67" s="195">
        <f t="shared" si="4"/>
        <v>4352</v>
      </c>
      <c r="CC67" s="195">
        <f t="shared" si="4"/>
        <v>1210080</v>
      </c>
      <c r="CD67" s="247" t="s">
        <v>221</v>
      </c>
      <c r="CE67" s="195">
        <f t="shared" si="0"/>
        <v>4809720</v>
      </c>
      <c r="CF67" s="250"/>
    </row>
    <row r="68" spans="1:84" ht="12.6" customHeight="1" x14ac:dyDescent="0.25">
      <c r="A68" s="171" t="s">
        <v>240</v>
      </c>
      <c r="B68" s="175"/>
      <c r="C68" s="184">
        <v>1586.32</v>
      </c>
      <c r="D68" s="184">
        <v>0</v>
      </c>
      <c r="E68" s="184">
        <f>17221.19</f>
        <v>17221.189999999999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f>4503.87+91812.74</f>
        <v>96316.61</v>
      </c>
      <c r="Q68" s="185">
        <v>0</v>
      </c>
      <c r="R68" s="185">
        <v>0</v>
      </c>
      <c r="S68" s="185">
        <v>0</v>
      </c>
      <c r="T68" s="185">
        <v>0</v>
      </c>
      <c r="U68" s="185">
        <f>152457.7</f>
        <v>152457.70000000001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f>385.4</f>
        <v>385.4</v>
      </c>
      <c r="AD68" s="185">
        <v>0</v>
      </c>
      <c r="AE68" s="185">
        <f>24757.75</f>
        <v>24757.75</v>
      </c>
      <c r="AF68" s="185">
        <v>0</v>
      </c>
      <c r="AG68" s="185">
        <v>0</v>
      </c>
      <c r="AH68" s="185">
        <v>0</v>
      </c>
      <c r="AI68" s="185">
        <f>121520.48</f>
        <v>121520.48</v>
      </c>
      <c r="AJ68" s="185">
        <f>378263.23+21600</f>
        <v>399863.23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f>4630</f>
        <v>4630</v>
      </c>
      <c r="BF68" s="185">
        <v>0</v>
      </c>
      <c r="BG68" s="185">
        <v>0</v>
      </c>
      <c r="BH68" s="185">
        <f>10286.04</f>
        <v>10286.040000000001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f>262.5</f>
        <v>262.5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317919</v>
      </c>
      <c r="CD68" s="247" t="s">
        <v>221</v>
      </c>
      <c r="CE68" s="195">
        <f t="shared" si="0"/>
        <v>1147206.22</v>
      </c>
      <c r="CF68" s="250"/>
    </row>
    <row r="69" spans="1:84" ht="12.6" customHeight="1" x14ac:dyDescent="0.25">
      <c r="A69" s="171" t="s">
        <v>241</v>
      </c>
      <c r="B69" s="175"/>
      <c r="C69" s="184">
        <v>738</v>
      </c>
      <c r="D69" s="184">
        <v>0</v>
      </c>
      <c r="E69" s="185">
        <v>1787.97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f>3289.1</f>
        <v>3289.1</v>
      </c>
      <c r="P69" s="185">
        <f>17722.13+35818.19</f>
        <v>53540.320000000007</v>
      </c>
      <c r="Q69" s="185">
        <f>135</f>
        <v>135</v>
      </c>
      <c r="R69" s="224">
        <v>0</v>
      </c>
      <c r="S69" s="185">
        <f>2805.14</f>
        <v>2805.14</v>
      </c>
      <c r="T69" s="184">
        <v>0</v>
      </c>
      <c r="U69" s="185">
        <f>2102.58</f>
        <v>2102.58</v>
      </c>
      <c r="V69" s="185">
        <v>0</v>
      </c>
      <c r="W69" s="184">
        <v>0</v>
      </c>
      <c r="X69" s="185">
        <v>0</v>
      </c>
      <c r="Y69" s="185">
        <f>2777.63+15272.63</f>
        <v>18050.259999999998</v>
      </c>
      <c r="Z69" s="185">
        <f>1851.13</f>
        <v>1851.13</v>
      </c>
      <c r="AA69" s="185">
        <v>0</v>
      </c>
      <c r="AB69" s="185">
        <f>7784.54</f>
        <v>7784.54</v>
      </c>
      <c r="AC69" s="185">
        <f>3173.41+538.45</f>
        <v>3711.8599999999997</v>
      </c>
      <c r="AD69" s="185">
        <v>0</v>
      </c>
      <c r="AE69" s="185">
        <f>7085.77</f>
        <v>7085.77</v>
      </c>
      <c r="AF69" s="185">
        <v>0</v>
      </c>
      <c r="AG69" s="185">
        <f>6052.54</f>
        <v>6052.54</v>
      </c>
      <c r="AH69" s="185">
        <f>3936.57</f>
        <v>3936.57</v>
      </c>
      <c r="AI69" s="185">
        <f>15081.26</f>
        <v>15081.26</v>
      </c>
      <c r="AJ69" s="185">
        <f>79.32+12835.92+182.63+49463.77+8135.55+162704.47+950.26</f>
        <v>234351.92</v>
      </c>
      <c r="AK69" s="185">
        <v>0</v>
      </c>
      <c r="AL69" s="185">
        <f>676</f>
        <v>676</v>
      </c>
      <c r="AM69" s="185">
        <v>0</v>
      </c>
      <c r="AN69" s="185">
        <v>0</v>
      </c>
      <c r="AO69" s="184">
        <v>0</v>
      </c>
      <c r="AP69" s="185">
        <f>1498.33</f>
        <v>1498.33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f>19471.97</f>
        <v>19471.97</v>
      </c>
      <c r="AZ69" s="185">
        <v>0</v>
      </c>
      <c r="BA69" s="185">
        <v>0</v>
      </c>
      <c r="BB69" s="185">
        <v>0</v>
      </c>
      <c r="BC69" s="185">
        <v>0</v>
      </c>
      <c r="BD69" s="185">
        <f>11258.95</f>
        <v>11258.95</v>
      </c>
      <c r="BE69" s="185">
        <f>3237.99</f>
        <v>3237.99</v>
      </c>
      <c r="BF69" s="185">
        <f>-245.15</f>
        <v>-245.15</v>
      </c>
      <c r="BG69" s="185">
        <v>0</v>
      </c>
      <c r="BH69" s="224">
        <f>1668.1</f>
        <v>1668.1</v>
      </c>
      <c r="BI69" s="185">
        <v>0</v>
      </c>
      <c r="BJ69" s="185">
        <f>404.95</f>
        <v>404.95</v>
      </c>
      <c r="BK69" s="185">
        <f>569.78</f>
        <v>569.78</v>
      </c>
      <c r="BL69" s="185">
        <f>10538.9</f>
        <v>10538.9</v>
      </c>
      <c r="BM69" s="185">
        <v>0</v>
      </c>
      <c r="BN69" s="185">
        <f>179318.42</f>
        <v>179318.42</v>
      </c>
      <c r="BO69" s="185">
        <v>0</v>
      </c>
      <c r="BP69" s="185">
        <f>1356.57</f>
        <v>1356.57</v>
      </c>
      <c r="BQ69" s="185">
        <v>0</v>
      </c>
      <c r="BR69" s="185">
        <f>36750.14</f>
        <v>36750.14</v>
      </c>
      <c r="BS69" s="185">
        <f>3964.66</f>
        <v>3964.66</v>
      </c>
      <c r="BT69" s="185">
        <f>240</f>
        <v>240</v>
      </c>
      <c r="BU69" s="185">
        <v>4849.33</v>
      </c>
      <c r="BV69" s="185">
        <v>4545.07</v>
      </c>
      <c r="BW69" s="185">
        <f>8414.64</f>
        <v>8414.64</v>
      </c>
      <c r="BX69" s="185">
        <f>4325.91</f>
        <v>4325.91</v>
      </c>
      <c r="BY69" s="185">
        <f>9800.53+61498.96</f>
        <v>71299.490000000005</v>
      </c>
      <c r="BZ69" s="185">
        <v>0</v>
      </c>
      <c r="CA69" s="185">
        <v>0</v>
      </c>
      <c r="CB69" s="185">
        <f>93.07+1683.3</f>
        <v>1776.37</v>
      </c>
      <c r="CC69" s="185">
        <f>4033.9+97.96+1600.77+526560.41+939.81+479308.81+368383.02+4190.04+36462.32+318.96+16791.44+735.32+465</f>
        <v>1439887.7600000002</v>
      </c>
      <c r="CD69" s="188">
        <v>0</v>
      </c>
      <c r="CE69" s="195">
        <f t="shared" si="0"/>
        <v>2168112.14</v>
      </c>
      <c r="CF69" s="250"/>
    </row>
    <row r="70" spans="1:84" ht="12.6" customHeight="1" x14ac:dyDescent="0.25">
      <c r="A70" s="171" t="s">
        <v>242</v>
      </c>
      <c r="B70" s="175"/>
      <c r="C70" s="184">
        <f>18361.41</f>
        <v>18361.41</v>
      </c>
      <c r="D70" s="184">
        <v>0</v>
      </c>
      <c r="E70" s="184">
        <f>5240</f>
        <v>5240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f>2962.12</f>
        <v>2962.12</v>
      </c>
      <c r="Q70" s="184">
        <v>0</v>
      </c>
      <c r="R70" s="184">
        <v>0</v>
      </c>
      <c r="S70" s="184">
        <v>82.5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f>41887.5</f>
        <v>41887.5</v>
      </c>
      <c r="AA70" s="185">
        <f>25</f>
        <v>25</v>
      </c>
      <c r="AB70" s="185">
        <f>537.74</f>
        <v>537.74</v>
      </c>
      <c r="AC70" s="185">
        <f>11420+50</f>
        <v>11470</v>
      </c>
      <c r="AD70" s="185">
        <v>0</v>
      </c>
      <c r="AE70" s="185">
        <f>15610</f>
        <v>15610</v>
      </c>
      <c r="AF70" s="185">
        <v>0</v>
      </c>
      <c r="AG70" s="185">
        <f>4310</f>
        <v>4310</v>
      </c>
      <c r="AH70" s="185">
        <v>0</v>
      </c>
      <c r="AI70" s="185">
        <f>16405</f>
        <v>16405</v>
      </c>
      <c r="AJ70" s="185">
        <f>64857.88+200+116.43+4102.73+37.6</f>
        <v>69314.64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f>7894+11230</f>
        <v>19124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f>29386.42</f>
        <v>29386.42</v>
      </c>
      <c r="AW70" s="185">
        <v>0</v>
      </c>
      <c r="AX70" s="185">
        <v>0</v>
      </c>
      <c r="AY70" s="185">
        <f>437999.27</f>
        <v>437999.27</v>
      </c>
      <c r="AZ70" s="185">
        <v>0</v>
      </c>
      <c r="BA70" s="185">
        <v>5387.68</v>
      </c>
      <c r="BB70" s="185">
        <v>0</v>
      </c>
      <c r="BC70" s="185">
        <v>0</v>
      </c>
      <c r="BD70" s="185">
        <f>82156.51+17667.21</f>
        <v>99823.72</v>
      </c>
      <c r="BE70" s="185">
        <f>8813.31</f>
        <v>8813.31</v>
      </c>
      <c r="BF70" s="185">
        <f>1050</f>
        <v>1050</v>
      </c>
      <c r="BG70" s="185">
        <v>0</v>
      </c>
      <c r="BH70" s="185">
        <v>0</v>
      </c>
      <c r="BI70" s="185">
        <v>0</v>
      </c>
      <c r="BJ70" s="185">
        <f>4992</f>
        <v>4992</v>
      </c>
      <c r="BK70" s="185">
        <f>859</f>
        <v>859</v>
      </c>
      <c r="BL70" s="185">
        <f>14800</f>
        <v>14800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f>10100</f>
        <v>10100</v>
      </c>
      <c r="BU70" s="185">
        <v>0</v>
      </c>
      <c r="BV70" s="185">
        <v>0</v>
      </c>
      <c r="BW70" s="185">
        <v>0</v>
      </c>
      <c r="BX70" s="185">
        <v>0</v>
      </c>
      <c r="BY70" s="185">
        <f>5000</f>
        <v>5000</v>
      </c>
      <c r="BZ70" s="185">
        <v>0</v>
      </c>
      <c r="CA70" s="185">
        <v>0</v>
      </c>
      <c r="CB70" s="185">
        <f>38399+60139.15</f>
        <v>98538.15</v>
      </c>
      <c r="CC70" s="185">
        <f>1000+42450+3074.92</f>
        <v>46524.92</v>
      </c>
      <c r="CD70" s="188">
        <v>0</v>
      </c>
      <c r="CE70" s="195">
        <f t="shared" si="0"/>
        <v>968604.38000000024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1656514.7800000003</v>
      </c>
      <c r="D71" s="195">
        <f t="shared" ref="D71:AI71" si="5">SUM(D61:D69)-D70</f>
        <v>0</v>
      </c>
      <c r="E71" s="195">
        <f t="shared" si="5"/>
        <v>6745473.9199999999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14705.18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2336072.2799999998</v>
      </c>
      <c r="P71" s="195">
        <f t="shared" si="5"/>
        <v>18127108.219999995</v>
      </c>
      <c r="Q71" s="195">
        <f t="shared" si="5"/>
        <v>1351171.55</v>
      </c>
      <c r="R71" s="195">
        <f t="shared" si="5"/>
        <v>423279.89</v>
      </c>
      <c r="S71" s="195">
        <f t="shared" si="5"/>
        <v>635214.39</v>
      </c>
      <c r="T71" s="195">
        <f t="shared" si="5"/>
        <v>0</v>
      </c>
      <c r="U71" s="195">
        <f t="shared" si="5"/>
        <v>4749081.2700000005</v>
      </c>
      <c r="V71" s="195">
        <f t="shared" si="5"/>
        <v>114735.15000000001</v>
      </c>
      <c r="W71" s="195">
        <f t="shared" si="5"/>
        <v>463085.75</v>
      </c>
      <c r="X71" s="195">
        <f t="shared" si="5"/>
        <v>708984.35</v>
      </c>
      <c r="Y71" s="195">
        <f t="shared" si="5"/>
        <v>3737306.05</v>
      </c>
      <c r="Z71" s="195">
        <f t="shared" si="5"/>
        <v>1584523.74</v>
      </c>
      <c r="AA71" s="195">
        <f t="shared" si="5"/>
        <v>424170.69999999995</v>
      </c>
      <c r="AB71" s="195">
        <f t="shared" si="5"/>
        <v>7368687.0699999994</v>
      </c>
      <c r="AC71" s="195">
        <f t="shared" si="5"/>
        <v>1122671.21</v>
      </c>
      <c r="AD71" s="195">
        <f t="shared" si="5"/>
        <v>0</v>
      </c>
      <c r="AE71" s="195">
        <f t="shared" si="5"/>
        <v>1828937.13</v>
      </c>
      <c r="AF71" s="195">
        <f t="shared" si="5"/>
        <v>0</v>
      </c>
      <c r="AG71" s="195">
        <f t="shared" si="5"/>
        <v>3477180.0400000005</v>
      </c>
      <c r="AH71" s="195">
        <f t="shared" si="5"/>
        <v>57296.07</v>
      </c>
      <c r="AI71" s="195">
        <f t="shared" si="5"/>
        <v>1144900.54</v>
      </c>
      <c r="AJ71" s="195">
        <f t="shared" ref="AJ71:BO71" si="6">SUM(AJ61:AJ69)-AJ70</f>
        <v>13462715.880000001</v>
      </c>
      <c r="AK71" s="195">
        <f t="shared" si="6"/>
        <v>0</v>
      </c>
      <c r="AL71" s="195">
        <f t="shared" si="6"/>
        <v>286930.59999999998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12911.89</v>
      </c>
      <c r="AQ71" s="195">
        <f t="shared" si="6"/>
        <v>0</v>
      </c>
      <c r="AR71" s="195">
        <f t="shared" si="6"/>
        <v>40.07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-29386.42</v>
      </c>
      <c r="AW71" s="195">
        <f t="shared" si="6"/>
        <v>0</v>
      </c>
      <c r="AX71" s="195">
        <f t="shared" si="6"/>
        <v>187117.6</v>
      </c>
      <c r="AY71" s="195">
        <f t="shared" si="6"/>
        <v>1355294.1900000002</v>
      </c>
      <c r="AZ71" s="195">
        <f t="shared" si="6"/>
        <v>0</v>
      </c>
      <c r="BA71" s="195">
        <f t="shared" si="6"/>
        <v>272971.66000000003</v>
      </c>
      <c r="BB71" s="195">
        <f t="shared" si="6"/>
        <v>0</v>
      </c>
      <c r="BC71" s="195">
        <f t="shared" si="6"/>
        <v>0</v>
      </c>
      <c r="BD71" s="195">
        <f t="shared" si="6"/>
        <v>720535.07</v>
      </c>
      <c r="BE71" s="195">
        <f t="shared" si="6"/>
        <v>2054322.7799999998</v>
      </c>
      <c r="BF71" s="195">
        <f t="shared" si="6"/>
        <v>1763830.35</v>
      </c>
      <c r="BG71" s="195">
        <f t="shared" si="6"/>
        <v>0</v>
      </c>
      <c r="BH71" s="195">
        <f t="shared" si="6"/>
        <v>3443802.49</v>
      </c>
      <c r="BI71" s="195">
        <f t="shared" si="6"/>
        <v>0</v>
      </c>
      <c r="BJ71" s="195">
        <f t="shared" si="6"/>
        <v>675237.88</v>
      </c>
      <c r="BK71" s="195">
        <f t="shared" si="6"/>
        <v>1799787.05</v>
      </c>
      <c r="BL71" s="195">
        <f t="shared" si="6"/>
        <v>1867451.38</v>
      </c>
      <c r="BM71" s="195">
        <f t="shared" si="6"/>
        <v>0</v>
      </c>
      <c r="BN71" s="195">
        <f t="shared" si="6"/>
        <v>2234095.9300000002</v>
      </c>
      <c r="BO71" s="195">
        <f t="shared" si="6"/>
        <v>160243.18</v>
      </c>
      <c r="BP71" s="195">
        <f t="shared" ref="BP71:CC71" si="7">SUM(BP61:BP69)-BP70</f>
        <v>490576.35000000003</v>
      </c>
      <c r="BQ71" s="195">
        <f t="shared" si="7"/>
        <v>0</v>
      </c>
      <c r="BR71" s="195">
        <f t="shared" si="7"/>
        <v>763024.28999999992</v>
      </c>
      <c r="BS71" s="195">
        <f t="shared" si="7"/>
        <v>79397.570000000007</v>
      </c>
      <c r="BT71" s="195">
        <f t="shared" si="7"/>
        <v>-1252.83</v>
      </c>
      <c r="BU71" s="195">
        <f t="shared" si="7"/>
        <v>24744.67</v>
      </c>
      <c r="BV71" s="195">
        <f t="shared" si="7"/>
        <v>780489</v>
      </c>
      <c r="BW71" s="195">
        <f t="shared" si="7"/>
        <v>119150.24</v>
      </c>
      <c r="BX71" s="195">
        <f t="shared" si="7"/>
        <v>780382.13000000012</v>
      </c>
      <c r="BY71" s="195">
        <f t="shared" si="7"/>
        <v>348505.89999999997</v>
      </c>
      <c r="BZ71" s="195">
        <f t="shared" si="7"/>
        <v>0</v>
      </c>
      <c r="CA71" s="195">
        <f t="shared" si="7"/>
        <v>0</v>
      </c>
      <c r="CB71" s="195">
        <f t="shared" si="7"/>
        <v>35746.99000000002</v>
      </c>
      <c r="CC71" s="195">
        <f t="shared" si="7"/>
        <v>4104359.5900000003</v>
      </c>
      <c r="CD71" s="243">
        <f>CD69-CD70</f>
        <v>0</v>
      </c>
      <c r="CE71" s="195">
        <f>SUM(CE61:CE69)-CE70</f>
        <v>95864124.759999976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>
        <v>5336994</v>
      </c>
      <c r="CF72" s="250"/>
    </row>
    <row r="73" spans="1:84" ht="12.6" customHeight="1" x14ac:dyDescent="0.25">
      <c r="A73" s="171" t="s">
        <v>245</v>
      </c>
      <c r="B73" s="175"/>
      <c r="C73" s="184">
        <f>1074926</f>
        <v>1074926</v>
      </c>
      <c r="D73" s="184">
        <v>0</v>
      </c>
      <c r="E73" s="185">
        <f>8951171.9</f>
        <v>8951171.9000000004</v>
      </c>
      <c r="F73" s="185">
        <v>0</v>
      </c>
      <c r="G73" s="184">
        <v>0</v>
      </c>
      <c r="H73" s="184">
        <v>0</v>
      </c>
      <c r="I73" s="185">
        <v>0</v>
      </c>
      <c r="J73" s="185">
        <v>690282</v>
      </c>
      <c r="K73" s="185">
        <v>0</v>
      </c>
      <c r="L73" s="185">
        <v>0</v>
      </c>
      <c r="M73" s="184">
        <v>0</v>
      </c>
      <c r="N73" s="184">
        <v>0</v>
      </c>
      <c r="O73" s="184">
        <f>1824573+767775.84</f>
        <v>2592348.84</v>
      </c>
      <c r="P73" s="185">
        <f>25549896.26+285204</f>
        <v>25835100.260000002</v>
      </c>
      <c r="Q73" s="185">
        <f>1633491</f>
        <v>1633491</v>
      </c>
      <c r="R73" s="185">
        <f>4826942</f>
        <v>4826942</v>
      </c>
      <c r="S73" s="185">
        <v>0</v>
      </c>
      <c r="T73" s="185">
        <v>0</v>
      </c>
      <c r="U73" s="185">
        <f>2426922.67+12510</f>
        <v>2439432.67</v>
      </c>
      <c r="V73" s="185">
        <f>62985+14940</f>
        <v>77925</v>
      </c>
      <c r="W73" s="185">
        <f>326330</f>
        <v>326330</v>
      </c>
      <c r="X73" s="185">
        <f>1002500</f>
        <v>1002500</v>
      </c>
      <c r="Y73" s="185">
        <f>23484+1059580+129250+312282</f>
        <v>1524596</v>
      </c>
      <c r="Z73" s="185">
        <f>15078+4072</f>
        <v>19150</v>
      </c>
      <c r="AA73" s="185">
        <f>51788+594</f>
        <v>52382</v>
      </c>
      <c r="AB73" s="185">
        <f>5991794.81+1488997.63</f>
        <v>7480792.4399999995</v>
      </c>
      <c r="AC73" s="185">
        <f>1544402+350</f>
        <v>1544752</v>
      </c>
      <c r="AD73" s="185">
        <v>0</v>
      </c>
      <c r="AE73" s="185">
        <v>1604886</v>
      </c>
      <c r="AF73" s="185">
        <v>0</v>
      </c>
      <c r="AG73" s="185">
        <f>2168867</f>
        <v>2168867</v>
      </c>
      <c r="AH73" s="185">
        <v>0</v>
      </c>
      <c r="AI73" s="185">
        <v>0</v>
      </c>
      <c r="AJ73" s="185">
        <f>13145+921+639+6388+981431.64</f>
        <v>1002524.64</v>
      </c>
      <c r="AK73" s="185">
        <v>0</v>
      </c>
      <c r="AL73" s="185">
        <f>108168</f>
        <v>108168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64956567.75</v>
      </c>
      <c r="CF73" s="250"/>
    </row>
    <row r="74" spans="1:84" ht="12.6" customHeight="1" x14ac:dyDescent="0.25">
      <c r="A74" s="171" t="s">
        <v>246</v>
      </c>
      <c r="B74" s="175"/>
      <c r="C74" s="184">
        <v>-9388</v>
      </c>
      <c r="D74" s="184">
        <v>0</v>
      </c>
      <c r="E74" s="185">
        <f>2266754.68+82056</f>
        <v>2348810.6800000002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f>388122+6044.5</f>
        <v>394166.5</v>
      </c>
      <c r="P74" s="185">
        <f>25375277.24+307641+2103074.59</f>
        <v>27785992.829999998</v>
      </c>
      <c r="Q74" s="185">
        <f>3737315</f>
        <v>3737315</v>
      </c>
      <c r="R74" s="185">
        <f>4906293</f>
        <v>4906293</v>
      </c>
      <c r="S74" s="185">
        <v>0</v>
      </c>
      <c r="T74" s="185">
        <v>0</v>
      </c>
      <c r="U74" s="185">
        <f>17368501.44+95592</f>
        <v>17464093.440000001</v>
      </c>
      <c r="V74" s="185">
        <f>516015.56+68961</f>
        <v>584976.56000000006</v>
      </c>
      <c r="W74" s="185">
        <f>9304280</f>
        <v>9304280</v>
      </c>
      <c r="X74" s="185">
        <f>16166374.37</f>
        <v>16166374.369999999</v>
      </c>
      <c r="Y74" s="185">
        <f>767581+2000791+5545169.69+3214456.58-84+1435922.88</f>
        <v>12963837.149999999</v>
      </c>
      <c r="Z74" s="185">
        <f>2794154.21+669557</f>
        <v>3463711.21</v>
      </c>
      <c r="AA74" s="185">
        <f>1780006+27679</f>
        <v>1807685</v>
      </c>
      <c r="AB74" s="185">
        <f>18054676.6+1855550.29</f>
        <v>19910226.890000001</v>
      </c>
      <c r="AC74" s="185">
        <f>469618.41+307133.2+713759</f>
        <v>1490510.6099999999</v>
      </c>
      <c r="AD74" s="185">
        <v>0</v>
      </c>
      <c r="AE74" s="185">
        <f>4039176+545</f>
        <v>4039721</v>
      </c>
      <c r="AF74" s="185">
        <v>0</v>
      </c>
      <c r="AG74" s="185">
        <f>18520347.23</f>
        <v>18520347.23</v>
      </c>
      <c r="AH74" s="185">
        <f>42932</f>
        <v>42932</v>
      </c>
      <c r="AI74" s="185">
        <f>2395647+620890</f>
        <v>3016537</v>
      </c>
      <c r="AJ74" s="185">
        <f>2490519.88+953003+1047959.25+90-294+2724662.32+840033.1+1102643+7753453.55</f>
        <v>16912070.099999998</v>
      </c>
      <c r="AK74" s="185">
        <v>0</v>
      </c>
      <c r="AL74" s="185">
        <f>685700.73</f>
        <v>685700.73</v>
      </c>
      <c r="AM74" s="185">
        <v>0</v>
      </c>
      <c r="AN74" s="185">
        <v>0</v>
      </c>
      <c r="AO74" s="185">
        <v>0</v>
      </c>
      <c r="AP74" s="185">
        <f>18606+22139.76</f>
        <v>40745.759999999995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f>20591+108840</f>
        <v>129431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165706370.05999997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1065538</v>
      </c>
      <c r="D75" s="195">
        <f t="shared" si="9"/>
        <v>0</v>
      </c>
      <c r="E75" s="195">
        <f t="shared" si="9"/>
        <v>11299982.58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690282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2986515.34</v>
      </c>
      <c r="P75" s="195">
        <f t="shared" si="9"/>
        <v>53621093.090000004</v>
      </c>
      <c r="Q75" s="195">
        <f t="shared" si="9"/>
        <v>5370806</v>
      </c>
      <c r="R75" s="195">
        <f t="shared" si="9"/>
        <v>9733235</v>
      </c>
      <c r="S75" s="195">
        <f t="shared" si="9"/>
        <v>0</v>
      </c>
      <c r="T75" s="195">
        <f t="shared" si="9"/>
        <v>0</v>
      </c>
      <c r="U75" s="195">
        <f t="shared" si="9"/>
        <v>19903526.109999999</v>
      </c>
      <c r="V75" s="195">
        <f t="shared" si="9"/>
        <v>662901.56000000006</v>
      </c>
      <c r="W75" s="195">
        <f t="shared" si="9"/>
        <v>9630610</v>
      </c>
      <c r="X75" s="195">
        <f t="shared" si="9"/>
        <v>17168874.369999997</v>
      </c>
      <c r="Y75" s="195">
        <f t="shared" si="9"/>
        <v>14488433.149999999</v>
      </c>
      <c r="Z75" s="195">
        <f t="shared" si="9"/>
        <v>3482861.21</v>
      </c>
      <c r="AA75" s="195">
        <f t="shared" si="9"/>
        <v>1860067</v>
      </c>
      <c r="AB75" s="195">
        <f t="shared" si="9"/>
        <v>27391019.329999998</v>
      </c>
      <c r="AC75" s="195">
        <f t="shared" si="9"/>
        <v>3035262.61</v>
      </c>
      <c r="AD75" s="195">
        <f t="shared" si="9"/>
        <v>0</v>
      </c>
      <c r="AE75" s="195">
        <f t="shared" si="9"/>
        <v>5644607</v>
      </c>
      <c r="AF75" s="195">
        <f t="shared" si="9"/>
        <v>0</v>
      </c>
      <c r="AG75" s="195">
        <f t="shared" si="9"/>
        <v>20689214.23</v>
      </c>
      <c r="AH75" s="195">
        <f t="shared" si="9"/>
        <v>42932</v>
      </c>
      <c r="AI75" s="195">
        <f t="shared" si="9"/>
        <v>3016537</v>
      </c>
      <c r="AJ75" s="195">
        <f t="shared" si="9"/>
        <v>17914594.739999998</v>
      </c>
      <c r="AK75" s="195">
        <f t="shared" si="9"/>
        <v>0</v>
      </c>
      <c r="AL75" s="195">
        <f t="shared" si="9"/>
        <v>793868.73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40745.759999999995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129431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230662937.81</v>
      </c>
      <c r="CF75" s="250"/>
    </row>
    <row r="76" spans="1:84" ht="12.6" customHeight="1" x14ac:dyDescent="0.25">
      <c r="A76" s="171" t="s">
        <v>248</v>
      </c>
      <c r="B76" s="175"/>
      <c r="C76" s="184">
        <v>3692</v>
      </c>
      <c r="D76" s="184">
        <v>0</v>
      </c>
      <c r="E76" s="185">
        <f>19925+2836+400</f>
        <v>23161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5313</v>
      </c>
      <c r="P76" s="185">
        <v>11604</v>
      </c>
      <c r="Q76" s="185">
        <v>0</v>
      </c>
      <c r="R76" s="185">
        <v>500</v>
      </c>
      <c r="S76" s="185">
        <v>3031</v>
      </c>
      <c r="T76" s="185">
        <v>0</v>
      </c>
      <c r="U76" s="185">
        <f>2400+160+1380</f>
        <v>3940</v>
      </c>
      <c r="V76" s="185">
        <v>10</v>
      </c>
      <c r="W76" s="185">
        <v>0</v>
      </c>
      <c r="X76" s="185">
        <v>0</v>
      </c>
      <c r="Y76" s="185">
        <f>10350+575</f>
        <v>10925</v>
      </c>
      <c r="Z76" s="185">
        <v>7700</v>
      </c>
      <c r="AA76" s="185">
        <v>0</v>
      </c>
      <c r="AB76" s="185">
        <f>1206+690</f>
        <v>1896</v>
      </c>
      <c r="AC76" s="185">
        <f>1896+2251</f>
        <v>4147</v>
      </c>
      <c r="AD76" s="185">
        <v>0</v>
      </c>
      <c r="AE76" s="185">
        <v>7400</v>
      </c>
      <c r="AF76" s="185">
        <v>0</v>
      </c>
      <c r="AG76" s="185">
        <v>7100</v>
      </c>
      <c r="AH76" s="185">
        <v>0</v>
      </c>
      <c r="AI76" s="185">
        <v>0</v>
      </c>
      <c r="AJ76" s="185">
        <f>5552+2075+396+5864+2226+2900</f>
        <v>19013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f>945+184</f>
        <v>1129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4202</v>
      </c>
      <c r="AZ76" s="185">
        <v>0</v>
      </c>
      <c r="BA76" s="185">
        <v>287</v>
      </c>
      <c r="BB76" s="185">
        <v>0</v>
      </c>
      <c r="BC76" s="185">
        <v>0</v>
      </c>
      <c r="BD76" s="185">
        <v>4791</v>
      </c>
      <c r="BE76" s="185">
        <f>4356+1696+1933+3828</f>
        <v>11813</v>
      </c>
      <c r="BF76" s="185">
        <f>120+2072+111+90</f>
        <v>2393</v>
      </c>
      <c r="BG76" s="185">
        <v>0</v>
      </c>
      <c r="BH76" s="185">
        <f>1595+185</f>
        <v>1780</v>
      </c>
      <c r="BI76" s="185">
        <v>0</v>
      </c>
      <c r="BJ76" s="185">
        <v>1241</v>
      </c>
      <c r="BK76" s="185">
        <v>3442</v>
      </c>
      <c r="BL76" s="185">
        <f>6400+5725</f>
        <v>12125</v>
      </c>
      <c r="BM76" s="185">
        <v>0</v>
      </c>
      <c r="BN76" s="185">
        <f>1484+143</f>
        <v>1627</v>
      </c>
      <c r="BO76" s="185">
        <v>0</v>
      </c>
      <c r="BP76" s="185">
        <v>129</v>
      </c>
      <c r="BQ76" s="185">
        <v>0</v>
      </c>
      <c r="BR76" s="185">
        <v>1193</v>
      </c>
      <c r="BS76" s="185">
        <f>508+619</f>
        <v>1127</v>
      </c>
      <c r="BT76" s="185">
        <v>391</v>
      </c>
      <c r="BU76" s="185">
        <v>558</v>
      </c>
      <c r="BV76" s="185">
        <v>1426</v>
      </c>
      <c r="BW76" s="185">
        <v>246</v>
      </c>
      <c r="BX76" s="185">
        <v>200</v>
      </c>
      <c r="BY76" s="185">
        <v>0</v>
      </c>
      <c r="BZ76" s="185">
        <v>0</v>
      </c>
      <c r="CA76" s="185">
        <v>0</v>
      </c>
      <c r="CB76" s="185">
        <f>85+558</f>
        <v>643</v>
      </c>
      <c r="CC76" s="185">
        <f>135+226+200+10+1131+709+449+76+2319+697+9160+2349+5475+5583+2683+1763+5346+2910+2479+285+1775</f>
        <v>45760</v>
      </c>
      <c r="CD76" s="247" t="s">
        <v>221</v>
      </c>
      <c r="CE76" s="195">
        <f t="shared" si="8"/>
        <v>205935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3145</v>
      </c>
      <c r="D77" s="184">
        <v>0</v>
      </c>
      <c r="E77" s="184">
        <v>20427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2711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7" t="s">
        <v>221</v>
      </c>
      <c r="AY77" s="247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7" t="s">
        <v>221</v>
      </c>
      <c r="BE77" s="247" t="s">
        <v>221</v>
      </c>
      <c r="BF77" s="184">
        <v>0</v>
      </c>
      <c r="BG77" s="247" t="s">
        <v>221</v>
      </c>
      <c r="BH77" s="184">
        <v>0</v>
      </c>
      <c r="BI77" s="184">
        <v>0</v>
      </c>
      <c r="BJ77" s="247" t="s">
        <v>221</v>
      </c>
      <c r="BK77" s="184">
        <v>0</v>
      </c>
      <c r="BL77" s="184">
        <v>0</v>
      </c>
      <c r="BM77" s="184">
        <v>0</v>
      </c>
      <c r="BN77" s="247" t="s">
        <v>221</v>
      </c>
      <c r="BO77" s="247" t="s">
        <v>221</v>
      </c>
      <c r="BP77" s="247" t="s">
        <v>221</v>
      </c>
      <c r="BQ77" s="247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7" t="s">
        <v>221</v>
      </c>
      <c r="CD77" s="247" t="s">
        <v>221</v>
      </c>
      <c r="CE77" s="195">
        <f>SUM(C77:CD77)</f>
        <v>26283</v>
      </c>
      <c r="CF77" s="195">
        <f>AY59-CE77</f>
        <v>174938</v>
      </c>
    </row>
    <row r="78" spans="1:84" ht="12.6" customHeight="1" x14ac:dyDescent="0.25">
      <c r="A78" s="171" t="s">
        <v>250</v>
      </c>
      <c r="B78" s="175"/>
      <c r="C78" s="184">
        <v>3692</v>
      </c>
      <c r="D78" s="184">
        <v>0</v>
      </c>
      <c r="E78" s="184">
        <v>23161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5313</v>
      </c>
      <c r="P78" s="184">
        <v>11604</v>
      </c>
      <c r="Q78" s="184">
        <v>0</v>
      </c>
      <c r="R78" s="184">
        <v>500</v>
      </c>
      <c r="S78" s="184">
        <v>3031</v>
      </c>
      <c r="T78" s="184">
        <v>0</v>
      </c>
      <c r="U78" s="184">
        <v>3940</v>
      </c>
      <c r="V78" s="184">
        <v>10</v>
      </c>
      <c r="W78" s="184">
        <v>0</v>
      </c>
      <c r="X78" s="184">
        <v>0</v>
      </c>
      <c r="Y78" s="184">
        <v>10925</v>
      </c>
      <c r="Z78" s="184">
        <v>7700</v>
      </c>
      <c r="AA78" s="184">
        <v>0</v>
      </c>
      <c r="AB78" s="184">
        <v>1896</v>
      </c>
      <c r="AC78" s="184">
        <v>4147</v>
      </c>
      <c r="AD78" s="184">
        <v>0</v>
      </c>
      <c r="AE78" s="184">
        <v>7400</v>
      </c>
      <c r="AF78" s="184">
        <v>0</v>
      </c>
      <c r="AG78" s="184">
        <v>7100</v>
      </c>
      <c r="AH78" s="184">
        <v>0</v>
      </c>
      <c r="AI78" s="184">
        <v>0</v>
      </c>
      <c r="AJ78" s="184">
        <v>19013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1129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7" t="s">
        <v>221</v>
      </c>
      <c r="AY78" s="247" t="s">
        <v>221</v>
      </c>
      <c r="AZ78" s="247" t="s">
        <v>221</v>
      </c>
      <c r="BA78" s="184">
        <v>287</v>
      </c>
      <c r="BB78" s="184">
        <v>0</v>
      </c>
      <c r="BC78" s="184">
        <v>0</v>
      </c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1780</v>
      </c>
      <c r="BI78" s="184">
        <v>0</v>
      </c>
      <c r="BJ78" s="247" t="s">
        <v>221</v>
      </c>
      <c r="BK78" s="184">
        <v>3442</v>
      </c>
      <c r="BL78" s="184">
        <v>12125</v>
      </c>
      <c r="BM78" s="184">
        <v>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1127</v>
      </c>
      <c r="BT78" s="184">
        <v>391</v>
      </c>
      <c r="BU78" s="184">
        <v>558</v>
      </c>
      <c r="BV78" s="184">
        <v>1426</v>
      </c>
      <c r="BW78" s="184">
        <v>246</v>
      </c>
      <c r="BX78" s="184">
        <v>200</v>
      </c>
      <c r="BY78" s="184">
        <v>0</v>
      </c>
      <c r="BZ78" s="184">
        <v>0</v>
      </c>
      <c r="CA78" s="184">
        <v>0</v>
      </c>
      <c r="CB78" s="184">
        <v>643</v>
      </c>
      <c r="CC78" s="247" t="s">
        <v>221</v>
      </c>
      <c r="CD78" s="247" t="s">
        <v>221</v>
      </c>
      <c r="CE78" s="195">
        <f t="shared" si="8"/>
        <v>132786</v>
      </c>
      <c r="CF78" s="195"/>
    </row>
    <row r="79" spans="1:84" ht="12.6" customHeight="1" x14ac:dyDescent="0.25">
      <c r="A79" s="171" t="s">
        <v>251</v>
      </c>
      <c r="B79" s="175"/>
      <c r="C79" s="225">
        <v>40791.589999999997</v>
      </c>
      <c r="D79" s="184">
        <v>0</v>
      </c>
      <c r="E79" s="184">
        <v>392495.41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2261</v>
      </c>
      <c r="P79" s="184">
        <v>27189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7" t="s">
        <v>221</v>
      </c>
      <c r="AY79" s="247" t="s">
        <v>221</v>
      </c>
      <c r="AZ79" s="247" t="s">
        <v>221</v>
      </c>
      <c r="BA79" s="247" t="s">
        <v>221</v>
      </c>
      <c r="BB79" s="184">
        <v>0</v>
      </c>
      <c r="BC79" s="184">
        <v>0</v>
      </c>
      <c r="BD79" s="247" t="s">
        <v>221</v>
      </c>
      <c r="BE79" s="247" t="s">
        <v>221</v>
      </c>
      <c r="BF79" s="247" t="s">
        <v>221</v>
      </c>
      <c r="BG79" s="247" t="s">
        <v>221</v>
      </c>
      <c r="BH79" s="184">
        <v>0</v>
      </c>
      <c r="BI79" s="184">
        <v>0</v>
      </c>
      <c r="BJ79" s="247" t="s">
        <v>221</v>
      </c>
      <c r="BK79" s="184">
        <v>0</v>
      </c>
      <c r="BL79" s="184">
        <v>0</v>
      </c>
      <c r="BM79" s="184">
        <v>0</v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7" t="s">
        <v>221</v>
      </c>
      <c r="CD79" s="247" t="s">
        <v>221</v>
      </c>
      <c r="CE79" s="195">
        <f t="shared" si="8"/>
        <v>462737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9.44</v>
      </c>
      <c r="D80" s="187">
        <v>0</v>
      </c>
      <c r="E80" s="187">
        <v>30.09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11.81</v>
      </c>
      <c r="P80" s="187">
        <v>12.77</v>
      </c>
      <c r="Q80" s="187">
        <v>8.9700000000000006</v>
      </c>
      <c r="R80" s="187">
        <f>1.51</f>
        <v>1.51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f>0.46+1.43</f>
        <v>1.89</v>
      </c>
      <c r="Z80" s="187">
        <f>3.55</f>
        <v>3.55</v>
      </c>
      <c r="AA80" s="187">
        <f>0.39</f>
        <v>0.39</v>
      </c>
      <c r="AB80" s="187">
        <v>0</v>
      </c>
      <c r="AC80" s="187">
        <f>0.9</f>
        <v>0.9</v>
      </c>
      <c r="AD80" s="187">
        <v>0</v>
      </c>
      <c r="AE80" s="187">
        <v>0</v>
      </c>
      <c r="AF80" s="187">
        <v>0</v>
      </c>
      <c r="AG80" s="187">
        <f>18.68</f>
        <v>18.68</v>
      </c>
      <c r="AH80" s="187">
        <v>0</v>
      </c>
      <c r="AI80" s="187">
        <v>0</v>
      </c>
      <c r="AJ80" s="187">
        <f>2.94+0.16+10.14</f>
        <v>13.24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113.24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1267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2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3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4" t="s">
        <v>1276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68" t="s">
        <v>1277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2610</v>
      </c>
      <c r="D111" s="174">
        <v>8288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441</v>
      </c>
      <c r="D114" s="174">
        <v>704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43</v>
      </c>
    </row>
    <row r="128" spans="1:5" ht="12.6" customHeight="1" x14ac:dyDescent="0.25">
      <c r="A128" s="173" t="s">
        <v>292</v>
      </c>
      <c r="B128" s="172" t="s">
        <v>256</v>
      </c>
      <c r="C128" s="189">
        <v>43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1150+343</f>
        <v>1493</v>
      </c>
      <c r="C138" s="189">
        <v>498</v>
      </c>
      <c r="D138" s="174">
        <f>2610-1493-498</f>
        <v>619</v>
      </c>
      <c r="E138" s="175">
        <f>SUM(B138:D138)</f>
        <v>2610</v>
      </c>
    </row>
    <row r="139" spans="1:6" ht="12.6" customHeight="1" x14ac:dyDescent="0.25">
      <c r="A139" s="173" t="s">
        <v>215</v>
      </c>
      <c r="B139" s="174">
        <f>3858+1073</f>
        <v>4931</v>
      </c>
      <c r="C139" s="189">
        <v>858</v>
      </c>
      <c r="D139" s="174">
        <f>8288-4931-858</f>
        <v>2499</v>
      </c>
      <c r="E139" s="175">
        <f>SUM(B139:D139)</f>
        <v>8288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40747506.780000001</v>
      </c>
      <c r="C141" s="189">
        <v>5705814.1299999999</v>
      </c>
      <c r="D141" s="174">
        <f>65076151-40747507-5705814</f>
        <v>18622830</v>
      </c>
      <c r="E141" s="175">
        <f>SUM(B141:D141)</f>
        <v>65076150.910000004</v>
      </c>
      <c r="F141" s="199"/>
    </row>
    <row r="142" spans="1:6" ht="12.6" customHeight="1" x14ac:dyDescent="0.25">
      <c r="A142" s="173" t="s">
        <v>246</v>
      </c>
      <c r="B142" s="174">
        <v>70158387.900000006</v>
      </c>
      <c r="C142" s="189">
        <v>14942598.109999999</v>
      </c>
      <c r="D142" s="174">
        <f>165586787-70158388-14942598</f>
        <v>80485801</v>
      </c>
      <c r="E142" s="175">
        <f>SUM(B142:D142)</f>
        <v>165586787.00999999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f>2914821.75</f>
        <v>2914821.75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140315.48</f>
        <v>140315.48000000001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468562.82</f>
        <v>468562.82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3965575.42+986983.89</f>
        <v>4952559.3099999996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20412.29</f>
        <v>20412.29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1676393.41</f>
        <v>1676393.41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-744240.56+21212.79+1495.24+14290.31+18161.93+29766.46+86281.15+744240.56</f>
        <v>171207.88000000012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2324.3200000000002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10346597.26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f>21600+24757.75+892332.39-317919</f>
        <v>620771.14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184184.3+24331.78</f>
        <v>208516.08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829287.22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f>285576.01+213570.95-43627</f>
        <v>455519.96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148303.6+6048.21+57704.64+105+168+300</f>
        <v>212629.45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668149.41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>
        <v>54213.11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541786.24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595999.35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>
        <f>1693752+336455</f>
        <v>2030207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2030207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4708577</v>
      </c>
      <c r="C195" s="189">
        <v>0</v>
      </c>
      <c r="D195" s="174">
        <v>0</v>
      </c>
      <c r="E195" s="175">
        <f t="shared" ref="E195:E203" si="10">SUM(B195:C195)-D195</f>
        <v>4708577</v>
      </c>
    </row>
    <row r="196" spans="1:8" ht="12.6" customHeight="1" x14ac:dyDescent="0.25">
      <c r="A196" s="173" t="s">
        <v>333</v>
      </c>
      <c r="B196" s="174">
        <v>2130330</v>
      </c>
      <c r="C196" s="189">
        <v>0</v>
      </c>
      <c r="D196" s="174">
        <v>0</v>
      </c>
      <c r="E196" s="175">
        <f t="shared" si="10"/>
        <v>2130330</v>
      </c>
    </row>
    <row r="197" spans="1:8" ht="12.6" customHeight="1" x14ac:dyDescent="0.25">
      <c r="A197" s="173" t="s">
        <v>334</v>
      </c>
      <c r="B197" s="174">
        <f>70037832+314539</f>
        <v>70352371</v>
      </c>
      <c r="C197" s="189">
        <f>3155070+2192</f>
        <v>3157262</v>
      </c>
      <c r="D197" s="174">
        <v>3186</v>
      </c>
      <c r="E197" s="175">
        <f t="shared" si="10"/>
        <v>73506447</v>
      </c>
    </row>
    <row r="198" spans="1:8" ht="12.6" customHeight="1" x14ac:dyDescent="0.25">
      <c r="A198" s="173" t="s">
        <v>335</v>
      </c>
      <c r="B198" s="174">
        <v>8808918</v>
      </c>
      <c r="C198" s="189">
        <v>0</v>
      </c>
      <c r="D198" s="174">
        <v>0</v>
      </c>
      <c r="E198" s="175">
        <f t="shared" si="10"/>
        <v>8808918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28995534</v>
      </c>
      <c r="C200" s="189">
        <f>1181584+8285265</f>
        <v>9466849</v>
      </c>
      <c r="D200" s="174">
        <v>3248386</v>
      </c>
      <c r="E200" s="175">
        <f t="shared" si="10"/>
        <v>35213997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5868665</v>
      </c>
      <c r="C203" s="189">
        <f>6138204-11440335</f>
        <v>-5302131</v>
      </c>
      <c r="D203" s="174">
        <v>0</v>
      </c>
      <c r="E203" s="175">
        <f t="shared" si="10"/>
        <v>566534</v>
      </c>
    </row>
    <row r="204" spans="1:8" ht="12.6" customHeight="1" x14ac:dyDescent="0.25">
      <c r="A204" s="173" t="s">
        <v>203</v>
      </c>
      <c r="B204" s="175">
        <f>SUM(B195:B203)</f>
        <v>120864395</v>
      </c>
      <c r="C204" s="191">
        <f>SUM(C195:C203)</f>
        <v>7321980</v>
      </c>
      <c r="D204" s="175">
        <f>SUM(D195:D203)</f>
        <v>3251572</v>
      </c>
      <c r="E204" s="175">
        <f>SUM(E195:E203)</f>
        <v>124934803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1583532</v>
      </c>
      <c r="C209" s="189">
        <v>270764</v>
      </c>
      <c r="D209" s="174">
        <v>0</v>
      </c>
      <c r="E209" s="175">
        <f t="shared" ref="E209:E216" si="11">SUM(B209:C209)-D209</f>
        <v>1854296</v>
      </c>
      <c r="H209" s="257"/>
    </row>
    <row r="210" spans="1:8" ht="12.6" customHeight="1" x14ac:dyDescent="0.25">
      <c r="A210" s="173" t="s">
        <v>334</v>
      </c>
      <c r="B210" s="174">
        <v>23541051</v>
      </c>
      <c r="C210" s="189">
        <v>1740083</v>
      </c>
      <c r="D210" s="174">
        <v>0</v>
      </c>
      <c r="E210" s="175">
        <f t="shared" si="11"/>
        <v>25281134</v>
      </c>
      <c r="H210" s="257"/>
    </row>
    <row r="211" spans="1:8" ht="12.6" customHeight="1" x14ac:dyDescent="0.25">
      <c r="A211" s="173" t="s">
        <v>335</v>
      </c>
      <c r="B211" s="174">
        <v>6769087</v>
      </c>
      <c r="C211" s="189">
        <v>365724</v>
      </c>
      <c r="D211" s="174">
        <v>0</v>
      </c>
      <c r="E211" s="175">
        <f t="shared" si="11"/>
        <v>7134811</v>
      </c>
      <c r="H211" s="257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7"/>
    </row>
    <row r="213" spans="1:8" ht="12.6" customHeight="1" x14ac:dyDescent="0.25">
      <c r="A213" s="173" t="s">
        <v>337</v>
      </c>
      <c r="B213" s="174">
        <v>23273713</v>
      </c>
      <c r="C213" s="189">
        <v>2433147</v>
      </c>
      <c r="D213" s="174">
        <v>3220760</v>
      </c>
      <c r="E213" s="175">
        <f t="shared" si="11"/>
        <v>22486100</v>
      </c>
      <c r="H213" s="257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55167383</v>
      </c>
      <c r="C217" s="191">
        <f>SUM(C208:C216)</f>
        <v>4809718</v>
      </c>
      <c r="D217" s="175">
        <f>SUM(D208:D216)</f>
        <v>3220760</v>
      </c>
      <c r="E217" s="175">
        <f>SUM(E208:E216)</f>
        <v>56756341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1535434</v>
      </c>
      <c r="D221" s="172">
        <f>C221</f>
        <v>1535434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77964472.849999994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5473464.59+10357714.95</f>
        <v>15831179.539999999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2038906.86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14591077.87+27353.41</f>
        <v>14618431.279999999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9609247.5399999991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16009485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136071723.06999999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>
        <v>355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142091.99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361780.3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503872.29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138111029.35999998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26877585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15656090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15656090-9714395</f>
        <v>5941695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391292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1614817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1190800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22077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39810966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>
        <v>11779767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463709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12243476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4708577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2130330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73192902+313545</f>
        <v>73506447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8808918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35213997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566534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124934803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56756341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68178462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530499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530499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>
        <v>598703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f>1390391+479141</f>
        <v>1869532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2468235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123231638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4561501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4093652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157561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1481262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355558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2132782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12782316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816192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21015000+10140000+2299041+15000000+1725000</f>
        <v>50179041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470289+402300+11897237</f>
        <v>12769826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63765059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2132782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61632277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48817045</v>
      </c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222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222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123231638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123231638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65076153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165586789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230662942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1535434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f>137079467-503872.29</f>
        <v>136575594.71000001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503872.29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138614901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92048041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v>715301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5336994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6052295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98100336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41292345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11608297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4633783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23720182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1008446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7878370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4809718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829287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668149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595999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2221277-668149-595999</f>
        <v>957129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98001705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98631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582922-2029982+890507</f>
        <v>-556553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-457922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-457922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Island Hospital   H-0     FYE 12/31/2018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2610</v>
      </c>
      <c r="C414" s="194">
        <f>E138</f>
        <v>2610</v>
      </c>
      <c r="D414" s="179"/>
    </row>
    <row r="415" spans="1:5" ht="12.6" customHeight="1" x14ac:dyDescent="0.25">
      <c r="A415" s="179" t="s">
        <v>464</v>
      </c>
      <c r="B415" s="179">
        <f>D111</f>
        <v>8288</v>
      </c>
      <c r="C415" s="179">
        <f>E139</f>
        <v>8288</v>
      </c>
      <c r="D415" s="194">
        <f>SUM(C59:H59)+N59</f>
        <v>7446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441</v>
      </c>
    </row>
    <row r="424" spans="1:7" ht="12.6" customHeight="1" x14ac:dyDescent="0.25">
      <c r="A424" s="179" t="s">
        <v>1244</v>
      </c>
      <c r="B424" s="179">
        <f>D114</f>
        <v>704</v>
      </c>
      <c r="D424" s="179">
        <f>J59</f>
        <v>704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41292345</v>
      </c>
      <c r="C427" s="179">
        <f t="shared" ref="C427:C434" si="13">CE61</f>
        <v>41292331.829999983</v>
      </c>
      <c r="D427" s="179"/>
    </row>
    <row r="428" spans="1:7" ht="12.6" customHeight="1" x14ac:dyDescent="0.25">
      <c r="A428" s="179" t="s">
        <v>3</v>
      </c>
      <c r="B428" s="179">
        <f t="shared" si="12"/>
        <v>11608297</v>
      </c>
      <c r="C428" s="179">
        <f t="shared" si="13"/>
        <v>10346600</v>
      </c>
      <c r="D428" s="179">
        <f>D173</f>
        <v>10346597.26</v>
      </c>
    </row>
    <row r="429" spans="1:7" ht="12.6" customHeight="1" x14ac:dyDescent="0.25">
      <c r="A429" s="179" t="s">
        <v>236</v>
      </c>
      <c r="B429" s="179">
        <f t="shared" si="12"/>
        <v>4633783</v>
      </c>
      <c r="C429" s="179">
        <f t="shared" si="13"/>
        <v>4461756.3000000007</v>
      </c>
      <c r="D429" s="179"/>
    </row>
    <row r="430" spans="1:7" ht="12.6" customHeight="1" x14ac:dyDescent="0.25">
      <c r="A430" s="179" t="s">
        <v>237</v>
      </c>
      <c r="B430" s="179">
        <f t="shared" si="12"/>
        <v>23720182</v>
      </c>
      <c r="C430" s="179">
        <f t="shared" si="13"/>
        <v>23720189.060000006</v>
      </c>
      <c r="D430" s="179"/>
    </row>
    <row r="431" spans="1:7" ht="12.6" customHeight="1" x14ac:dyDescent="0.25">
      <c r="A431" s="179" t="s">
        <v>444</v>
      </c>
      <c r="B431" s="179">
        <f t="shared" si="12"/>
        <v>1008446</v>
      </c>
      <c r="C431" s="179">
        <f t="shared" si="13"/>
        <v>1008444.7400000002</v>
      </c>
      <c r="D431" s="179"/>
    </row>
    <row r="432" spans="1:7" ht="12.6" customHeight="1" x14ac:dyDescent="0.25">
      <c r="A432" s="179" t="s">
        <v>445</v>
      </c>
      <c r="B432" s="179">
        <f t="shared" si="12"/>
        <v>7878370</v>
      </c>
      <c r="C432" s="179">
        <f t="shared" si="13"/>
        <v>7878368.8499999978</v>
      </c>
      <c r="D432" s="179"/>
    </row>
    <row r="433" spans="1:7" ht="12.6" customHeight="1" x14ac:dyDescent="0.25">
      <c r="A433" s="179" t="s">
        <v>6</v>
      </c>
      <c r="B433" s="179">
        <f t="shared" si="12"/>
        <v>4809718</v>
      </c>
      <c r="C433" s="179">
        <f t="shared" si="13"/>
        <v>4809720</v>
      </c>
      <c r="D433" s="179">
        <f>C217</f>
        <v>4809718</v>
      </c>
    </row>
    <row r="434" spans="1:7" ht="12.6" customHeight="1" x14ac:dyDescent="0.25">
      <c r="A434" s="179" t="s">
        <v>474</v>
      </c>
      <c r="B434" s="179">
        <f t="shared" si="12"/>
        <v>829287</v>
      </c>
      <c r="C434" s="179">
        <f t="shared" si="13"/>
        <v>1147206.22</v>
      </c>
      <c r="D434" s="179">
        <f>D177</f>
        <v>829287.22</v>
      </c>
    </row>
    <row r="435" spans="1:7" ht="12.6" customHeight="1" x14ac:dyDescent="0.25">
      <c r="A435" s="179" t="s">
        <v>447</v>
      </c>
      <c r="B435" s="179">
        <f t="shared" si="12"/>
        <v>668149</v>
      </c>
      <c r="C435" s="179"/>
      <c r="D435" s="179">
        <f>D181</f>
        <v>668149.41</v>
      </c>
    </row>
    <row r="436" spans="1:7" ht="12.6" customHeight="1" x14ac:dyDescent="0.25">
      <c r="A436" s="179" t="s">
        <v>475</v>
      </c>
      <c r="B436" s="179">
        <f t="shared" si="12"/>
        <v>595999</v>
      </c>
      <c r="C436" s="179"/>
      <c r="D436" s="179">
        <f>D186</f>
        <v>595999.35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2030207</v>
      </c>
    </row>
    <row r="438" spans="1:7" ht="12.6" customHeight="1" x14ac:dyDescent="0.25">
      <c r="A438" s="194" t="s">
        <v>476</v>
      </c>
      <c r="B438" s="194">
        <f>C386+C387+C388</f>
        <v>1264148</v>
      </c>
      <c r="C438" s="194">
        <f>CD69</f>
        <v>0</v>
      </c>
      <c r="D438" s="194">
        <f>D181+D186+D190</f>
        <v>3294355.76</v>
      </c>
    </row>
    <row r="439" spans="1:7" ht="12.6" customHeight="1" x14ac:dyDescent="0.25">
      <c r="A439" s="179" t="s">
        <v>451</v>
      </c>
      <c r="B439" s="194">
        <f>C389</f>
        <v>957129</v>
      </c>
      <c r="C439" s="194">
        <f>SUM(C69:CC69)</f>
        <v>2168112.14</v>
      </c>
      <c r="D439" s="179"/>
    </row>
    <row r="440" spans="1:7" ht="12.6" customHeight="1" x14ac:dyDescent="0.25">
      <c r="A440" s="179" t="s">
        <v>477</v>
      </c>
      <c r="B440" s="194">
        <f>B438+B439</f>
        <v>2221277</v>
      </c>
      <c r="C440" s="194">
        <f>CE69</f>
        <v>2168112.14</v>
      </c>
      <c r="D440" s="179"/>
    </row>
    <row r="441" spans="1:7" ht="12.6" customHeight="1" x14ac:dyDescent="0.25">
      <c r="A441" s="179" t="s">
        <v>478</v>
      </c>
      <c r="B441" s="179">
        <f>D390</f>
        <v>98001705</v>
      </c>
      <c r="C441" s="179">
        <f>SUM(C427:C437)+C440</f>
        <v>96832729.139999971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1535434</v>
      </c>
      <c r="C444" s="179">
        <f>C363</f>
        <v>1535434</v>
      </c>
      <c r="D444" s="179"/>
    </row>
    <row r="445" spans="1:7" ht="12.6" customHeight="1" x14ac:dyDescent="0.25">
      <c r="A445" s="179" t="s">
        <v>343</v>
      </c>
      <c r="B445" s="179">
        <f>D229</f>
        <v>136071723.06999999</v>
      </c>
      <c r="C445" s="179">
        <f>C364</f>
        <v>136575594.71000001</v>
      </c>
      <c r="D445" s="179"/>
    </row>
    <row r="446" spans="1:7" ht="12.6" customHeight="1" x14ac:dyDescent="0.25">
      <c r="A446" s="179" t="s">
        <v>351</v>
      </c>
      <c r="B446" s="179">
        <f>D236</f>
        <v>503872.29</v>
      </c>
      <c r="C446" s="179">
        <f>C365</f>
        <v>503872.29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138111029.35999998</v>
      </c>
      <c r="C448" s="179">
        <f>D367</f>
        <v>138614901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355</v>
      </c>
    </row>
    <row r="454" spans="1:7" ht="12.6" customHeight="1" x14ac:dyDescent="0.25">
      <c r="A454" s="179" t="s">
        <v>168</v>
      </c>
      <c r="B454" s="179">
        <f>C233</f>
        <v>142091.99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361780.3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715301</v>
      </c>
      <c r="C458" s="194">
        <f>CE70</f>
        <v>968604.38000000024</v>
      </c>
      <c r="D458" s="194"/>
    </row>
    <row r="459" spans="1:7" ht="12.6" customHeight="1" x14ac:dyDescent="0.25">
      <c r="A459" s="179" t="s">
        <v>244</v>
      </c>
      <c r="B459" s="194">
        <f>C371</f>
        <v>5336994</v>
      </c>
      <c r="C459" s="194">
        <f>CE72</f>
        <v>5336994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65076153</v>
      </c>
      <c r="C463" s="194">
        <f>CE73</f>
        <v>64956567.75</v>
      </c>
      <c r="D463" s="194">
        <f>E141+E147+E153</f>
        <v>65076150.910000004</v>
      </c>
    </row>
    <row r="464" spans="1:7" ht="12.6" customHeight="1" x14ac:dyDescent="0.25">
      <c r="A464" s="179" t="s">
        <v>246</v>
      </c>
      <c r="B464" s="194">
        <f>C360</f>
        <v>165586789</v>
      </c>
      <c r="C464" s="194">
        <f>CE74</f>
        <v>165706370.05999997</v>
      </c>
      <c r="D464" s="194">
        <f>E142+E148+E154</f>
        <v>165586787.00999999</v>
      </c>
    </row>
    <row r="465" spans="1:7" ht="12.6" customHeight="1" x14ac:dyDescent="0.25">
      <c r="A465" s="179" t="s">
        <v>247</v>
      </c>
      <c r="B465" s="194">
        <f>D361</f>
        <v>230662942</v>
      </c>
      <c r="C465" s="194">
        <f>CE75</f>
        <v>230662937.81</v>
      </c>
      <c r="D465" s="194">
        <f>D463+D464</f>
        <v>230662937.91999999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4708577</v>
      </c>
      <c r="C468" s="179">
        <f>E195</f>
        <v>4708577</v>
      </c>
      <c r="D468" s="179"/>
    </row>
    <row r="469" spans="1:7" ht="12.6" customHeight="1" x14ac:dyDescent="0.25">
      <c r="A469" s="179" t="s">
        <v>333</v>
      </c>
      <c r="B469" s="179">
        <f t="shared" si="14"/>
        <v>2130330</v>
      </c>
      <c r="C469" s="179">
        <f>E196</f>
        <v>2130330</v>
      </c>
      <c r="D469" s="179"/>
    </row>
    <row r="470" spans="1:7" ht="12.6" customHeight="1" x14ac:dyDescent="0.25">
      <c r="A470" s="179" t="s">
        <v>334</v>
      </c>
      <c r="B470" s="179">
        <f t="shared" si="14"/>
        <v>73506447</v>
      </c>
      <c r="C470" s="179">
        <f>E197</f>
        <v>73506447</v>
      </c>
      <c r="D470" s="179"/>
    </row>
    <row r="471" spans="1:7" ht="12.6" customHeight="1" x14ac:dyDescent="0.25">
      <c r="A471" s="179" t="s">
        <v>494</v>
      </c>
      <c r="B471" s="179">
        <f t="shared" si="14"/>
        <v>8808918</v>
      </c>
      <c r="C471" s="179">
        <f>E198</f>
        <v>8808918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35213997</v>
      </c>
      <c r="C473" s="179">
        <f>SUM(E200:E201)</f>
        <v>35213997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566534</v>
      </c>
      <c r="C475" s="179">
        <f>E203</f>
        <v>566534</v>
      </c>
      <c r="D475" s="179"/>
    </row>
    <row r="476" spans="1:7" ht="12.6" customHeight="1" x14ac:dyDescent="0.25">
      <c r="A476" s="179" t="s">
        <v>203</v>
      </c>
      <c r="B476" s="179">
        <f>D275</f>
        <v>124934803</v>
      </c>
      <c r="C476" s="179">
        <f>E204</f>
        <v>124934803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56756341</v>
      </c>
      <c r="C478" s="179">
        <f>E217</f>
        <v>56756341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123231638</v>
      </c>
    </row>
    <row r="482" spans="1:12" ht="12.6" customHeight="1" x14ac:dyDescent="0.25">
      <c r="A482" s="180" t="s">
        <v>499</v>
      </c>
      <c r="C482" s="180">
        <f>D339</f>
        <v>123231638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134</v>
      </c>
      <c r="B493" s="259" t="str">
        <f>RIGHT('Prior Year'!C82,4)</f>
        <v>2017</v>
      </c>
      <c r="C493" s="259" t="str">
        <f>RIGHT(C82,4)</f>
        <v>2018</v>
      </c>
      <c r="D493" s="259" t="str">
        <f>RIGHT('Prior Year'!C82,4)</f>
        <v>2017</v>
      </c>
      <c r="E493" s="259" t="str">
        <f>RIGHT(C82,4)</f>
        <v>2018</v>
      </c>
      <c r="F493" s="259" t="str">
        <f>RIGHT('Prior Year'!C82,4)</f>
        <v>2017</v>
      </c>
      <c r="G493" s="259" t="str">
        <f>RIGHT(C82,4)</f>
        <v>2018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f>'Prior Year'!C71</f>
        <v>1736154.3</v>
      </c>
      <c r="C496" s="238">
        <f>C71</f>
        <v>1656514.7800000003</v>
      </c>
      <c r="D496" s="238">
        <f>'Prior Year'!C59</f>
        <v>902</v>
      </c>
      <c r="E496" s="180">
        <f>C59</f>
        <v>701</v>
      </c>
      <c r="F496" s="261">
        <f t="shared" ref="F496:G511" si="15">IF(B496=0,"",IF(D496=0,"",B496/D496))</f>
        <v>1924.7830376940133</v>
      </c>
      <c r="G496" s="262">
        <f t="shared" si="15"/>
        <v>2363.0738659058493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f>'Prior Year'!D71</f>
        <v>0</v>
      </c>
      <c r="C497" s="238">
        <f>D71</f>
        <v>0</v>
      </c>
      <c r="D497" s="238">
        <f>'Prior Year'!D59</f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f>'Prior Year'!E71</f>
        <v>6858539.3899999997</v>
      </c>
      <c r="C498" s="238">
        <f>E71</f>
        <v>6745473.9199999999</v>
      </c>
      <c r="D498" s="238">
        <f>'Prior Year'!E59</f>
        <v>7480</v>
      </c>
      <c r="E498" s="180">
        <f>E59</f>
        <v>6745</v>
      </c>
      <c r="F498" s="261">
        <f t="shared" si="15"/>
        <v>916.91703074866302</v>
      </c>
      <c r="G498" s="261">
        <f t="shared" si="15"/>
        <v>1000.0702624166049</v>
      </c>
      <c r="H498" s="263" t="str">
        <f t="shared" si="16"/>
        <v/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f>'Prior Year'!F71</f>
        <v>0</v>
      </c>
      <c r="C499" s="238">
        <f>F71</f>
        <v>0</v>
      </c>
      <c r="D499" s="238">
        <f>'Prior Year'!F59</f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f>'Prior Year'!G71</f>
        <v>0</v>
      </c>
      <c r="C500" s="238">
        <f>G71</f>
        <v>0</v>
      </c>
      <c r="D500" s="238">
        <f>'Prior Year'!G59</f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f>'Prior Year'!H71</f>
        <v>0</v>
      </c>
      <c r="C501" s="238">
        <f>H71</f>
        <v>0</v>
      </c>
      <c r="D501" s="238">
        <f>'Prior Year'!H59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f>'Prior Year'!I71</f>
        <v>0</v>
      </c>
      <c r="C502" s="238">
        <f>I71</f>
        <v>0</v>
      </c>
      <c r="D502" s="238">
        <f>'Prior Year'!I59</f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f>'Prior Year'!J71</f>
        <v>14532.55</v>
      </c>
      <c r="C503" s="238">
        <f>J71</f>
        <v>14705.18</v>
      </c>
      <c r="D503" s="238">
        <f>'Prior Year'!J59</f>
        <v>839</v>
      </c>
      <c r="E503" s="180">
        <f>J59</f>
        <v>704</v>
      </c>
      <c r="F503" s="261">
        <f t="shared" si="15"/>
        <v>17.321275327771154</v>
      </c>
      <c r="G503" s="261">
        <f t="shared" si="15"/>
        <v>20.888039772727272</v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f>'Prior Year'!K71</f>
        <v>0</v>
      </c>
      <c r="C504" s="238">
        <f>K71</f>
        <v>0</v>
      </c>
      <c r="D504" s="238">
        <f>'Prior Year'!K59</f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f>'Prior Year'!L71</f>
        <v>0</v>
      </c>
      <c r="C505" s="238">
        <f>L71</f>
        <v>0</v>
      </c>
      <c r="D505" s="238">
        <f>'Prior Year'!L59</f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f>'Prior Year'!M71</f>
        <v>0</v>
      </c>
      <c r="C506" s="238">
        <f>M71</f>
        <v>0</v>
      </c>
      <c r="D506" s="238">
        <f>'Prior Year'!M59</f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f>'Prior Year'!N71</f>
        <v>0</v>
      </c>
      <c r="C507" s="238">
        <f>N71</f>
        <v>0</v>
      </c>
      <c r="D507" s="238">
        <f>'Prior Year'!N59</f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f>'Prior Year'!O71</f>
        <v>2351115.4599999995</v>
      </c>
      <c r="C508" s="238">
        <f>O71</f>
        <v>2336072.2799999998</v>
      </c>
      <c r="D508" s="238">
        <f>'Prior Year'!O59</f>
        <v>2263</v>
      </c>
      <c r="E508" s="180">
        <f>O59</f>
        <v>2149</v>
      </c>
      <c r="F508" s="261">
        <f t="shared" si="15"/>
        <v>1038.937454706142</v>
      </c>
      <c r="G508" s="261">
        <f t="shared" si="15"/>
        <v>1087.0508515588645</v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f>'Prior Year'!P71</f>
        <v>15518665.739999998</v>
      </c>
      <c r="C509" s="238">
        <f>P71</f>
        <v>18127108.219999995</v>
      </c>
      <c r="D509" s="238">
        <f>'Prior Year'!P59</f>
        <v>350652</v>
      </c>
      <c r="E509" s="180">
        <f>P59</f>
        <v>385376</v>
      </c>
      <c r="F509" s="261">
        <f t="shared" si="15"/>
        <v>44.25660124567947</v>
      </c>
      <c r="G509" s="261">
        <f t="shared" si="15"/>
        <v>47.037460090924178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f>'Prior Year'!Q71</f>
        <v>1385717.17</v>
      </c>
      <c r="C510" s="238">
        <f>Q71</f>
        <v>1351171.55</v>
      </c>
      <c r="D510" s="238">
        <f>'Prior Year'!Q59</f>
        <v>238166</v>
      </c>
      <c r="E510" s="180">
        <f>Q59</f>
        <v>255979</v>
      </c>
      <c r="F510" s="261">
        <f t="shared" si="15"/>
        <v>5.818282920316082</v>
      </c>
      <c r="G510" s="261">
        <f t="shared" si="15"/>
        <v>5.278446864781877</v>
      </c>
      <c r="H510" s="263" t="str">
        <f t="shared" si="16"/>
        <v/>
      </c>
      <c r="I510" s="265"/>
      <c r="K510" s="259"/>
      <c r="L510" s="259"/>
    </row>
    <row r="511" spans="1:12" ht="12.6" customHeight="1" x14ac:dyDescent="0.25">
      <c r="A511" s="180" t="s">
        <v>527</v>
      </c>
      <c r="B511" s="238">
        <f>'Prior Year'!R71</f>
        <v>428897.43</v>
      </c>
      <c r="C511" s="238">
        <f>R71</f>
        <v>423279.89</v>
      </c>
      <c r="D511" s="238">
        <f>'Prior Year'!R59</f>
        <v>350652</v>
      </c>
      <c r="E511" s="180">
        <f>R59</f>
        <v>385376</v>
      </c>
      <c r="F511" s="261">
        <f t="shared" si="15"/>
        <v>1.2231426884774648</v>
      </c>
      <c r="G511" s="261">
        <f t="shared" si="15"/>
        <v>1.0983556059536661</v>
      </c>
      <c r="H511" s="263" t="str">
        <f t="shared" si="16"/>
        <v/>
      </c>
      <c r="I511" s="265"/>
      <c r="K511" s="259"/>
      <c r="L511" s="259"/>
    </row>
    <row r="512" spans="1:12" ht="12.6" customHeight="1" x14ac:dyDescent="0.25">
      <c r="A512" s="180" t="s">
        <v>528</v>
      </c>
      <c r="B512" s="238">
        <f>'Prior Year'!S71</f>
        <v>655686.31000000006</v>
      </c>
      <c r="C512" s="238">
        <f>S71</f>
        <v>635214.39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f>'Prior Year'!T71</f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f>'Prior Year'!U71</f>
        <v>4759189.24</v>
      </c>
      <c r="C514" s="238">
        <f>U71</f>
        <v>4749081.2700000005</v>
      </c>
      <c r="D514" s="238">
        <f>'Prior Year'!U59</f>
        <v>265998</v>
      </c>
      <c r="E514" s="180">
        <f>U59</f>
        <v>237844</v>
      </c>
      <c r="F514" s="261">
        <f t="shared" si="17"/>
        <v>17.891823397168402</v>
      </c>
      <c r="G514" s="261">
        <f t="shared" si="17"/>
        <v>19.967210734767328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f>'Prior Year'!V71</f>
        <v>62657.58</v>
      </c>
      <c r="C515" s="238">
        <f>V71</f>
        <v>114735.15000000001</v>
      </c>
      <c r="D515" s="238">
        <f>'Prior Year'!V59</f>
        <v>6573</v>
      </c>
      <c r="E515" s="180">
        <f>V59</f>
        <v>5896</v>
      </c>
      <c r="F515" s="261">
        <f t="shared" si="17"/>
        <v>9.5325696029210416</v>
      </c>
      <c r="G515" s="261">
        <f t="shared" si="17"/>
        <v>19.459828697421983</v>
      </c>
      <c r="H515" s="263">
        <f t="shared" si="16"/>
        <v>1.0414043125852399</v>
      </c>
      <c r="I515" s="265" t="s">
        <v>1279</v>
      </c>
      <c r="K515" s="259"/>
      <c r="L515" s="259"/>
    </row>
    <row r="516" spans="1:12" ht="12.6" customHeight="1" x14ac:dyDescent="0.25">
      <c r="A516" s="180" t="s">
        <v>532</v>
      </c>
      <c r="B516" s="238">
        <f>'Prior Year'!W71</f>
        <v>401911.07</v>
      </c>
      <c r="C516" s="238">
        <f>W71</f>
        <v>463085.75</v>
      </c>
      <c r="D516" s="238">
        <f>'Prior Year'!W59</f>
        <v>4492</v>
      </c>
      <c r="E516" s="180">
        <f>W59</f>
        <v>4439</v>
      </c>
      <c r="F516" s="261">
        <f t="shared" si="17"/>
        <v>89.472633570792524</v>
      </c>
      <c r="G516" s="261">
        <f t="shared" si="17"/>
        <v>104.32208830817751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f>'Prior Year'!X71</f>
        <v>608156.40999999992</v>
      </c>
      <c r="C517" s="238">
        <f>X71</f>
        <v>708984.35</v>
      </c>
      <c r="D517" s="238">
        <f>'Prior Year'!X59</f>
        <v>10003</v>
      </c>
      <c r="E517" s="180">
        <f>X59</f>
        <v>9980</v>
      </c>
      <c r="F517" s="261">
        <f t="shared" si="17"/>
        <v>60.797401779466149</v>
      </c>
      <c r="G517" s="261">
        <f t="shared" si="17"/>
        <v>71.040516032064133</v>
      </c>
      <c r="H517" s="263" t="str">
        <f t="shared" si="16"/>
        <v/>
      </c>
      <c r="I517" s="265"/>
      <c r="K517" s="259"/>
      <c r="L517" s="259"/>
    </row>
    <row r="518" spans="1:12" ht="12.6" customHeight="1" x14ac:dyDescent="0.25">
      <c r="A518" s="180" t="s">
        <v>534</v>
      </c>
      <c r="B518" s="238">
        <f>'Prior Year'!Y71</f>
        <v>3539169.6300000004</v>
      </c>
      <c r="C518" s="238">
        <f>Y71</f>
        <v>3737306.05</v>
      </c>
      <c r="D518" s="238">
        <f>'Prior Year'!Y59</f>
        <v>33623</v>
      </c>
      <c r="E518" s="180">
        <f>Y59</f>
        <v>32914</v>
      </c>
      <c r="F518" s="261">
        <f t="shared" si="17"/>
        <v>105.26037623055647</v>
      </c>
      <c r="G518" s="261">
        <f t="shared" si="17"/>
        <v>113.54761043932672</v>
      </c>
      <c r="H518" s="263" t="str">
        <f t="shared" si="16"/>
        <v/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f>'Prior Year'!Z71</f>
        <v>1937698.79</v>
      </c>
      <c r="C519" s="238">
        <f>Z71</f>
        <v>1584523.74</v>
      </c>
      <c r="D519" s="238">
        <f>'Prior Year'!Z59</f>
        <v>13182</v>
      </c>
      <c r="E519" s="180">
        <f>Z59</f>
        <v>10854</v>
      </c>
      <c r="F519" s="261">
        <f t="shared" si="17"/>
        <v>146.9958117129419</v>
      </c>
      <c r="G519" s="261">
        <f t="shared" si="17"/>
        <v>145.98523493642895</v>
      </c>
      <c r="H519" s="263" t="str">
        <f t="shared" si="16"/>
        <v/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f>'Prior Year'!AA71</f>
        <v>396761.97</v>
      </c>
      <c r="C520" s="238">
        <f>AA71</f>
        <v>424170.69999999995</v>
      </c>
      <c r="D520" s="238">
        <f>'Prior Year'!AA59</f>
        <v>1067</v>
      </c>
      <c r="E520" s="180">
        <f>AA59</f>
        <v>967</v>
      </c>
      <c r="F520" s="261">
        <f t="shared" si="17"/>
        <v>371.84814432989685</v>
      </c>
      <c r="G520" s="261">
        <f t="shared" si="17"/>
        <v>438.64601861427087</v>
      </c>
      <c r="H520" s="263" t="str">
        <f t="shared" si="16"/>
        <v/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f>'Prior Year'!AB71</f>
        <v>8555873.6699999999</v>
      </c>
      <c r="C521" s="238">
        <f>AB71</f>
        <v>7368687.0699999994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f>'Prior Year'!AC71</f>
        <v>1099820.8</v>
      </c>
      <c r="C522" s="238">
        <f>AC71</f>
        <v>1122671.21</v>
      </c>
      <c r="D522" s="238">
        <f>'Prior Year'!AC59</f>
        <v>11543</v>
      </c>
      <c r="E522" s="180">
        <f>AC59</f>
        <v>12001</v>
      </c>
      <c r="F522" s="261">
        <f t="shared" si="17"/>
        <v>95.280325738542842</v>
      </c>
      <c r="G522" s="261">
        <f t="shared" si="17"/>
        <v>93.548138488459287</v>
      </c>
      <c r="H522" s="263" t="str">
        <f t="shared" si="16"/>
        <v/>
      </c>
      <c r="I522" s="265"/>
      <c r="K522" s="259"/>
      <c r="L522" s="259"/>
    </row>
    <row r="523" spans="1:12" ht="12.6" customHeight="1" x14ac:dyDescent="0.25">
      <c r="A523" s="180" t="s">
        <v>539</v>
      </c>
      <c r="B523" s="238">
        <f>'Prior Year'!AD71</f>
        <v>0</v>
      </c>
      <c r="C523" s="238">
        <f>AD71</f>
        <v>0</v>
      </c>
      <c r="D523" s="238">
        <f>'Prior Year'!AD59</f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f>'Prior Year'!AE71</f>
        <v>1973885.96</v>
      </c>
      <c r="C524" s="238">
        <f>AE71</f>
        <v>1828937.13</v>
      </c>
      <c r="D524" s="238">
        <f>'Prior Year'!AE59</f>
        <v>19062</v>
      </c>
      <c r="E524" s="180">
        <f>AE59</f>
        <v>16203</v>
      </c>
      <c r="F524" s="261">
        <f t="shared" si="17"/>
        <v>103.55083202182352</v>
      </c>
      <c r="G524" s="261">
        <f t="shared" si="17"/>
        <v>112.87645065728569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f>'Prior Year'!AF71</f>
        <v>0</v>
      </c>
      <c r="C525" s="238">
        <f>AF71</f>
        <v>0</v>
      </c>
      <c r="D525" s="238">
        <f>'Prior Year'!AF59</f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f>'Prior Year'!AG71</f>
        <v>3434075.7500000005</v>
      </c>
      <c r="C526" s="238">
        <f>AG71</f>
        <v>3477180.0400000005</v>
      </c>
      <c r="D526" s="238">
        <f>'Prior Year'!AG59</f>
        <v>17631</v>
      </c>
      <c r="E526" s="180">
        <f>AG59</f>
        <v>17418</v>
      </c>
      <c r="F526" s="261">
        <f t="shared" si="17"/>
        <v>194.77487096591233</v>
      </c>
      <c r="G526" s="261">
        <f t="shared" si="17"/>
        <v>199.63141807325758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f>'Prior Year'!AH71</f>
        <v>171424.32</v>
      </c>
      <c r="C527" s="238">
        <f>AH71</f>
        <v>57296.07</v>
      </c>
      <c r="D527" s="238">
        <f>'Prior Year'!AH59</f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f>'Prior Year'!AI71</f>
        <v>1040031.79</v>
      </c>
      <c r="C528" s="238">
        <f>AI71</f>
        <v>1144900.54</v>
      </c>
      <c r="D528" s="238">
        <f>'Prior Year'!AI59</f>
        <v>440</v>
      </c>
      <c r="E528" s="180">
        <f>AI59</f>
        <v>524</v>
      </c>
      <c r="F528" s="261">
        <f t="shared" ref="F528:G540" si="18">IF(B528=0,"",IF(D528=0,"",B528/D528))</f>
        <v>2363.7086136363637</v>
      </c>
      <c r="G528" s="261">
        <f t="shared" si="18"/>
        <v>2184.9246946564886</v>
      </c>
      <c r="H528" s="263" t="str">
        <f t="shared" si="16"/>
        <v/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f>'Prior Year'!AJ71</f>
        <v>13673075.219999997</v>
      </c>
      <c r="C529" s="238">
        <f>AJ71</f>
        <v>13462715.880000001</v>
      </c>
      <c r="D529" s="238">
        <f>'Prior Year'!AJ59</f>
        <v>66110</v>
      </c>
      <c r="E529" s="180">
        <f>AJ59</f>
        <v>57892</v>
      </c>
      <c r="F529" s="261">
        <f t="shared" si="18"/>
        <v>206.82310119497802</v>
      </c>
      <c r="G529" s="261">
        <f t="shared" si="18"/>
        <v>232.5488129620673</v>
      </c>
      <c r="H529" s="263" t="str">
        <f t="shared" si="16"/>
        <v/>
      </c>
      <c r="I529" s="265"/>
      <c r="K529" s="259"/>
      <c r="L529" s="259"/>
    </row>
    <row r="530" spans="1:12" ht="12.6" customHeight="1" x14ac:dyDescent="0.25">
      <c r="A530" s="180" t="s">
        <v>546</v>
      </c>
      <c r="B530" s="238">
        <f>'Prior Year'!AK71</f>
        <v>0</v>
      </c>
      <c r="C530" s="238">
        <f>AK71</f>
        <v>0</v>
      </c>
      <c r="D530" s="238">
        <f>'Prior Year'!AK59</f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f>'Prior Year'!AL71</f>
        <v>269294.51999999996</v>
      </c>
      <c r="C531" s="238">
        <f>AL71</f>
        <v>286930.59999999998</v>
      </c>
      <c r="D531" s="238">
        <f>'Prior Year'!AL59</f>
        <v>2783</v>
      </c>
      <c r="E531" s="180">
        <f>AL59</f>
        <v>2687</v>
      </c>
      <c r="F531" s="261">
        <f t="shared" si="18"/>
        <v>96.764110671936749</v>
      </c>
      <c r="G531" s="261">
        <f t="shared" si="18"/>
        <v>106.78474134722738</v>
      </c>
      <c r="H531" s="263" t="str">
        <f t="shared" si="16"/>
        <v/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f>'Prior Year'!AM71</f>
        <v>0</v>
      </c>
      <c r="C532" s="238">
        <f>AM71</f>
        <v>0</v>
      </c>
      <c r="D532" s="238">
        <f>'Prior Year'!AM59</f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f>'Prior Year'!AN71</f>
        <v>0</v>
      </c>
      <c r="C533" s="238">
        <f>AN71</f>
        <v>0</v>
      </c>
      <c r="D533" s="238">
        <f>'Prior Year'!AN59</f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f>'Prior Year'!AO71</f>
        <v>0</v>
      </c>
      <c r="C534" s="238">
        <f>AO71</f>
        <v>0</v>
      </c>
      <c r="D534" s="238">
        <f>'Prior Year'!AO59</f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f>'Prior Year'!AP71</f>
        <v>10685.099999999999</v>
      </c>
      <c r="C535" s="238">
        <f>AP71</f>
        <v>12911.89</v>
      </c>
      <c r="D535" s="238">
        <f>'Prior Year'!AP59</f>
        <v>511.83</v>
      </c>
      <c r="E535" s="180">
        <f>AP59</f>
        <v>508.24</v>
      </c>
      <c r="F535" s="261">
        <f t="shared" si="18"/>
        <v>20.876267510696909</v>
      </c>
      <c r="G535" s="261">
        <f t="shared" si="18"/>
        <v>25.405103887926963</v>
      </c>
      <c r="H535" s="263" t="str">
        <f t="shared" si="16"/>
        <v/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f>'Prior Year'!AQ71</f>
        <v>0</v>
      </c>
      <c r="C536" s="238">
        <f>AQ71</f>
        <v>0</v>
      </c>
      <c r="D536" s="238">
        <f>'Prior Year'!AQ59</f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f>'Prior Year'!AR71</f>
        <v>1198294.52</v>
      </c>
      <c r="C537" s="238">
        <f>AR71</f>
        <v>40.07</v>
      </c>
      <c r="D537" s="238">
        <f>'Prior Year'!AR59</f>
        <v>4781</v>
      </c>
      <c r="E537" s="180">
        <f>AR59</f>
        <v>0</v>
      </c>
      <c r="F537" s="261">
        <f t="shared" si="18"/>
        <v>250.63679564944573</v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f>'Prior Year'!AS71</f>
        <v>0</v>
      </c>
      <c r="C538" s="238">
        <f>AS71</f>
        <v>0</v>
      </c>
      <c r="D538" s="238">
        <f>'Prior Year'!AS59</f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f>'Prior Year'!AT71</f>
        <v>0</v>
      </c>
      <c r="C539" s="238">
        <f>AT71</f>
        <v>0</v>
      </c>
      <c r="D539" s="238">
        <f>'Prior Year'!AT59</f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f>'Prior Year'!AU71</f>
        <v>0</v>
      </c>
      <c r="C540" s="238">
        <f>AU71</f>
        <v>0</v>
      </c>
      <c r="D540" s="238">
        <f>'Prior Year'!AU59</f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f>'Prior Year'!AV71</f>
        <v>-120397.66</v>
      </c>
      <c r="C541" s="238">
        <f>AV71</f>
        <v>-29386.42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f>'Prior Year'!AW71</f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f>'Prior Year'!AX71</f>
        <v>225428.19</v>
      </c>
      <c r="C543" s="238">
        <f>AX71</f>
        <v>187117.6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f>'Prior Year'!AY71</f>
        <v>1329019.0699999998</v>
      </c>
      <c r="C544" s="238">
        <f>AY71</f>
        <v>1355294.1900000002</v>
      </c>
      <c r="D544" s="238">
        <f>'Prior Year'!AY59</f>
        <v>206545</v>
      </c>
      <c r="E544" s="180">
        <f>AY59</f>
        <v>201221</v>
      </c>
      <c r="F544" s="261">
        <f t="shared" ref="F544:G550" si="19">IF(B544=0,"",IF(D544=0,"",B544/D544))</f>
        <v>6.4345255029170394</v>
      </c>
      <c r="G544" s="261">
        <f t="shared" si="19"/>
        <v>6.7353516283091732</v>
      </c>
      <c r="H544" s="263" t="str">
        <f t="shared" si="16"/>
        <v/>
      </c>
      <c r="I544" s="265"/>
      <c r="K544" s="259"/>
      <c r="L544" s="259"/>
    </row>
    <row r="545" spans="1:13" ht="12.6" customHeight="1" x14ac:dyDescent="0.25">
      <c r="A545" s="180" t="s">
        <v>559</v>
      </c>
      <c r="B545" s="238">
        <f>'Prior Year'!AZ71</f>
        <v>0</v>
      </c>
      <c r="C545" s="238">
        <f>AZ71</f>
        <v>0</v>
      </c>
      <c r="D545" s="238">
        <f>'Prior Year'!AZ59</f>
        <v>0</v>
      </c>
      <c r="E545" s="180">
        <f>AZ59</f>
        <v>0</v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" customHeight="1" x14ac:dyDescent="0.25">
      <c r="A546" s="180" t="s">
        <v>560</v>
      </c>
      <c r="B546" s="238">
        <f>'Prior Year'!BA71</f>
        <v>276772.47999999998</v>
      </c>
      <c r="C546" s="238">
        <f>BA71</f>
        <v>272971.66000000003</v>
      </c>
      <c r="D546" s="238">
        <f>'Prior Year'!BA59</f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f>'Prior Year'!BB71</f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f>'Prior Year'!BC71</f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f>'Prior Year'!BD71</f>
        <v>715496.73</v>
      </c>
      <c r="C549" s="238">
        <f>BD71</f>
        <v>720535.07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f>'Prior Year'!BE71</f>
        <v>2032130.34</v>
      </c>
      <c r="C550" s="238">
        <f>BE71</f>
        <v>2054322.7799999998</v>
      </c>
      <c r="D550" s="238">
        <f>'Prior Year'!BE59</f>
        <v>205925</v>
      </c>
      <c r="E550" s="180">
        <f>BE59</f>
        <v>205935</v>
      </c>
      <c r="F550" s="261">
        <f t="shared" si="19"/>
        <v>9.868303217190725</v>
      </c>
      <c r="G550" s="261">
        <f t="shared" si="19"/>
        <v>9.9755883167018702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f>'Prior Year'!BF71</f>
        <v>1953535.9200000002</v>
      </c>
      <c r="C551" s="238">
        <f>BF71</f>
        <v>1763830.35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f>'Prior Year'!BG71</f>
        <v>0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f>'Prior Year'!BH71</f>
        <v>2747781.8600000003</v>
      </c>
      <c r="C553" s="238">
        <f>BH71</f>
        <v>3443802.49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f>'Prior Year'!BI71</f>
        <v>0</v>
      </c>
      <c r="C554" s="238">
        <f>BI71</f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f>'Prior Year'!BJ71</f>
        <v>520689.15</v>
      </c>
      <c r="C555" s="238">
        <f>BJ71</f>
        <v>675237.88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f>'Prior Year'!BK71</f>
        <v>1741596.1599999997</v>
      </c>
      <c r="C556" s="238">
        <f>BK71</f>
        <v>1799787.05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f>'Prior Year'!BL71</f>
        <v>1738028.4599999997</v>
      </c>
      <c r="C557" s="238">
        <f>BL71</f>
        <v>1867451.38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f>'Prior Year'!BM71</f>
        <v>0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f>'Prior Year'!BN71</f>
        <v>2073055.9800000002</v>
      </c>
      <c r="C559" s="238">
        <f>BN71</f>
        <v>2234095.9300000002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f>'Prior Year'!BO71</f>
        <v>128113.34999999999</v>
      </c>
      <c r="C560" s="238">
        <f>BO71</f>
        <v>160243.18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f>'Prior Year'!BP71</f>
        <v>482936.94</v>
      </c>
      <c r="C561" s="238">
        <f>BP71</f>
        <v>490576.35000000003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f>'Prior Year'!BQ71</f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f>'Prior Year'!BR71</f>
        <v>727798.55999999994</v>
      </c>
      <c r="C563" s="238">
        <f>BR71</f>
        <v>763024.28999999992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f>'Prior Year'!BS71</f>
        <v>78490.989999999991</v>
      </c>
      <c r="C564" s="238">
        <f>BS71</f>
        <v>79397.570000000007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f>'Prior Year'!BT71</f>
        <v>10739.15</v>
      </c>
      <c r="C565" s="238">
        <f>BT71</f>
        <v>-1252.83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f>'Prior Year'!BU71</f>
        <v>25685.51</v>
      </c>
      <c r="C566" s="238">
        <f>BU71</f>
        <v>24744.67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f>'Prior Year'!BV71</f>
        <v>812878.2899999998</v>
      </c>
      <c r="C567" s="238">
        <f>BV71</f>
        <v>780489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f>'Prior Year'!BW71</f>
        <v>117688.94999999998</v>
      </c>
      <c r="C568" s="238">
        <f>BW71</f>
        <v>119150.24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f>'Prior Year'!BX71</f>
        <v>687518.96999999986</v>
      </c>
      <c r="C569" s="238">
        <f>BX71</f>
        <v>780382.13000000012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f>'Prior Year'!BY71</f>
        <v>277944.00999999995</v>
      </c>
      <c r="C570" s="238">
        <f>BY71</f>
        <v>348505.89999999997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f>'Prior Year'!BZ71</f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f>'Prior Year'!CA71</f>
        <v>0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f>'Prior Year'!CB71</f>
        <v>28833.599999999991</v>
      </c>
      <c r="C573" s="238">
        <f>CB71</f>
        <v>35746.99000000002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f>'Prior Year'!CC71</f>
        <v>3338249.73</v>
      </c>
      <c r="C574" s="238">
        <f>CC71</f>
        <v>4104359.5900000003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f>'Prior Year'!CD71</f>
        <v>0</v>
      </c>
      <c r="C575" s="238">
        <f>CD71</f>
        <v>0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194122</v>
      </c>
      <c r="E612" s="180">
        <f>SUM(C624:D647)+SUM(C668:D713)</f>
        <v>87614208.12158972</v>
      </c>
      <c r="F612" s="180">
        <f>CE64-(AX64+BD64+BE64+BG64+BJ64+BN64+BP64+BQ64+CB64+CC64+CD64)</f>
        <v>23306833.470000006</v>
      </c>
      <c r="G612" s="180">
        <f>CE77-(AX77+AY77+BD77+BE77+BG77+BJ77+BN77+BP77+BQ77+CB77+CC77+CD77)</f>
        <v>26283</v>
      </c>
      <c r="H612" s="197">
        <f>CE60-(AX60+AY60+AZ60+BD60+BE60+BG60+BJ60+BN60+BO60+BP60+BQ60+BR60+CB60+CC60+CD60)</f>
        <v>490.41000000000008</v>
      </c>
      <c r="I612" s="180">
        <f>CE78-(AX78+AY78+AZ78+BD78+BE78+BF78+BG78+BJ78+BN78+BO78+BP78+BQ78+BR78+CB78+CC78+CD78)</f>
        <v>132143</v>
      </c>
      <c r="J612" s="180">
        <f>CE79-(AX79+AY79+AZ79+BA79+BD79+BE79+BF79+BG79+BJ79+BN79+BO79+BP79+BQ79+BR79+CB79+CC79+CD79)</f>
        <v>462737</v>
      </c>
      <c r="K612" s="180">
        <f>CE75-(AW75+AX75+AY75+AZ75+BA75+BB75+BC75+BD75+BE75+BF75+BG75+BH75+BI75+BJ75+BK75+BL75+BM75+BN75+BO75+BP75+BQ75+BR75+BS75+BT75+BU75+BV75+BW75+BX75+CB75+CC75+CD75)</f>
        <v>230662937.81</v>
      </c>
      <c r="L612" s="197">
        <f>CE80-(AW80+AX80+AY80+AZ80+BA80+BB80+BC80+BD80+BE80+BF80+BG80+BH80+BI80+BJ80+BK80+BL80+BM80+BN80+BO80+BP80+BQ80+BR80+BS80+BT80+BU80+BV80+BW80+BX80+BY80+BZ80+CA80+CB80+CC80+CD80)</f>
        <v>113.24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2054322.7799999998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0</v>
      </c>
      <c r="D615" s="264">
        <f>SUM(C614:C615)</f>
        <v>2054322.7799999998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187117.6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675237.88</v>
      </c>
      <c r="D617" s="180">
        <f>(D615/D612)*BJ76</f>
        <v>13133.053285974798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2234095.9300000002</v>
      </c>
      <c r="D619" s="180">
        <f>(D615/D612)*BN76</f>
        <v>17217.951407156324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4104359.5900000003</v>
      </c>
      <c r="D620" s="180">
        <f>(D615/D612)*CC76</f>
        <v>484261.49747478386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490576.35000000003</v>
      </c>
      <c r="D621" s="180">
        <f>(D615/D612)*BP76</f>
        <v>1365.1602529337219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35746.99000000002</v>
      </c>
      <c r="D622" s="180">
        <f>(D615/D612)*CB76</f>
        <v>6804.6359894293273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8249916.6384102786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720535.07</v>
      </c>
      <c r="D624" s="180">
        <f>(D615/D612)*BD76</f>
        <v>50701.416835701253</v>
      </c>
      <c r="E624" s="180">
        <f>(E623/E612)*SUM(C624:D624)</f>
        <v>72621.060685328179</v>
      </c>
      <c r="F624" s="180">
        <f>SUM(C624:E624)</f>
        <v>843857.54752102937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1355294.1900000002</v>
      </c>
      <c r="D625" s="180">
        <f>(D615/D612)*AY76</f>
        <v>44468.243277732559</v>
      </c>
      <c r="E625" s="180">
        <f>(E623/E612)*SUM(C625:D625)</f>
        <v>131804.2317074142</v>
      </c>
      <c r="F625" s="180">
        <f>(F624/F612)*AY64</f>
        <v>19357.496189249701</v>
      </c>
      <c r="G625" s="180">
        <f>SUM(C625:F625)</f>
        <v>1550924.1611743965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763024.28999999992</v>
      </c>
      <c r="D626" s="180">
        <f>(D615/D612)*BR76</f>
        <v>12625.086680232018</v>
      </c>
      <c r="E626" s="180">
        <f>(E623/E612)*SUM(C626:D626)</f>
        <v>73036.586592967986</v>
      </c>
      <c r="F626" s="180">
        <f>(F624/F612)*BR64</f>
        <v>238.57113497237725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160243.18</v>
      </c>
      <c r="D627" s="180">
        <f>(D615/D612)*BO76</f>
        <v>0</v>
      </c>
      <c r="E627" s="180">
        <f>(E623/E612)*SUM(C627:D627)</f>
        <v>15088.795587116767</v>
      </c>
      <c r="F627" s="180">
        <f>(F624/F612)*BO64</f>
        <v>937.24108077457277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1025193.7510760636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1763830.35</v>
      </c>
      <c r="D629" s="180">
        <f>(D615/D612)*BF76</f>
        <v>25324.251823801525</v>
      </c>
      <c r="E629" s="180">
        <f>(E623/E612)*SUM(C629:D629)</f>
        <v>168470.12185272807</v>
      </c>
      <c r="F629" s="180">
        <f>(F624/F612)*BF64</f>
        <v>7919.55014546643</v>
      </c>
      <c r="G629" s="180">
        <f>(G625/G612)*BF77</f>
        <v>0</v>
      </c>
      <c r="H629" s="180">
        <f>(H628/H612)*BF60</f>
        <v>58115.42643892776</v>
      </c>
      <c r="I629" s="180">
        <f>SUM(C629:H629)</f>
        <v>2023659.7002609237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272971.66000000003</v>
      </c>
      <c r="D630" s="180">
        <f>(D615/D612)*BA76</f>
        <v>3037.2169968370404</v>
      </c>
      <c r="E630" s="180">
        <f>(E623/E612)*SUM(C630:D630)</f>
        <v>25989.508728140132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4395.1653434149757</v>
      </c>
      <c r="J630" s="180">
        <f>SUM(C630:I630)</f>
        <v>306393.55106839223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1799787.05</v>
      </c>
      <c r="D635" s="180">
        <f>(D615/D612)*BK76</f>
        <v>36425.438686805202</v>
      </c>
      <c r="E635" s="180">
        <f>(E623/E612)*SUM(C635:D635)</f>
        <v>172901.179921081</v>
      </c>
      <c r="F635" s="180">
        <f>(F624/F612)*BK64</f>
        <v>939.79327297182363</v>
      </c>
      <c r="G635" s="180">
        <f>(G625/G612)*BK77</f>
        <v>0</v>
      </c>
      <c r="H635" s="180">
        <f>(H628/H612)*BK60</f>
        <v>48227.442012448322</v>
      </c>
      <c r="I635" s="180">
        <f>(I629/I612)*BK78</f>
        <v>52711.355791060436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3443802.49</v>
      </c>
      <c r="D636" s="180">
        <f>(D615/D612)*BH76</f>
        <v>18837.094962961437</v>
      </c>
      <c r="E636" s="180">
        <f>(E623/E612)*SUM(C636:D636)</f>
        <v>326048.57747683849</v>
      </c>
      <c r="F636" s="180">
        <f>(F624/F612)*BH64</f>
        <v>704.75986958681153</v>
      </c>
      <c r="G636" s="180">
        <f>(G625/G612)*BH77</f>
        <v>0</v>
      </c>
      <c r="H636" s="180">
        <f>(H628/H612)*BH60</f>
        <v>28263.329692600837</v>
      </c>
      <c r="I636" s="180">
        <f>(I629/I612)*BH78</f>
        <v>27259.213628148627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1867451.38</v>
      </c>
      <c r="D637" s="180">
        <f>(D615/D612)*BL76</f>
        <v>128314.48113815022</v>
      </c>
      <c r="E637" s="180">
        <f>(E623/E612)*SUM(C637:D637)</f>
        <v>187925.02194763994</v>
      </c>
      <c r="F637" s="180">
        <f>(F624/F612)*BL64</f>
        <v>2004.6533772842267</v>
      </c>
      <c r="G637" s="180">
        <f>(G625/G612)*BL77</f>
        <v>0</v>
      </c>
      <c r="H637" s="180">
        <f>(H628/H612)*BL60</f>
        <v>59578.7645147281</v>
      </c>
      <c r="I637" s="180">
        <f>(I629/I612)*BL78</f>
        <v>185684.25013556299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79397.570000000007</v>
      </c>
      <c r="D639" s="180">
        <f>(D615/D612)*BS76</f>
        <v>11926.632597335694</v>
      </c>
      <c r="E639" s="180">
        <f>(E623/E612)*SUM(C639:D639)</f>
        <v>8599.2566120295214</v>
      </c>
      <c r="F639" s="180">
        <f>(F624/F612)*BS64</f>
        <v>30.704874349248474</v>
      </c>
      <c r="G639" s="180">
        <f>(G625/G612)*BS77</f>
        <v>0</v>
      </c>
      <c r="H639" s="180">
        <f>(H628/H612)*BS60</f>
        <v>2111.3877950833466</v>
      </c>
      <c r="I639" s="180">
        <f>(I629/I612)*BS78</f>
        <v>17259.063909507586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-1252.83</v>
      </c>
      <c r="D640" s="180">
        <f>(D615/D612)*BT76</f>
        <v>4137.8113092797312</v>
      </c>
      <c r="E640" s="180">
        <f>(E623/E612)*SUM(C640:D640)</f>
        <v>271.65520085394189</v>
      </c>
      <c r="F640" s="180">
        <f>(F624/F612)*BT64</f>
        <v>7.3643905932871174</v>
      </c>
      <c r="G640" s="180">
        <f>(G625/G612)*BT77</f>
        <v>0</v>
      </c>
      <c r="H640" s="180">
        <f>(H628/H612)*BT60</f>
        <v>188.14346688861505</v>
      </c>
      <c r="I640" s="180">
        <f>(I629/I612)*BT78</f>
        <v>5987.8384992169176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24744.67</v>
      </c>
      <c r="D641" s="180">
        <f>(D615/D612)*BU76</f>
        <v>5905.1117917598203</v>
      </c>
      <c r="E641" s="180">
        <f>(E623/E612)*SUM(C641:D641)</f>
        <v>2886.0404058731074</v>
      </c>
      <c r="F641" s="180">
        <f>(F624/F612)*BU64</f>
        <v>0</v>
      </c>
      <c r="G641" s="180">
        <f>(G625/G612)*BU77</f>
        <v>0</v>
      </c>
      <c r="H641" s="180">
        <f>(H628/H612)*BU60</f>
        <v>752.57386755446021</v>
      </c>
      <c r="I641" s="180">
        <f>(I629/I612)*BU78</f>
        <v>8545.3040474758054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780489</v>
      </c>
      <c r="D642" s="180">
        <f>(D615/D612)*BV76</f>
        <v>15090.84124560843</v>
      </c>
      <c r="E642" s="180">
        <f>(E623/E612)*SUM(C642:D642)</f>
        <v>74913.276170541518</v>
      </c>
      <c r="F642" s="180">
        <f>(F624/F612)*BV64</f>
        <v>292.03936236934226</v>
      </c>
      <c r="G642" s="180">
        <f>(G625/G612)*BV77</f>
        <v>0</v>
      </c>
      <c r="H642" s="180">
        <f>(H628/H612)*BV60</f>
        <v>20904.829654290559</v>
      </c>
      <c r="I642" s="180">
        <f>(I629/I612)*BV78</f>
        <v>21837.999232438171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119150.24</v>
      </c>
      <c r="D643" s="180">
        <f>(D615/D612)*BW76</f>
        <v>2603.3288544317488</v>
      </c>
      <c r="E643" s="180">
        <f>(E623/E612)*SUM(C643:D643)</f>
        <v>11464.542281590189</v>
      </c>
      <c r="F643" s="180">
        <f>(F624/F612)*BW64</f>
        <v>17.045993565976278</v>
      </c>
      <c r="G643" s="180">
        <f>(G625/G612)*BW77</f>
        <v>0</v>
      </c>
      <c r="H643" s="180">
        <f>(H628/H612)*BW60</f>
        <v>2090.4829654290561</v>
      </c>
      <c r="I643" s="180">
        <f>(I629/I612)*BW78</f>
        <v>3767.2845800699788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780382.13000000012</v>
      </c>
      <c r="D644" s="180">
        <f>(D615/D612)*BX76</f>
        <v>2116.527523928251</v>
      </c>
      <c r="E644" s="180">
        <f>(E623/E612)*SUM(C644:D644)</f>
        <v>73681.527604306437</v>
      </c>
      <c r="F644" s="180">
        <f>(F624/F612)*BX64</f>
        <v>113.17735944764142</v>
      </c>
      <c r="G644" s="180">
        <f>(G625/G612)*BX77</f>
        <v>0</v>
      </c>
      <c r="H644" s="180">
        <f>(H628/H612)*BX60</f>
        <v>14988.762862126332</v>
      </c>
      <c r="I644" s="180">
        <f>(I629/I612)*BX78</f>
        <v>3062.8329919268122</v>
      </c>
      <c r="J644" s="180">
        <f>(J630/J612)*BX79</f>
        <v>0</v>
      </c>
      <c r="K644" s="180">
        <f>SUM(C631:J644)</f>
        <v>10485330.443877738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348505.89999999997</v>
      </c>
      <c r="D645" s="180">
        <f>(D615/D612)*BY76</f>
        <v>0</v>
      </c>
      <c r="E645" s="180">
        <f>(E623/E612)*SUM(C645:D645)</f>
        <v>32815.96312557051</v>
      </c>
      <c r="F645" s="180">
        <f>(F624/F612)*BY64</f>
        <v>400.24485300542921</v>
      </c>
      <c r="G645" s="180">
        <f>(G625/G612)*BY77</f>
        <v>0</v>
      </c>
      <c r="H645" s="180">
        <f>(H628/H612)*BY60</f>
        <v>4912.6349687582824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386634.74294733419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24059813.459999997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1656514.7800000003</v>
      </c>
      <c r="D668" s="180">
        <f>(D615/D612)*C76</f>
        <v>39071.098091715518</v>
      </c>
      <c r="E668" s="180">
        <f>(E623/E612)*SUM(C668:D668)</f>
        <v>159659.51695995918</v>
      </c>
      <c r="F668" s="180">
        <f>(F624/F612)*C64</f>
        <v>1858.1946929729893</v>
      </c>
      <c r="G668" s="180">
        <f>(G625/G612)*C77</f>
        <v>185582.18190060029</v>
      </c>
      <c r="H668" s="180">
        <f>(H628/H612)*C60</f>
        <v>29308.571175315366</v>
      </c>
      <c r="I668" s="180">
        <f>(I629/I612)*C78</f>
        <v>56539.897030968954</v>
      </c>
      <c r="J668" s="180">
        <f>(J630/J612)*C79</f>
        <v>27009.467826920943</v>
      </c>
      <c r="K668" s="180">
        <f>(K644/K612)*C75</f>
        <v>48436.554812769886</v>
      </c>
      <c r="L668" s="180">
        <f>(L647/L612)*C80</f>
        <v>32230.942894938489</v>
      </c>
      <c r="M668" s="180">
        <f t="shared" ref="M668:M713" si="20">ROUND(SUM(D668:L668),0)</f>
        <v>579696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6745473.9199999999</v>
      </c>
      <c r="D670" s="180">
        <f>(D615/D612)*E76</f>
        <v>245104.46990851112</v>
      </c>
      <c r="E670" s="180">
        <f>(E623/E612)*SUM(C670:D670)</f>
        <v>658245.85084398219</v>
      </c>
      <c r="F670" s="180">
        <f>(F624/F612)*E64</f>
        <v>8537.1310543736217</v>
      </c>
      <c r="G670" s="180">
        <f>(G625/G612)*E77</f>
        <v>1205369.5483890499</v>
      </c>
      <c r="H670" s="180">
        <f>(H628/H612)*E60</f>
        <v>125282.64411816333</v>
      </c>
      <c r="I670" s="180">
        <f>(I629/I612)*E78</f>
        <v>354691.37463008449</v>
      </c>
      <c r="J670" s="180">
        <f>(J630/J612)*E79</f>
        <v>259884.25919678897</v>
      </c>
      <c r="K670" s="180">
        <f>(K644/K612)*E75</f>
        <v>513667.48592684156</v>
      </c>
      <c r="L670" s="180">
        <f>(L647/L612)*E80</f>
        <v>102736.13047761645</v>
      </c>
      <c r="M670" s="180">
        <f t="shared" si="20"/>
        <v>3473519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14705.18</v>
      </c>
      <c r="D675" s="180">
        <f>(D615/D612)*J76</f>
        <v>0</v>
      </c>
      <c r="E675" s="180">
        <f>(E623/E612)*SUM(C675:D675)</f>
        <v>1384.6670734552183</v>
      </c>
      <c r="F675" s="180">
        <f>(F624/F612)*J64</f>
        <v>532.42226777086455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31378.404082508954</v>
      </c>
      <c r="L675" s="180">
        <f>(L647/L612)*J80</f>
        <v>0</v>
      </c>
      <c r="M675" s="180">
        <f t="shared" si="20"/>
        <v>33295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2336072.2799999998</v>
      </c>
      <c r="D680" s="180">
        <f>(D615/D612)*O76</f>
        <v>56225.553673153991</v>
      </c>
      <c r="E680" s="180">
        <f>(E623/E612)*SUM(C680:D680)</f>
        <v>225263.20930348794</v>
      </c>
      <c r="F680" s="180">
        <f>(F624/F612)*O64</f>
        <v>3804.1462014627114</v>
      </c>
      <c r="G680" s="180">
        <f>(G625/G612)*O77</f>
        <v>159972.43088474637</v>
      </c>
      <c r="H680" s="180">
        <f>(H628/H612)*O60</f>
        <v>28346.949011218003</v>
      </c>
      <c r="I680" s="180">
        <f>(I629/I612)*O78</f>
        <v>81364.158430535768</v>
      </c>
      <c r="J680" s="180">
        <f>(J630/J612)*O79</f>
        <v>1497.0832653659311</v>
      </c>
      <c r="K680" s="180">
        <f>(K644/K612)*O75</f>
        <v>135759.13197378986</v>
      </c>
      <c r="L680" s="180">
        <f>(L647/L612)*O80</f>
        <v>40322.821566655039</v>
      </c>
      <c r="M680" s="180">
        <f t="shared" si="20"/>
        <v>732555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18127108.219999995</v>
      </c>
      <c r="D681" s="180">
        <f>(D615/D612)*P76</f>
        <v>122800.92693831713</v>
      </c>
      <c r="E681" s="180">
        <f>(E623/E612)*SUM(C681:D681)</f>
        <v>1718445.3566236314</v>
      </c>
      <c r="F681" s="180">
        <f>(F624/F612)*P64</f>
        <v>450090.38351630053</v>
      </c>
      <c r="G681" s="180">
        <f>(G625/G612)*P77</f>
        <v>0</v>
      </c>
      <c r="H681" s="180">
        <f>(H628/H612)*P60</f>
        <v>62150.058562205828</v>
      </c>
      <c r="I681" s="180">
        <f>(I629/I612)*P78</f>
        <v>177705.57019159364</v>
      </c>
      <c r="J681" s="180">
        <f>(J630/J612)*P79</f>
        <v>18002.740779316362</v>
      </c>
      <c r="K681" s="180">
        <f>(K644/K612)*P75</f>
        <v>2437473.8531844211</v>
      </c>
      <c r="L681" s="180">
        <f>(L647/L612)*P80</f>
        <v>43600.544572919971</v>
      </c>
      <c r="M681" s="180">
        <f t="shared" si="20"/>
        <v>5030269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1351171.55</v>
      </c>
      <c r="D682" s="180">
        <f>(D615/D612)*Q76</f>
        <v>0</v>
      </c>
      <c r="E682" s="180">
        <f>(E623/E612)*SUM(C682:D682)</f>
        <v>127228.82384808967</v>
      </c>
      <c r="F682" s="180">
        <f>(F624/F612)*Q64</f>
        <v>1088.7762705188723</v>
      </c>
      <c r="G682" s="180">
        <f>(G625/G612)*Q77</f>
        <v>0</v>
      </c>
      <c r="H682" s="180">
        <f>(H628/H612)*Q60</f>
        <v>20800.305506019107</v>
      </c>
      <c r="I682" s="180">
        <f>(I629/I612)*Q78</f>
        <v>0</v>
      </c>
      <c r="J682" s="180">
        <f>(J630/J612)*Q79</f>
        <v>0</v>
      </c>
      <c r="K682" s="180">
        <f>(K644/K612)*Q75</f>
        <v>244142.71401653756</v>
      </c>
      <c r="L682" s="180">
        <f>(L647/L612)*Q80</f>
        <v>30626.224339787954</v>
      </c>
      <c r="M682" s="180">
        <f t="shared" si="20"/>
        <v>423887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423279.89</v>
      </c>
      <c r="D683" s="180">
        <f>(D615/D612)*R76</f>
        <v>5291.3188098206283</v>
      </c>
      <c r="E683" s="180">
        <f>(E623/E612)*SUM(C683:D683)</f>
        <v>40355.06137768185</v>
      </c>
      <c r="F683" s="180">
        <f>(F624/F612)*R64</f>
        <v>7704.1265139065426</v>
      </c>
      <c r="G683" s="180">
        <f>(G625/G612)*R77</f>
        <v>0</v>
      </c>
      <c r="H683" s="180">
        <f>(H628/H612)*R60</f>
        <v>3156.6292777978747</v>
      </c>
      <c r="I683" s="180">
        <f>(I629/I612)*R78</f>
        <v>7657.0824798170306</v>
      </c>
      <c r="J683" s="180">
        <f>(J630/J612)*R79</f>
        <v>0</v>
      </c>
      <c r="K683" s="180">
        <f>(K644/K612)*R75</f>
        <v>442447.26193065883</v>
      </c>
      <c r="L683" s="180">
        <f>(L647/L612)*R80</f>
        <v>5155.5851452708812</v>
      </c>
      <c r="M683" s="180">
        <f t="shared" si="20"/>
        <v>511767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635214.39</v>
      </c>
      <c r="D684" s="180">
        <f>(D615/D612)*S76</f>
        <v>32075.974625132647</v>
      </c>
      <c r="E684" s="180">
        <f>(E623/E612)*SUM(C684:D684)</f>
        <v>62833.300668903605</v>
      </c>
      <c r="F684" s="180">
        <f>(F624/F612)*S64</f>
        <v>4786.8781439537233</v>
      </c>
      <c r="G684" s="180">
        <f>(G625/G612)*S77</f>
        <v>0</v>
      </c>
      <c r="H684" s="180">
        <f>(H628/H612)*S60</f>
        <v>15908.575366915118</v>
      </c>
      <c r="I684" s="180">
        <f>(I629/I612)*S78</f>
        <v>46417.233992650836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162022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4749081.2700000005</v>
      </c>
      <c r="D686" s="180">
        <f>(D615/D612)*U76</f>
        <v>41695.592221386549</v>
      </c>
      <c r="E686" s="180">
        <f>(E623/E612)*SUM(C686:D686)</f>
        <v>451108.45140209515</v>
      </c>
      <c r="F686" s="180">
        <f>(F624/F612)*U64</f>
        <v>60099.677197487435</v>
      </c>
      <c r="G686" s="180">
        <f>(G625/G612)*U77</f>
        <v>0</v>
      </c>
      <c r="H686" s="180">
        <f>(H628/H612)*U60</f>
        <v>49189.064176545689</v>
      </c>
      <c r="I686" s="180">
        <f>(I629/I612)*U78</f>
        <v>60337.809940958199</v>
      </c>
      <c r="J686" s="180">
        <f>(J630/J612)*U79</f>
        <v>0</v>
      </c>
      <c r="K686" s="180">
        <f>(K644/K612)*U75</f>
        <v>904761.94504035672</v>
      </c>
      <c r="L686" s="180">
        <f>(L647/L612)*U80</f>
        <v>0</v>
      </c>
      <c r="M686" s="180">
        <f t="shared" si="20"/>
        <v>1567193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114735.15000000001</v>
      </c>
      <c r="D687" s="180">
        <f>(D615/D612)*V76</f>
        <v>105.82637619641255</v>
      </c>
      <c r="E687" s="180">
        <f>(E623/E612)*SUM(C687:D687)</f>
        <v>10813.63972910007</v>
      </c>
      <c r="F687" s="180">
        <f>(F624/F612)*V64</f>
        <v>72.860036432651569</v>
      </c>
      <c r="G687" s="180">
        <f>(G625/G612)*V77</f>
        <v>0</v>
      </c>
      <c r="H687" s="180">
        <f>(H628/H612)*V60</f>
        <v>2090.4829654290561</v>
      </c>
      <c r="I687" s="180">
        <f>(I629/I612)*V78</f>
        <v>153.14164959634061</v>
      </c>
      <c r="J687" s="180">
        <f>(J630/J612)*V79</f>
        <v>0</v>
      </c>
      <c r="K687" s="180">
        <f>(K644/K612)*V75</f>
        <v>30133.76129843391</v>
      </c>
      <c r="L687" s="180">
        <f>(L647/L612)*V80</f>
        <v>0</v>
      </c>
      <c r="M687" s="180">
        <f t="shared" si="20"/>
        <v>43370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463085.75</v>
      </c>
      <c r="D688" s="180">
        <f>(D615/D612)*W76</f>
        <v>0</v>
      </c>
      <c r="E688" s="180">
        <f>(E623/E612)*SUM(C688:D688)</f>
        <v>43605.014709871954</v>
      </c>
      <c r="F688" s="180">
        <f>(F624/F612)*W64</f>
        <v>1267.4706376075005</v>
      </c>
      <c r="G688" s="180">
        <f>(G625/G612)*W77</f>
        <v>0</v>
      </c>
      <c r="H688" s="180">
        <f>(H628/H612)*W60</f>
        <v>4369.1093977467272</v>
      </c>
      <c r="I688" s="180">
        <f>(I629/I612)*W78</f>
        <v>0</v>
      </c>
      <c r="J688" s="180">
        <f>(J630/J612)*W79</f>
        <v>0</v>
      </c>
      <c r="K688" s="180">
        <f>(K644/K612)*W75</f>
        <v>437782.19936352322</v>
      </c>
      <c r="L688" s="180">
        <f>(L647/L612)*W80</f>
        <v>0</v>
      </c>
      <c r="M688" s="180">
        <f t="shared" si="20"/>
        <v>487024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708984.35</v>
      </c>
      <c r="D689" s="180">
        <f>(D615/D612)*X76</f>
        <v>0</v>
      </c>
      <c r="E689" s="180">
        <f>(E623/E612)*SUM(C689:D689)</f>
        <v>66759.283806117994</v>
      </c>
      <c r="F689" s="180">
        <f>(F624/F612)*X64</f>
        <v>5358.4185773332365</v>
      </c>
      <c r="G689" s="180">
        <f>(G625/G612)*X77</f>
        <v>0</v>
      </c>
      <c r="H689" s="180">
        <f>(H628/H612)*X60</f>
        <v>7379.4048679645675</v>
      </c>
      <c r="I689" s="180">
        <f>(I629/I612)*X78</f>
        <v>0</v>
      </c>
      <c r="J689" s="180">
        <f>(J630/J612)*X79</f>
        <v>0</v>
      </c>
      <c r="K689" s="180">
        <f>(K644/K612)*X75</f>
        <v>780451.86984984577</v>
      </c>
      <c r="L689" s="180">
        <f>(L647/L612)*X80</f>
        <v>0</v>
      </c>
      <c r="M689" s="180">
        <f t="shared" si="20"/>
        <v>859949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3737306.05</v>
      </c>
      <c r="D690" s="180">
        <f>(D615/D612)*Y76</f>
        <v>115615.31599458071</v>
      </c>
      <c r="E690" s="180">
        <f>(E623/E612)*SUM(C690:D690)</f>
        <v>362798.23518683878</v>
      </c>
      <c r="F690" s="180">
        <f>(F624/F612)*Y64</f>
        <v>7193.2984931250976</v>
      </c>
      <c r="G690" s="180">
        <f>(G625/G612)*Y77</f>
        <v>0</v>
      </c>
      <c r="H690" s="180">
        <f>(H628/H612)*Y60</f>
        <v>52533.836921232185</v>
      </c>
      <c r="I690" s="180">
        <f>(I629/I612)*Y78</f>
        <v>167307.25218400211</v>
      </c>
      <c r="J690" s="180">
        <f>(J630/J612)*Y79</f>
        <v>0</v>
      </c>
      <c r="K690" s="180">
        <f>(K644/K612)*Y75</f>
        <v>658606.06230948796</v>
      </c>
      <c r="L690" s="180">
        <f>(L647/L612)*Y80</f>
        <v>6453.0171685840833</v>
      </c>
      <c r="M690" s="180">
        <f t="shared" si="20"/>
        <v>1370507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1584523.74</v>
      </c>
      <c r="D691" s="180">
        <f>(D615/D612)*Z76</f>
        <v>81486.309671237672</v>
      </c>
      <c r="E691" s="180">
        <f>(E623/E612)*SUM(C691:D691)</f>
        <v>156874.60199910885</v>
      </c>
      <c r="F691" s="180">
        <f>(F624/F612)*Z64</f>
        <v>3313.0724162156703</v>
      </c>
      <c r="G691" s="180">
        <f>(G625/G612)*Z77</f>
        <v>0</v>
      </c>
      <c r="H691" s="180">
        <f>(H628/H612)*Z60</f>
        <v>18730.727370244345</v>
      </c>
      <c r="I691" s="180">
        <f>(I629/I612)*Z78</f>
        <v>117919.07018918227</v>
      </c>
      <c r="J691" s="180">
        <f>(J630/J612)*Z79</f>
        <v>0</v>
      </c>
      <c r="K691" s="180">
        <f>(K644/K612)*Z75</f>
        <v>158321.70969353983</v>
      </c>
      <c r="L691" s="180">
        <f>(L647/L612)*Z80</f>
        <v>12120.746533583861</v>
      </c>
      <c r="M691" s="180">
        <f t="shared" si="20"/>
        <v>548766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424170.69999999995</v>
      </c>
      <c r="D692" s="180">
        <f>(D615/D612)*AA76</f>
        <v>0</v>
      </c>
      <c r="E692" s="180">
        <f>(E623/E612)*SUM(C692:D692)</f>
        <v>39940.70129127636</v>
      </c>
      <c r="F692" s="180">
        <f>(F624/F612)*AA64</f>
        <v>4351.0644429889062</v>
      </c>
      <c r="G692" s="180">
        <f>(G625/G612)*AA77</f>
        <v>0</v>
      </c>
      <c r="H692" s="180">
        <f>(H628/H612)*AA60</f>
        <v>3365.6775743407807</v>
      </c>
      <c r="I692" s="180">
        <f>(I629/I612)*AA78</f>
        <v>0</v>
      </c>
      <c r="J692" s="180">
        <f>(J630/J612)*AA79</f>
        <v>0</v>
      </c>
      <c r="K692" s="180">
        <f>(K644/K612)*AA75</f>
        <v>84553.753316094269</v>
      </c>
      <c r="L692" s="180">
        <f>(L647/L612)*AA80</f>
        <v>1331.5749712951283</v>
      </c>
      <c r="M692" s="180">
        <f t="shared" si="20"/>
        <v>133543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7368687.0699999994</v>
      </c>
      <c r="D693" s="180">
        <f>(D615/D612)*AB76</f>
        <v>20064.680926839821</v>
      </c>
      <c r="E693" s="180">
        <f>(E623/E612)*SUM(C693:D693)</f>
        <v>695738.59438939113</v>
      </c>
      <c r="F693" s="180">
        <f>(F624/F612)*AB64</f>
        <v>200788.53382155526</v>
      </c>
      <c r="G693" s="180">
        <f>(G625/G612)*AB77</f>
        <v>0</v>
      </c>
      <c r="H693" s="180">
        <f>(H628/H612)*AB60</f>
        <v>26507.324001640431</v>
      </c>
      <c r="I693" s="180">
        <f>(I629/I612)*AB78</f>
        <v>29035.656763466181</v>
      </c>
      <c r="J693" s="180">
        <f>(J630/J612)*AB79</f>
        <v>0</v>
      </c>
      <c r="K693" s="180">
        <f>(K644/K612)*AB75</f>
        <v>1245123.6925902076</v>
      </c>
      <c r="L693" s="180">
        <f>(L647/L612)*AB80</f>
        <v>0</v>
      </c>
      <c r="M693" s="180">
        <f t="shared" si="20"/>
        <v>2217258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1122671.21</v>
      </c>
      <c r="D694" s="180">
        <f>(D615/D612)*AC76</f>
        <v>43886.198208652284</v>
      </c>
      <c r="E694" s="180">
        <f>(E623/E612)*SUM(C694:D694)</f>
        <v>109845.21321342402</v>
      </c>
      <c r="F694" s="180">
        <f>(F624/F612)*AC64</f>
        <v>4301.5948552041473</v>
      </c>
      <c r="G694" s="180">
        <f>(G625/G612)*AC77</f>
        <v>0</v>
      </c>
      <c r="H694" s="180">
        <f>(H628/H612)*AC60</f>
        <v>21782.832499770764</v>
      </c>
      <c r="I694" s="180">
        <f>(I629/I612)*AC78</f>
        <v>63507.842087602454</v>
      </c>
      <c r="J694" s="180">
        <f>(J630/J612)*AC79</f>
        <v>0</v>
      </c>
      <c r="K694" s="180">
        <f>(K644/K612)*AC75</f>
        <v>137975.05464884031</v>
      </c>
      <c r="L694" s="180">
        <f>(L647/L612)*AC80</f>
        <v>3072.8653183733732</v>
      </c>
      <c r="M694" s="180">
        <f t="shared" si="20"/>
        <v>384372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1828937.13</v>
      </c>
      <c r="D696" s="180">
        <f>(D615/D612)*AE76</f>
        <v>78311.518385345291</v>
      </c>
      <c r="E696" s="180">
        <f>(E623/E612)*SUM(C696:D696)</f>
        <v>179590.07671522256</v>
      </c>
      <c r="F696" s="180">
        <f>(F624/F612)*AE64</f>
        <v>734.68920191782877</v>
      </c>
      <c r="G696" s="180">
        <f>(G625/G612)*AE77</f>
        <v>0</v>
      </c>
      <c r="H696" s="180">
        <f>(H628/H612)*AE60</f>
        <v>36541.642235699903</v>
      </c>
      <c r="I696" s="180">
        <f>(I629/I612)*AE78</f>
        <v>113324.82070129205</v>
      </c>
      <c r="J696" s="180">
        <f>(J630/J612)*AE79</f>
        <v>0</v>
      </c>
      <c r="K696" s="180">
        <f>(K644/K612)*AE75</f>
        <v>256588.98730223099</v>
      </c>
      <c r="L696" s="180">
        <f>(L647/L612)*AE80</f>
        <v>0</v>
      </c>
      <c r="M696" s="180">
        <f t="shared" si="20"/>
        <v>665092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3477180.0400000005</v>
      </c>
      <c r="D698" s="180">
        <f>(D615/D612)*AG76</f>
        <v>75136.72709945291</v>
      </c>
      <c r="E698" s="180">
        <f>(E623/E612)*SUM(C698:D698)</f>
        <v>334492.74758183869</v>
      </c>
      <c r="F698" s="180">
        <f>(F624/F612)*AG64</f>
        <v>11555.332402279435</v>
      </c>
      <c r="G698" s="180">
        <f>(G625/G612)*AG77</f>
        <v>0</v>
      </c>
      <c r="H698" s="180">
        <f>(H628/H612)*AG60</f>
        <v>55815.895176955797</v>
      </c>
      <c r="I698" s="180">
        <f>(I629/I612)*AG78</f>
        <v>108730.57121340184</v>
      </c>
      <c r="J698" s="180">
        <f>(J630/J612)*AG79</f>
        <v>0</v>
      </c>
      <c r="K698" s="180">
        <f>(K644/K612)*AG75</f>
        <v>940477.2603929037</v>
      </c>
      <c r="L698" s="180">
        <f>(L647/L612)*AG80</f>
        <v>63779.026830238457</v>
      </c>
      <c r="M698" s="180">
        <f t="shared" si="20"/>
        <v>1589988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57296.07</v>
      </c>
      <c r="D699" s="180">
        <f>(D615/D612)*AH76</f>
        <v>0</v>
      </c>
      <c r="E699" s="180">
        <f>(E623/E612)*SUM(C699:D699)</f>
        <v>5395.1044167691471</v>
      </c>
      <c r="F699" s="180">
        <f>(F624/F612)*AH64</f>
        <v>26.185224016111647</v>
      </c>
      <c r="G699" s="180">
        <f>(G625/G612)*AH77</f>
        <v>0</v>
      </c>
      <c r="H699" s="180">
        <f>(H628/H612)*AH60</f>
        <v>627.14488962871678</v>
      </c>
      <c r="I699" s="180">
        <f>(I629/I612)*AH78</f>
        <v>0</v>
      </c>
      <c r="J699" s="180">
        <f>(J630/J612)*AH79</f>
        <v>0</v>
      </c>
      <c r="K699" s="180">
        <f>(K644/K612)*AH75</f>
        <v>1951.5757966603132</v>
      </c>
      <c r="L699" s="180">
        <f>(L647/L612)*AH80</f>
        <v>0</v>
      </c>
      <c r="M699" s="180">
        <f t="shared" si="20"/>
        <v>8000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1144900.54</v>
      </c>
      <c r="D700" s="180">
        <f>(D615/D612)*AI76</f>
        <v>0</v>
      </c>
      <c r="E700" s="180">
        <f>(E623/E612)*SUM(C700:D700)</f>
        <v>107805.96226085632</v>
      </c>
      <c r="F700" s="180">
        <f>(F624/F612)*AI64</f>
        <v>959.86902172386806</v>
      </c>
      <c r="G700" s="180">
        <f>(G625/G612)*AI77</f>
        <v>0</v>
      </c>
      <c r="H700" s="180">
        <f>(H628/H612)*AI60</f>
        <v>18166.296969578496</v>
      </c>
      <c r="I700" s="180">
        <f>(I629/I612)*AI78</f>
        <v>0</v>
      </c>
      <c r="J700" s="180">
        <f>(J630/J612)*AI79</f>
        <v>0</v>
      </c>
      <c r="K700" s="180">
        <f>(K644/K612)*AI75</f>
        <v>137123.83767190701</v>
      </c>
      <c r="L700" s="180">
        <f>(L647/L612)*AI80</f>
        <v>0</v>
      </c>
      <c r="M700" s="180">
        <f t="shared" si="20"/>
        <v>264056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13462715.880000001</v>
      </c>
      <c r="D701" s="180">
        <f>(D615/D612)*AJ76</f>
        <v>201207.68906223919</v>
      </c>
      <c r="E701" s="180">
        <f>(E623/E612)*SUM(C701:D701)</f>
        <v>1286620.4330915497</v>
      </c>
      <c r="F701" s="180">
        <f>(F624/F612)*AJ64</f>
        <v>31919.81124776389</v>
      </c>
      <c r="G701" s="180">
        <f>(G625/G612)*AJ77</f>
        <v>0</v>
      </c>
      <c r="H701" s="180">
        <f>(H628/H612)*AJ60</f>
        <v>196087.30215724546</v>
      </c>
      <c r="I701" s="180">
        <f>(I629/I612)*AJ78</f>
        <v>291168.21837752243</v>
      </c>
      <c r="J701" s="180">
        <f>(J630/J612)*AJ79</f>
        <v>0</v>
      </c>
      <c r="K701" s="180">
        <f>(K644/K612)*AJ75</f>
        <v>814350.35641391401</v>
      </c>
      <c r="L701" s="180">
        <f>(L647/L612)*AJ80</f>
        <v>45205.26312807051</v>
      </c>
      <c r="M701" s="180">
        <f t="shared" si="20"/>
        <v>2866559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286930.59999999998</v>
      </c>
      <c r="D703" s="180">
        <f>(D615/D612)*AL76</f>
        <v>0</v>
      </c>
      <c r="E703" s="180">
        <f>(E623/E612)*SUM(C703:D703)</f>
        <v>27017.91846048466</v>
      </c>
      <c r="F703" s="180">
        <f>(F624/F612)*AL64</f>
        <v>77.492650869284262</v>
      </c>
      <c r="G703" s="180">
        <f>(G625/G612)*AL77</f>
        <v>0</v>
      </c>
      <c r="H703" s="180">
        <f>(H628/H612)*AL60</f>
        <v>6605.9261707558171</v>
      </c>
      <c r="I703" s="180">
        <f>(I629/I612)*AL78</f>
        <v>0</v>
      </c>
      <c r="J703" s="180">
        <f>(J630/J612)*AL79</f>
        <v>0</v>
      </c>
      <c r="K703" s="180">
        <f>(K644/K612)*AL75</f>
        <v>36087.184365821791</v>
      </c>
      <c r="L703" s="180">
        <f>(L647/L612)*AL80</f>
        <v>0</v>
      </c>
      <c r="M703" s="180">
        <f t="shared" si="20"/>
        <v>69789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12911.89</v>
      </c>
      <c r="D707" s="180">
        <f>(D615/D612)*AP76</f>
        <v>11947.797872574978</v>
      </c>
      <c r="E707" s="180">
        <f>(E623/E612)*SUM(C707:D707)</f>
        <v>2340.8344034910538</v>
      </c>
      <c r="F707" s="180">
        <f>(F624/F612)*AP64</f>
        <v>472.02593742392168</v>
      </c>
      <c r="G707" s="180">
        <f>(G625/G612)*AP77</f>
        <v>0</v>
      </c>
      <c r="H707" s="180">
        <f>(H628/H612)*AP60</f>
        <v>313.57244481435839</v>
      </c>
      <c r="I707" s="180">
        <f>(I629/I612)*AP78</f>
        <v>17289.692239426855</v>
      </c>
      <c r="J707" s="180">
        <f>(J630/J612)*AP79</f>
        <v>0</v>
      </c>
      <c r="K707" s="180">
        <f>(K644/K612)*AP75</f>
        <v>1852.1950766917432</v>
      </c>
      <c r="L707" s="180">
        <f>(L647/L612)*AP80</f>
        <v>0</v>
      </c>
      <c r="M707" s="180">
        <f t="shared" si="20"/>
        <v>34216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40.07</v>
      </c>
      <c r="D709" s="180">
        <f>(D615/D612)*AR76</f>
        <v>0</v>
      </c>
      <c r="E709" s="180">
        <f>(E623/E612)*SUM(C709:D709)</f>
        <v>3.7730656566836038</v>
      </c>
      <c r="F709" s="180">
        <f>(F624/F612)*AR64</f>
        <v>1.4507921881662478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5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-29386.42</v>
      </c>
      <c r="D713" s="180">
        <f>(D615/D612)*AV76</f>
        <v>0</v>
      </c>
      <c r="E713" s="180">
        <f>(E623/E612)*SUM(C713:D713)</f>
        <v>-2767.0799120259589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5883.5928197507919</v>
      </c>
      <c r="L713" s="180">
        <f>(L647/L612)*AV80</f>
        <v>0</v>
      </c>
      <c r="M713" s="180">
        <f t="shared" si="20"/>
        <v>3117</v>
      </c>
      <c r="N713" s="199" t="s">
        <v>741</v>
      </c>
    </row>
    <row r="715" spans="1:15" ht="12.6" customHeight="1" x14ac:dyDescent="0.25">
      <c r="C715" s="180">
        <f>SUM(C614:C647)+SUM(C668:C713)</f>
        <v>95864124.759999976</v>
      </c>
      <c r="D715" s="180">
        <f>SUM(D616:D647)+SUM(D668:D713)</f>
        <v>2054322.7799999998</v>
      </c>
      <c r="E715" s="180">
        <f>SUM(E624:E647)+SUM(E668:E713)</f>
        <v>8249916.6384102777</v>
      </c>
      <c r="F715" s="180">
        <f>SUM(F625:F648)+SUM(F668:F713)</f>
        <v>843857.54752102913</v>
      </c>
      <c r="G715" s="180">
        <f>SUM(G626:G647)+SUM(G668:G713)</f>
        <v>1550924.1611743965</v>
      </c>
      <c r="H715" s="180">
        <f>SUM(H629:H647)+SUM(H668:H713)</f>
        <v>1025193.7510760634</v>
      </c>
      <c r="I715" s="180">
        <f>SUM(I630:I647)+SUM(I668:I713)</f>
        <v>2023659.7002609235</v>
      </c>
      <c r="J715" s="180">
        <f>SUM(J631:J647)+SUM(J668:J713)</f>
        <v>306393.55106839217</v>
      </c>
      <c r="K715" s="180">
        <f>SUM(K668:K713)</f>
        <v>10485330.443877738</v>
      </c>
      <c r="L715" s="180">
        <f>SUM(L668:L713)</f>
        <v>386634.74294733419</v>
      </c>
      <c r="M715" s="180">
        <f>SUM(M668:M713)</f>
        <v>24059814</v>
      </c>
      <c r="N715" s="198" t="s">
        <v>742</v>
      </c>
    </row>
    <row r="716" spans="1:15" ht="12.6" customHeight="1" x14ac:dyDescent="0.25">
      <c r="C716" s="180">
        <f>CE71</f>
        <v>95864124.759999976</v>
      </c>
      <c r="D716" s="180">
        <f>D615</f>
        <v>2054322.7799999998</v>
      </c>
      <c r="E716" s="180">
        <f>E623</f>
        <v>8249916.6384102786</v>
      </c>
      <c r="F716" s="180">
        <f>F624</f>
        <v>843857.54752102937</v>
      </c>
      <c r="G716" s="180">
        <f>G625</f>
        <v>1550924.1611743965</v>
      </c>
      <c r="H716" s="180">
        <f>H628</f>
        <v>1025193.7510760636</v>
      </c>
      <c r="I716" s="180">
        <f>I629</f>
        <v>2023659.7002609237</v>
      </c>
      <c r="J716" s="180">
        <f>J630</f>
        <v>306393.55106839223</v>
      </c>
      <c r="K716" s="180">
        <f>K644</f>
        <v>10485330.443877738</v>
      </c>
      <c r="L716" s="180">
        <f>L647</f>
        <v>386634.74294733419</v>
      </c>
      <c r="M716" s="180">
        <f>C648</f>
        <v>24059813.459999997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Island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 2411 24th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 xml:space="preserve"> 2411 24th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Anacortes, WA 98221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F40" sqref="F40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H-134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Island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Vince Oliver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Elise Cutter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Warren Tessler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 360-299-1300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 360-299-1384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2610</v>
      </c>
      <c r="G23" s="21">
        <f>data!D111</f>
        <v>8288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441</v>
      </c>
      <c r="G26" s="13">
        <f>data!D114</f>
        <v>704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43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Island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1493</v>
      </c>
      <c r="C7" s="48">
        <f>data!B139</f>
        <v>4931</v>
      </c>
      <c r="D7" s="48">
        <f>data!B140</f>
        <v>0</v>
      </c>
      <c r="E7" s="48">
        <f>data!B141</f>
        <v>40747506.780000001</v>
      </c>
      <c r="F7" s="48">
        <f>data!B142</f>
        <v>70158387.900000006</v>
      </c>
      <c r="G7" s="48">
        <f>data!B141+data!B142</f>
        <v>110905894.68000001</v>
      </c>
    </row>
    <row r="8" spans="1:13" ht="20.100000000000001" customHeight="1" x14ac:dyDescent="0.25">
      <c r="A8" s="23" t="s">
        <v>297</v>
      </c>
      <c r="B8" s="48">
        <f>data!C138</f>
        <v>498</v>
      </c>
      <c r="C8" s="48">
        <f>data!C139</f>
        <v>858</v>
      </c>
      <c r="D8" s="48">
        <f>data!C140</f>
        <v>0</v>
      </c>
      <c r="E8" s="48">
        <f>data!C141</f>
        <v>5705814.1299999999</v>
      </c>
      <c r="F8" s="48">
        <f>data!C142</f>
        <v>14942598.109999999</v>
      </c>
      <c r="G8" s="48">
        <f>data!C141+data!C142</f>
        <v>20648412.239999998</v>
      </c>
    </row>
    <row r="9" spans="1:13" ht="20.100000000000001" customHeight="1" x14ac:dyDescent="0.25">
      <c r="A9" s="23" t="s">
        <v>1058</v>
      </c>
      <c r="B9" s="48">
        <f>data!D138</f>
        <v>619</v>
      </c>
      <c r="C9" s="48">
        <f>data!D139</f>
        <v>2499</v>
      </c>
      <c r="D9" s="48">
        <f>data!D140</f>
        <v>0</v>
      </c>
      <c r="E9" s="48">
        <f>data!D141</f>
        <v>18622830</v>
      </c>
      <c r="F9" s="48">
        <f>data!D142</f>
        <v>80485801</v>
      </c>
      <c r="G9" s="48">
        <f>data!D141+data!D142</f>
        <v>99108631</v>
      </c>
    </row>
    <row r="10" spans="1:13" ht="20.100000000000001" customHeight="1" x14ac:dyDescent="0.25">
      <c r="A10" s="111" t="s">
        <v>203</v>
      </c>
      <c r="B10" s="48">
        <f>data!E138</f>
        <v>2610</v>
      </c>
      <c r="C10" s="48">
        <f>data!E139</f>
        <v>8288</v>
      </c>
      <c r="D10" s="48">
        <f>data!E140</f>
        <v>0</v>
      </c>
      <c r="E10" s="48">
        <f>data!E141</f>
        <v>65076150.910000004</v>
      </c>
      <c r="F10" s="48">
        <f>data!E142</f>
        <v>165586787.00999999</v>
      </c>
      <c r="G10" s="48">
        <f>data!E141+data!E142</f>
        <v>230662937.91999999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B13" sqref="B13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Island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2914821.75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140315.48000000001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468562.82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4952559.3099999996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20412.29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1676393.41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171207.88000000012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2324.3200000000002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10346597.26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620771.14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208516.08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829287.22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455519.96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212629.45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668149.41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54213.11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541786.24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595999.35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2030207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2030207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Island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4708577</v>
      </c>
      <c r="D7" s="21">
        <f>data!C195</f>
        <v>0</v>
      </c>
      <c r="E7" s="21">
        <f>data!D195</f>
        <v>0</v>
      </c>
      <c r="F7" s="21">
        <f>data!E195</f>
        <v>4708577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2130330</v>
      </c>
      <c r="D8" s="21">
        <f>data!C196</f>
        <v>0</v>
      </c>
      <c r="E8" s="21">
        <f>data!D196</f>
        <v>0</v>
      </c>
      <c r="F8" s="21">
        <f>data!E196</f>
        <v>2130330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70352371</v>
      </c>
      <c r="D9" s="21">
        <f>data!C197</f>
        <v>3157262</v>
      </c>
      <c r="E9" s="21">
        <f>data!D197</f>
        <v>3186</v>
      </c>
      <c r="F9" s="21">
        <f>data!E197</f>
        <v>73506447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8808918</v>
      </c>
      <c r="D10" s="21">
        <f>data!C198</f>
        <v>0</v>
      </c>
      <c r="E10" s="21">
        <f>data!D198</f>
        <v>0</v>
      </c>
      <c r="F10" s="21">
        <f>data!E198</f>
        <v>8808918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28995534</v>
      </c>
      <c r="D12" s="21">
        <f>data!C200</f>
        <v>9466849</v>
      </c>
      <c r="E12" s="21">
        <f>data!D200</f>
        <v>3248386</v>
      </c>
      <c r="F12" s="21">
        <f>data!E200</f>
        <v>35213997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5868665</v>
      </c>
      <c r="D15" s="21">
        <f>data!C203</f>
        <v>-5302131</v>
      </c>
      <c r="E15" s="21">
        <f>data!D203</f>
        <v>0</v>
      </c>
      <c r="F15" s="21">
        <f>data!E203</f>
        <v>566534</v>
      </c>
      <c r="M15" s="267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120864395</v>
      </c>
      <c r="D16" s="21">
        <f>data!C204</f>
        <v>7321980</v>
      </c>
      <c r="E16" s="21">
        <f>data!D204</f>
        <v>3251572</v>
      </c>
      <c r="F16" s="21">
        <f>data!E204</f>
        <v>124934803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1583532</v>
      </c>
      <c r="D24" s="21">
        <f>data!C209</f>
        <v>270764</v>
      </c>
      <c r="E24" s="21">
        <f>data!D209</f>
        <v>0</v>
      </c>
      <c r="F24" s="21">
        <f>data!E209</f>
        <v>1854296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23541051</v>
      </c>
      <c r="D25" s="21">
        <f>data!C210</f>
        <v>1740083</v>
      </c>
      <c r="E25" s="21">
        <f>data!D210</f>
        <v>0</v>
      </c>
      <c r="F25" s="21">
        <f>data!E210</f>
        <v>25281134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6769087</v>
      </c>
      <c r="D26" s="21">
        <f>data!C211</f>
        <v>365724</v>
      </c>
      <c r="E26" s="21">
        <f>data!D211</f>
        <v>0</v>
      </c>
      <c r="F26" s="21">
        <f>data!E211</f>
        <v>7134811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23273713</v>
      </c>
      <c r="D28" s="21">
        <f>data!C213</f>
        <v>2433147</v>
      </c>
      <c r="E28" s="21">
        <f>data!D213</f>
        <v>3220760</v>
      </c>
      <c r="F28" s="21">
        <f>data!E213</f>
        <v>22486100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55167383</v>
      </c>
      <c r="D32" s="21">
        <f>data!C217</f>
        <v>4809718</v>
      </c>
      <c r="E32" s="21">
        <f>data!D217</f>
        <v>3220760</v>
      </c>
      <c r="F32" s="21">
        <f>data!E217</f>
        <v>56756341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Island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1535434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77964472.849999994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15831179.539999999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2038906.86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14618431.279999999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9609247.5399999991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16009485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136071723.06999999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355</v>
      </c>
      <c r="M16" s="267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142091.99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361780.3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503872.29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2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138111029.35999998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Island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26877585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15656090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5941695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391292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1614817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1190800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22077</v>
      </c>
      <c r="M15" s="267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39810966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11779767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463709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12243476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4708577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2130330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73506447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8808918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35213997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566534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124934803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56756341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68178462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530499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530499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598703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1869532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2468235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123231638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Island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4561501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4093652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157561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1481262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355558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2132782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12782316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816192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50179041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12769826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63765059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2132782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61632277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48817045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48817045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123231638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Island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65076153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165586789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230662942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1" t="s">
        <v>450</v>
      </c>
      <c r="C115" s="48">
        <f>data!C363</f>
        <v>1535434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136575594.71000001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503872.29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138614901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92048041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715301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5336994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6052295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98100336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41292345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11608297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4633783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23720182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1008446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7878370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4809718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829287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668149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595999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957129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98001705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98631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-556553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-457922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-457922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Island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701</v>
      </c>
      <c r="D9" s="14">
        <f>data!D59</f>
        <v>0</v>
      </c>
      <c r="E9" s="14">
        <f>data!E59</f>
        <v>6745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14.02</v>
      </c>
      <c r="D10" s="26">
        <f>data!D60</f>
        <v>0</v>
      </c>
      <c r="E10" s="26">
        <f>data!E60</f>
        <v>59.93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1193074.3500000001</v>
      </c>
      <c r="D11" s="14">
        <f>data!D61</f>
        <v>0</v>
      </c>
      <c r="E11" s="14">
        <f>data!E61</f>
        <v>4408375.5599999996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334778</v>
      </c>
      <c r="D12" s="14">
        <f>data!D62</f>
        <v>0</v>
      </c>
      <c r="E12" s="14">
        <f>data!E62</f>
        <v>1226151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213.11</v>
      </c>
      <c r="D13" s="14">
        <f>data!D63</f>
        <v>0</v>
      </c>
      <c r="E13" s="14">
        <f>data!E63</f>
        <v>638225.35000000009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51322.21</v>
      </c>
      <c r="D14" s="14">
        <f>data!D64</f>
        <v>0</v>
      </c>
      <c r="E14" s="14">
        <f>data!E64</f>
        <v>235790.37999999998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1074.25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6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938.2</v>
      </c>
      <c r="D16" s="14">
        <f>data!D66</f>
        <v>0</v>
      </c>
      <c r="E16" s="14">
        <f>data!E66</f>
        <v>17339.22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92226</v>
      </c>
      <c r="D17" s="14">
        <f>data!D67</f>
        <v>0</v>
      </c>
      <c r="E17" s="14">
        <f>data!E67</f>
        <v>204749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1586.32</v>
      </c>
      <c r="D18" s="14">
        <f>data!D68</f>
        <v>0</v>
      </c>
      <c r="E18" s="14">
        <f>data!E68</f>
        <v>17221.189999999999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738</v>
      </c>
      <c r="D19" s="14">
        <f>data!D69</f>
        <v>0</v>
      </c>
      <c r="E19" s="14">
        <f>data!E69</f>
        <v>1787.97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-18361.41</v>
      </c>
      <c r="D20" s="14">
        <f>-data!D70</f>
        <v>0</v>
      </c>
      <c r="E20" s="14">
        <f>-data!E70</f>
        <v>-5240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1656514.7800000003</v>
      </c>
      <c r="D21" s="14">
        <f>data!D71</f>
        <v>0</v>
      </c>
      <c r="E21" s="14">
        <f>data!E71</f>
        <v>6745473.9199999999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579696</v>
      </c>
      <c r="D23" s="48">
        <f>+data!M669</f>
        <v>0</v>
      </c>
      <c r="E23" s="48">
        <f>+data!M670</f>
        <v>3473519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1074926</v>
      </c>
      <c r="D24" s="14">
        <f>data!D73</f>
        <v>0</v>
      </c>
      <c r="E24" s="14">
        <f>data!E73</f>
        <v>8951171.9000000004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-9388</v>
      </c>
      <c r="D25" s="14">
        <f>data!D74</f>
        <v>0</v>
      </c>
      <c r="E25" s="14">
        <f>data!E74</f>
        <v>2348810.6800000002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1065538</v>
      </c>
      <c r="D26" s="14">
        <f>data!D75</f>
        <v>0</v>
      </c>
      <c r="E26" s="14">
        <f>data!E75</f>
        <v>11299982.58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3692</v>
      </c>
      <c r="D28" s="14">
        <f>data!D76</f>
        <v>0</v>
      </c>
      <c r="E28" s="14">
        <f>data!E76</f>
        <v>23161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3145</v>
      </c>
      <c r="D29" s="14">
        <f>data!D77</f>
        <v>0</v>
      </c>
      <c r="E29" s="14">
        <f>data!E77</f>
        <v>20427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3692</v>
      </c>
      <c r="D30" s="14">
        <f>data!D78</f>
        <v>0</v>
      </c>
      <c r="E30" s="14">
        <f>data!E78</f>
        <v>23161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40791.589999999997</v>
      </c>
      <c r="D31" s="14">
        <f>data!D79</f>
        <v>0</v>
      </c>
      <c r="E31" s="14">
        <f>data!E79</f>
        <v>392495.41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9.44</v>
      </c>
      <c r="D32" s="84">
        <f>data!D80</f>
        <v>0</v>
      </c>
      <c r="E32" s="84">
        <f>data!E80</f>
        <v>30.09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Island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704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2149</v>
      </c>
      <c r="I41" s="14">
        <f>data!P59</f>
        <v>385376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13.56</v>
      </c>
      <c r="I42" s="26">
        <f>data!P60</f>
        <v>29.729999999999997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1391069.17</v>
      </c>
      <c r="I43" s="14">
        <f>data!P61</f>
        <v>3314264.36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331857</v>
      </c>
      <c r="I44" s="14">
        <f>data!P62</f>
        <v>629158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360860.94</v>
      </c>
      <c r="I45" s="14">
        <f>data!P63</f>
        <v>419376.24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14705.18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105068.21</v>
      </c>
      <c r="I46" s="14">
        <f>data!P64</f>
        <v>12431223.309999999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300</v>
      </c>
      <c r="I47" s="14">
        <f>data!P65</f>
        <v>5065.9400000000005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75160.86</v>
      </c>
      <c r="I48" s="14">
        <f>data!P66</f>
        <v>708447.55999999994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68467</v>
      </c>
      <c r="I49" s="14">
        <f>data!P67</f>
        <v>472678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96316.61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3289.1</v>
      </c>
      <c r="I51" s="14">
        <f>data!P69</f>
        <v>53540.320000000007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-2962.12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14705.18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2336072.2799999998</v>
      </c>
      <c r="I53" s="14">
        <f>data!P71</f>
        <v>18127108.219999995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33295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732555</v>
      </c>
      <c r="I55" s="48">
        <f>+data!M681</f>
        <v>5030269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690282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2592348.84</v>
      </c>
      <c r="I56" s="14">
        <f>data!P73</f>
        <v>25835100.260000002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394166.5</v>
      </c>
      <c r="I57" s="14">
        <f>data!P74</f>
        <v>27785992.829999998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690282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2986515.34</v>
      </c>
      <c r="I58" s="14">
        <f>data!P75</f>
        <v>53621093.090000004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5313</v>
      </c>
      <c r="I60" s="14">
        <f>data!P76</f>
        <v>11604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2711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5313</v>
      </c>
      <c r="I62" s="14">
        <f>data!P78</f>
        <v>11604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2261</v>
      </c>
      <c r="I63" s="14">
        <f>data!P79</f>
        <v>27189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11.81</v>
      </c>
      <c r="I64" s="26">
        <f>data!P80</f>
        <v>12.77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Island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255979</v>
      </c>
      <c r="D73" s="48">
        <f>data!R59</f>
        <v>385376</v>
      </c>
      <c r="E73" s="212"/>
      <c r="F73" s="212"/>
      <c r="G73" s="14">
        <f>data!U59</f>
        <v>237844</v>
      </c>
      <c r="H73" s="14">
        <f>data!V59</f>
        <v>5896</v>
      </c>
      <c r="I73" s="14">
        <f>data!W59</f>
        <v>4439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9.9499999999999993</v>
      </c>
      <c r="D74" s="26">
        <f>data!R60</f>
        <v>1.51</v>
      </c>
      <c r="E74" s="26">
        <f>data!S60</f>
        <v>7.61</v>
      </c>
      <c r="F74" s="26">
        <f>data!T60</f>
        <v>0</v>
      </c>
      <c r="G74" s="26">
        <f>data!U60</f>
        <v>23.53</v>
      </c>
      <c r="H74" s="26">
        <f>data!V60</f>
        <v>1</v>
      </c>
      <c r="I74" s="26">
        <f>data!W60</f>
        <v>2.09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1058208.71</v>
      </c>
      <c r="D75" s="14">
        <f>data!R61</f>
        <v>142236.01999999999</v>
      </c>
      <c r="E75" s="14">
        <f>data!S61</f>
        <v>339938.1</v>
      </c>
      <c r="F75" s="14">
        <f>data!T61</f>
        <v>0</v>
      </c>
      <c r="G75" s="14">
        <f>data!U61</f>
        <v>1402498.19</v>
      </c>
      <c r="H75" s="14">
        <f>data!V61</f>
        <v>82967.100000000006</v>
      </c>
      <c r="I75" s="14">
        <f>data!W61</f>
        <v>220471.08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202123</v>
      </c>
      <c r="D76" s="14">
        <f>data!R62</f>
        <v>36402</v>
      </c>
      <c r="E76" s="14">
        <f>data!S62</f>
        <v>107946</v>
      </c>
      <c r="F76" s="14">
        <f>data!T62</f>
        <v>0</v>
      </c>
      <c r="G76" s="14">
        <f>data!U62</f>
        <v>399965</v>
      </c>
      <c r="H76" s="14">
        <f>data!V62</f>
        <v>21407</v>
      </c>
      <c r="I76" s="14">
        <f>data!W62</f>
        <v>46086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286670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30071.34</v>
      </c>
      <c r="D78" s="14">
        <f>data!R64</f>
        <v>212783.30000000002</v>
      </c>
      <c r="E78" s="14">
        <f>data!S64</f>
        <v>132210.67000000001</v>
      </c>
      <c r="F78" s="14">
        <f>data!T64</f>
        <v>0</v>
      </c>
      <c r="G78" s="14">
        <f>data!U64</f>
        <v>1659916.6199999999</v>
      </c>
      <c r="H78" s="14">
        <f>data!V64</f>
        <v>2012.35</v>
      </c>
      <c r="I78" s="14">
        <f>data!W64</f>
        <v>35006.769999999997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49.56</v>
      </c>
      <c r="E79" s="14">
        <f>data!S65</f>
        <v>62.11</v>
      </c>
      <c r="F79" s="14">
        <f>data!T65</f>
        <v>0</v>
      </c>
      <c r="G79" s="14">
        <f>data!U65</f>
        <v>2965.97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54441.5</v>
      </c>
      <c r="D80" s="14">
        <f>data!R66</f>
        <v>1143.01</v>
      </c>
      <c r="E80" s="14">
        <f>data!S66</f>
        <v>306.87</v>
      </c>
      <c r="F80" s="14">
        <f>data!T66</f>
        <v>0</v>
      </c>
      <c r="G80" s="14">
        <f>data!U66</f>
        <v>767755.21</v>
      </c>
      <c r="H80" s="14">
        <f>data!V66</f>
        <v>5073.7</v>
      </c>
      <c r="I80" s="14">
        <f>data!W66</f>
        <v>96367.9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6192</v>
      </c>
      <c r="D81" s="14">
        <f>data!R67</f>
        <v>30666</v>
      </c>
      <c r="E81" s="14">
        <f>data!S67</f>
        <v>52028</v>
      </c>
      <c r="F81" s="14">
        <f>data!T67</f>
        <v>0</v>
      </c>
      <c r="G81" s="14">
        <f>data!U67</f>
        <v>74750</v>
      </c>
      <c r="H81" s="14">
        <f>data!V67</f>
        <v>3275</v>
      </c>
      <c r="I81" s="14">
        <f>data!W67</f>
        <v>65154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152457.70000000001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135</v>
      </c>
      <c r="D83" s="14">
        <f>data!R69</f>
        <v>0</v>
      </c>
      <c r="E83" s="14">
        <f>data!S69</f>
        <v>2805.14</v>
      </c>
      <c r="F83" s="14">
        <f>data!T69</f>
        <v>0</v>
      </c>
      <c r="G83" s="14">
        <f>data!U69</f>
        <v>2102.58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-82.5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1351171.55</v>
      </c>
      <c r="D85" s="14">
        <f>data!R71</f>
        <v>423279.89</v>
      </c>
      <c r="E85" s="14">
        <f>data!S71</f>
        <v>635214.39</v>
      </c>
      <c r="F85" s="14">
        <f>data!T71</f>
        <v>0</v>
      </c>
      <c r="G85" s="14">
        <f>data!U71</f>
        <v>4749081.2700000005</v>
      </c>
      <c r="H85" s="14">
        <f>data!V71</f>
        <v>114735.15000000001</v>
      </c>
      <c r="I85" s="14">
        <f>data!W71</f>
        <v>463085.75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423887</v>
      </c>
      <c r="D87" s="48">
        <f>+data!M683</f>
        <v>511767</v>
      </c>
      <c r="E87" s="48">
        <f>+data!M684</f>
        <v>162022</v>
      </c>
      <c r="F87" s="48">
        <f>+data!M685</f>
        <v>0</v>
      </c>
      <c r="G87" s="48">
        <f>+data!M686</f>
        <v>1567193</v>
      </c>
      <c r="H87" s="48">
        <f>+data!M687</f>
        <v>43370</v>
      </c>
      <c r="I87" s="48">
        <f>+data!M688</f>
        <v>487024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1633491</v>
      </c>
      <c r="D88" s="14">
        <f>data!R73</f>
        <v>4826942</v>
      </c>
      <c r="E88" s="14">
        <f>data!S73</f>
        <v>0</v>
      </c>
      <c r="F88" s="14">
        <f>data!T73</f>
        <v>0</v>
      </c>
      <c r="G88" s="14">
        <f>data!U73</f>
        <v>2439432.67</v>
      </c>
      <c r="H88" s="14">
        <f>data!V73</f>
        <v>77925</v>
      </c>
      <c r="I88" s="14">
        <f>data!W73</f>
        <v>326330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3737315</v>
      </c>
      <c r="D89" s="14">
        <f>data!R74</f>
        <v>4906293</v>
      </c>
      <c r="E89" s="14">
        <f>data!S74</f>
        <v>0</v>
      </c>
      <c r="F89" s="14">
        <f>data!T74</f>
        <v>0</v>
      </c>
      <c r="G89" s="14">
        <f>data!U74</f>
        <v>17464093.440000001</v>
      </c>
      <c r="H89" s="14">
        <f>data!V74</f>
        <v>584976.56000000006</v>
      </c>
      <c r="I89" s="14">
        <f>data!W74</f>
        <v>9304280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5370806</v>
      </c>
      <c r="D90" s="14">
        <f>data!R75</f>
        <v>9733235</v>
      </c>
      <c r="E90" s="14">
        <f>data!S75</f>
        <v>0</v>
      </c>
      <c r="F90" s="14">
        <f>data!T75</f>
        <v>0</v>
      </c>
      <c r="G90" s="14">
        <f>data!U75</f>
        <v>19903526.109999999</v>
      </c>
      <c r="H90" s="14">
        <f>data!V75</f>
        <v>662901.56000000006</v>
      </c>
      <c r="I90" s="14">
        <f>data!W75</f>
        <v>9630610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500</v>
      </c>
      <c r="E92" s="14">
        <f>data!S76</f>
        <v>3031</v>
      </c>
      <c r="F92" s="14">
        <f>data!T76</f>
        <v>0</v>
      </c>
      <c r="G92" s="14">
        <f>data!U76</f>
        <v>3940</v>
      </c>
      <c r="H92" s="14">
        <f>data!V76</f>
        <v>10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500</v>
      </c>
      <c r="E94" s="14">
        <f>data!S78</f>
        <v>3031</v>
      </c>
      <c r="F94" s="14">
        <f>data!T78</f>
        <v>0</v>
      </c>
      <c r="G94" s="14">
        <f>data!U78</f>
        <v>3940</v>
      </c>
      <c r="H94" s="14">
        <f>data!V78</f>
        <v>10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8.9700000000000006</v>
      </c>
      <c r="D96" s="84">
        <f>data!R80</f>
        <v>1.51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Island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9980</v>
      </c>
      <c r="D105" s="14">
        <f>data!Y59</f>
        <v>32914</v>
      </c>
      <c r="E105" s="14">
        <f>data!Z59</f>
        <v>10854</v>
      </c>
      <c r="F105" s="14">
        <f>data!AA59</f>
        <v>967</v>
      </c>
      <c r="G105" s="212"/>
      <c r="H105" s="14">
        <f>data!AC59</f>
        <v>12001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3.53</v>
      </c>
      <c r="D106" s="26">
        <f>data!Y60</f>
        <v>25.130000000000003</v>
      </c>
      <c r="E106" s="26">
        <f>data!Z60</f>
        <v>8.9600000000000009</v>
      </c>
      <c r="F106" s="26">
        <f>data!AA60</f>
        <v>1.61</v>
      </c>
      <c r="G106" s="26">
        <f>data!AB60</f>
        <v>12.68</v>
      </c>
      <c r="H106" s="26">
        <f>data!AC60</f>
        <v>10.42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263220.11</v>
      </c>
      <c r="D107" s="14">
        <f>data!Y61</f>
        <v>1931222.28</v>
      </c>
      <c r="E107" s="14">
        <f>data!Z61</f>
        <v>645803.13</v>
      </c>
      <c r="F107" s="14">
        <f>data!AA61</f>
        <v>188716.96</v>
      </c>
      <c r="G107" s="14">
        <f>data!AB61</f>
        <v>1200219.76</v>
      </c>
      <c r="H107" s="14">
        <f>data!AC61</f>
        <v>757710.63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66782</v>
      </c>
      <c r="D108" s="14">
        <f>data!Y62</f>
        <v>469648</v>
      </c>
      <c r="E108" s="14">
        <f>data!Z62</f>
        <v>203508</v>
      </c>
      <c r="F108" s="14">
        <f>data!AA62</f>
        <v>41133</v>
      </c>
      <c r="G108" s="14">
        <f>data!AB62</f>
        <v>270282</v>
      </c>
      <c r="H108" s="14">
        <f>data!AC62</f>
        <v>192710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11254.73</v>
      </c>
      <c r="E109" s="14">
        <f>data!Z63</f>
        <v>564394.54</v>
      </c>
      <c r="F109" s="14">
        <f>data!AA63</f>
        <v>28350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147996.26999999999</v>
      </c>
      <c r="D110" s="14">
        <f>data!Y64</f>
        <v>198674.53999999998</v>
      </c>
      <c r="E110" s="14">
        <f>data!Z64</f>
        <v>91505.05</v>
      </c>
      <c r="F110" s="14">
        <f>data!AA64</f>
        <v>120173.75999999999</v>
      </c>
      <c r="G110" s="14">
        <f>data!AB64</f>
        <v>5545657.4800000004</v>
      </c>
      <c r="H110" s="14">
        <f>data!AC64</f>
        <v>118807.44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581.01</v>
      </c>
      <c r="D111" s="14">
        <f>data!Y65</f>
        <v>1604.13</v>
      </c>
      <c r="E111" s="14">
        <f>data!Z65</f>
        <v>281.02</v>
      </c>
      <c r="F111" s="14">
        <f>data!AA65</f>
        <v>0</v>
      </c>
      <c r="G111" s="14">
        <f>data!AB65</f>
        <v>850.06</v>
      </c>
      <c r="H111" s="14">
        <f>data!AC65</f>
        <v>795.72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114364.96</v>
      </c>
      <c r="D112" s="14">
        <f>data!Y66</f>
        <v>853780.11</v>
      </c>
      <c r="E112" s="14">
        <f>data!Z66</f>
        <v>13132.37</v>
      </c>
      <c r="F112" s="14">
        <f>data!AA66</f>
        <v>40637.980000000003</v>
      </c>
      <c r="G112" s="14">
        <f>data!AB66</f>
        <v>244327.97</v>
      </c>
      <c r="H112" s="14">
        <f>data!AC66</f>
        <v>11618.16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116040</v>
      </c>
      <c r="D113" s="14">
        <f>data!Y67</f>
        <v>253072</v>
      </c>
      <c r="E113" s="14">
        <f>data!Z67</f>
        <v>105936</v>
      </c>
      <c r="F113" s="14">
        <f>data!AA67</f>
        <v>5184</v>
      </c>
      <c r="G113" s="14">
        <f>data!AB67</f>
        <v>100103</v>
      </c>
      <c r="H113" s="14">
        <f>data!AC67</f>
        <v>48402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385.4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18050.259999999998</v>
      </c>
      <c r="E115" s="14">
        <f>data!Z69</f>
        <v>1851.13</v>
      </c>
      <c r="F115" s="14">
        <f>data!AA69</f>
        <v>0</v>
      </c>
      <c r="G115" s="14">
        <f>data!AB69</f>
        <v>7784.54</v>
      </c>
      <c r="H115" s="14">
        <f>data!AC69</f>
        <v>3711.8599999999997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-41887.5</v>
      </c>
      <c r="F116" s="14">
        <f>-data!AA70</f>
        <v>-25</v>
      </c>
      <c r="G116" s="14">
        <f>-data!AB70</f>
        <v>-537.74</v>
      </c>
      <c r="H116" s="14">
        <f>-data!AC70</f>
        <v>-11470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708984.35</v>
      </c>
      <c r="D117" s="14">
        <f>data!Y71</f>
        <v>3737306.05</v>
      </c>
      <c r="E117" s="14">
        <f>data!Z71</f>
        <v>1584523.74</v>
      </c>
      <c r="F117" s="14">
        <f>data!AA71</f>
        <v>424170.69999999995</v>
      </c>
      <c r="G117" s="14">
        <f>data!AB71</f>
        <v>7368687.0699999994</v>
      </c>
      <c r="H117" s="14">
        <f>data!AC71</f>
        <v>1122671.21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859949</v>
      </c>
      <c r="D119" s="48">
        <f>+data!M690</f>
        <v>1370507</v>
      </c>
      <c r="E119" s="48">
        <f>+data!M691</f>
        <v>548766</v>
      </c>
      <c r="F119" s="48">
        <f>+data!M692</f>
        <v>133543</v>
      </c>
      <c r="G119" s="48">
        <f>+data!M693</f>
        <v>2217258</v>
      </c>
      <c r="H119" s="48">
        <f>+data!M694</f>
        <v>384372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1002500</v>
      </c>
      <c r="D120" s="14">
        <f>data!Y73</f>
        <v>1524596</v>
      </c>
      <c r="E120" s="14">
        <f>data!Z73</f>
        <v>19150</v>
      </c>
      <c r="F120" s="14">
        <f>data!AA73</f>
        <v>52382</v>
      </c>
      <c r="G120" s="14">
        <f>data!AB73</f>
        <v>7480792.4399999995</v>
      </c>
      <c r="H120" s="14">
        <f>data!AC73</f>
        <v>1544752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16166374.369999999</v>
      </c>
      <c r="D121" s="14">
        <f>data!Y74</f>
        <v>12963837.149999999</v>
      </c>
      <c r="E121" s="14">
        <f>data!Z74</f>
        <v>3463711.21</v>
      </c>
      <c r="F121" s="14">
        <f>data!AA74</f>
        <v>1807685</v>
      </c>
      <c r="G121" s="14">
        <f>data!AB74</f>
        <v>19910226.890000001</v>
      </c>
      <c r="H121" s="14">
        <f>data!AC74</f>
        <v>1490510.6099999999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17168874.369999997</v>
      </c>
      <c r="D122" s="14">
        <f>data!Y75</f>
        <v>14488433.149999999</v>
      </c>
      <c r="E122" s="14">
        <f>data!Z75</f>
        <v>3482861.21</v>
      </c>
      <c r="F122" s="14">
        <f>data!AA75</f>
        <v>1860067</v>
      </c>
      <c r="G122" s="14">
        <f>data!AB75</f>
        <v>27391019.329999998</v>
      </c>
      <c r="H122" s="14">
        <f>data!AC75</f>
        <v>3035262.61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10925</v>
      </c>
      <c r="E124" s="14">
        <f>data!Z76</f>
        <v>7700</v>
      </c>
      <c r="F124" s="14">
        <f>data!AA76</f>
        <v>0</v>
      </c>
      <c r="G124" s="14">
        <f>data!AB76</f>
        <v>1896</v>
      </c>
      <c r="H124" s="14">
        <f>data!AC76</f>
        <v>4147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10925</v>
      </c>
      <c r="E126" s="14">
        <f>data!Z78</f>
        <v>7700</v>
      </c>
      <c r="F126" s="14">
        <f>data!AA78</f>
        <v>0</v>
      </c>
      <c r="G126" s="14">
        <f>data!AB78</f>
        <v>1896</v>
      </c>
      <c r="H126" s="14">
        <f>data!AC78</f>
        <v>4147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1.89</v>
      </c>
      <c r="E128" s="26">
        <f>data!Z80</f>
        <v>3.55</v>
      </c>
      <c r="F128" s="26">
        <f>data!AA80</f>
        <v>0.39</v>
      </c>
      <c r="G128" s="26">
        <f>data!AB80</f>
        <v>0</v>
      </c>
      <c r="H128" s="26">
        <f>data!AC80</f>
        <v>0.9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Island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16203</v>
      </c>
      <c r="D137" s="14">
        <f>data!AF59</f>
        <v>0</v>
      </c>
      <c r="E137" s="14">
        <f>data!AG59</f>
        <v>17418</v>
      </c>
      <c r="F137" s="14">
        <f>data!AH59</f>
        <v>0</v>
      </c>
      <c r="G137" s="14">
        <f>data!AI59</f>
        <v>524</v>
      </c>
      <c r="H137" s="14">
        <f>data!AJ59</f>
        <v>57892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17.48</v>
      </c>
      <c r="D138" s="26">
        <f>data!AF60</f>
        <v>0</v>
      </c>
      <c r="E138" s="26">
        <f>data!AG60</f>
        <v>26.7</v>
      </c>
      <c r="F138" s="26">
        <f>data!AH60</f>
        <v>0.3</v>
      </c>
      <c r="G138" s="26">
        <f>data!AI60</f>
        <v>8.69</v>
      </c>
      <c r="H138" s="26">
        <f>data!AJ60</f>
        <v>93.8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1344200.28</v>
      </c>
      <c r="D139" s="14">
        <f>data!AF61</f>
        <v>0</v>
      </c>
      <c r="E139" s="14">
        <f>data!AG61</f>
        <v>2237603.04</v>
      </c>
      <c r="F139" s="14">
        <f>data!AH61</f>
        <v>41871.54</v>
      </c>
      <c r="G139" s="14">
        <f>data!AI61</f>
        <v>727411.07</v>
      </c>
      <c r="H139" s="14">
        <f>data!AJ61</f>
        <v>8263229.5299999993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334070</v>
      </c>
      <c r="D140" s="14">
        <f>data!AF62</f>
        <v>0</v>
      </c>
      <c r="E140" s="14">
        <f>data!AG62</f>
        <v>519758</v>
      </c>
      <c r="F140" s="14">
        <f>data!AH62</f>
        <v>3774</v>
      </c>
      <c r="G140" s="14">
        <f>data!AI62</f>
        <v>154925</v>
      </c>
      <c r="H140" s="14">
        <f>data!AJ62</f>
        <v>1719467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19523.759999999998</v>
      </c>
      <c r="D141" s="14">
        <f>data!AF63</f>
        <v>0</v>
      </c>
      <c r="E141" s="14">
        <f>data!AG63</f>
        <v>284626.28000000003</v>
      </c>
      <c r="F141" s="14">
        <f>data!AH63</f>
        <v>0</v>
      </c>
      <c r="G141" s="14">
        <f>data!AI63</f>
        <v>2265</v>
      </c>
      <c r="H141" s="14">
        <f>data!AJ63</f>
        <v>583385.63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20291.669999999998</v>
      </c>
      <c r="D142" s="14">
        <f>data!AF64</f>
        <v>0</v>
      </c>
      <c r="E142" s="14">
        <f>data!AG64</f>
        <v>319151.27</v>
      </c>
      <c r="F142" s="14">
        <f>data!AH64</f>
        <v>723.22</v>
      </c>
      <c r="G142" s="14">
        <f>data!AI64</f>
        <v>26511</v>
      </c>
      <c r="H142" s="14">
        <f>data!AJ64</f>
        <v>881605.82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128.02000000000001</v>
      </c>
      <c r="D143" s="14">
        <f>data!AF65</f>
        <v>0</v>
      </c>
      <c r="E143" s="14">
        <f>data!AG65</f>
        <v>931.75</v>
      </c>
      <c r="F143" s="14">
        <f>data!AH65</f>
        <v>3700.88</v>
      </c>
      <c r="G143" s="14">
        <f>data!AI65</f>
        <v>12428.97</v>
      </c>
      <c r="H143" s="14">
        <f>data!AJ65</f>
        <v>23657.73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38299.879999999997</v>
      </c>
      <c r="D144" s="14">
        <f>data!AF66</f>
        <v>0</v>
      </c>
      <c r="E144" s="14">
        <f>data!AG66</f>
        <v>36627.160000000003</v>
      </c>
      <c r="F144" s="14">
        <f>data!AH66</f>
        <v>2653.86</v>
      </c>
      <c r="G144" s="14">
        <f>data!AI66</f>
        <v>83968.76</v>
      </c>
      <c r="H144" s="14">
        <f>data!AJ66</f>
        <v>1244935.6599999999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56190</v>
      </c>
      <c r="D145" s="14">
        <f>data!AF67</f>
        <v>0</v>
      </c>
      <c r="E145" s="14">
        <f>data!AG67</f>
        <v>76740</v>
      </c>
      <c r="F145" s="14">
        <f>data!AH67</f>
        <v>636</v>
      </c>
      <c r="G145" s="14">
        <f>data!AI67</f>
        <v>17194</v>
      </c>
      <c r="H145" s="14">
        <f>data!AJ67</f>
        <v>181534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24757.75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121520.48</v>
      </c>
      <c r="H146" s="14">
        <f>data!AJ68</f>
        <v>399863.23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7085.77</v>
      </c>
      <c r="D147" s="14">
        <f>data!AF69</f>
        <v>0</v>
      </c>
      <c r="E147" s="14">
        <f>data!AG69</f>
        <v>6052.54</v>
      </c>
      <c r="F147" s="14">
        <f>data!AH69</f>
        <v>3936.57</v>
      </c>
      <c r="G147" s="14">
        <f>data!AI69</f>
        <v>15081.26</v>
      </c>
      <c r="H147" s="14">
        <f>data!AJ69</f>
        <v>234351.92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-15610</v>
      </c>
      <c r="D148" s="14">
        <f>-data!AF70</f>
        <v>0</v>
      </c>
      <c r="E148" s="14">
        <f>-data!AG70</f>
        <v>-4310</v>
      </c>
      <c r="F148" s="14">
        <f>-data!AH70</f>
        <v>0</v>
      </c>
      <c r="G148" s="14">
        <f>-data!AI70</f>
        <v>-16405</v>
      </c>
      <c r="H148" s="14">
        <f>-data!AJ70</f>
        <v>-69314.64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1828937.13</v>
      </c>
      <c r="D149" s="14">
        <f>data!AF71</f>
        <v>0</v>
      </c>
      <c r="E149" s="14">
        <f>data!AG71</f>
        <v>3477180.0400000005</v>
      </c>
      <c r="F149" s="14">
        <f>data!AH71</f>
        <v>57296.07</v>
      </c>
      <c r="G149" s="14">
        <f>data!AI71</f>
        <v>1144900.54</v>
      </c>
      <c r="H149" s="14">
        <f>data!AJ71</f>
        <v>13462715.880000001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665092</v>
      </c>
      <c r="D151" s="48">
        <f>+data!M697</f>
        <v>0</v>
      </c>
      <c r="E151" s="48">
        <f>+data!M698</f>
        <v>1589988</v>
      </c>
      <c r="F151" s="48">
        <f>+data!M699</f>
        <v>8000</v>
      </c>
      <c r="G151" s="48">
        <f>+data!M700</f>
        <v>264056</v>
      </c>
      <c r="H151" s="48">
        <f>+data!M701</f>
        <v>2866559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1604886</v>
      </c>
      <c r="D152" s="14">
        <f>data!AF73</f>
        <v>0</v>
      </c>
      <c r="E152" s="14">
        <f>data!AG73</f>
        <v>2168867</v>
      </c>
      <c r="F152" s="14">
        <f>data!AH73</f>
        <v>0</v>
      </c>
      <c r="G152" s="14">
        <f>data!AI73</f>
        <v>0</v>
      </c>
      <c r="H152" s="14">
        <f>data!AJ73</f>
        <v>1002524.64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4039721</v>
      </c>
      <c r="D153" s="14">
        <f>data!AF74</f>
        <v>0</v>
      </c>
      <c r="E153" s="14">
        <f>data!AG74</f>
        <v>18520347.23</v>
      </c>
      <c r="F153" s="14">
        <f>data!AH74</f>
        <v>42932</v>
      </c>
      <c r="G153" s="14">
        <f>data!AI74</f>
        <v>3016537</v>
      </c>
      <c r="H153" s="14">
        <f>data!AJ74</f>
        <v>16912070.099999998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5644607</v>
      </c>
      <c r="D154" s="14">
        <f>data!AF75</f>
        <v>0</v>
      </c>
      <c r="E154" s="14">
        <f>data!AG75</f>
        <v>20689214.23</v>
      </c>
      <c r="F154" s="14">
        <f>data!AH75</f>
        <v>42932</v>
      </c>
      <c r="G154" s="14">
        <f>data!AI75</f>
        <v>3016537</v>
      </c>
      <c r="H154" s="14">
        <f>data!AJ75</f>
        <v>17914594.739999998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7400</v>
      </c>
      <c r="D156" s="14">
        <f>data!AF76</f>
        <v>0</v>
      </c>
      <c r="E156" s="14">
        <f>data!AG76</f>
        <v>7100</v>
      </c>
      <c r="F156" s="14">
        <f>data!AH76</f>
        <v>0</v>
      </c>
      <c r="G156" s="14">
        <f>data!AI76</f>
        <v>0</v>
      </c>
      <c r="H156" s="14">
        <f>data!AJ76</f>
        <v>19013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7400</v>
      </c>
      <c r="D158" s="14">
        <f>data!AF78</f>
        <v>0</v>
      </c>
      <c r="E158" s="14">
        <f>data!AG78</f>
        <v>7100</v>
      </c>
      <c r="F158" s="14">
        <f>data!AH78</f>
        <v>0</v>
      </c>
      <c r="G158" s="14">
        <f>data!AI78</f>
        <v>0</v>
      </c>
      <c r="H158" s="14">
        <f>data!AJ78</f>
        <v>19013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18.68</v>
      </c>
      <c r="F160" s="26">
        <f>data!AH80</f>
        <v>0</v>
      </c>
      <c r="G160" s="26">
        <f>data!AI80</f>
        <v>0</v>
      </c>
      <c r="H160" s="26">
        <f>data!AJ80</f>
        <v>13.24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Island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2687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508.24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3.16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0.15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228304.3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8601.380000000001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55558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839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2140.3000000000002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13037.07</v>
      </c>
      <c r="H174" s="14">
        <f>data!AQ64</f>
        <v>0</v>
      </c>
      <c r="I174" s="14">
        <f>data!AR64</f>
        <v>40.07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316.31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101.8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252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7642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676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1498.33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-19124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286930.59999999998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12911.89</v>
      </c>
      <c r="H181" s="14">
        <f>data!AQ71</f>
        <v>0</v>
      </c>
      <c r="I181" s="14">
        <f>data!AR71</f>
        <v>40.07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69789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34216</v>
      </c>
      <c r="H183" s="48">
        <f>+data!M708</f>
        <v>0</v>
      </c>
      <c r="I183" s="48">
        <f>+data!M709</f>
        <v>5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108168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685700.73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40745.759999999995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793868.73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40745.759999999995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1129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1129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Island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201221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17.73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752800.68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236745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93776.48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534642.30000000005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501.61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187117.6</v>
      </c>
      <c r="I208" s="14">
        <f>data!AY66</f>
        <v>105111.42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50244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19471.97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-29386.42</v>
      </c>
      <c r="G212" s="14">
        <f>-data!AW70</f>
        <v>0</v>
      </c>
      <c r="H212" s="14">
        <f>-data!AX70</f>
        <v>0</v>
      </c>
      <c r="I212" s="14">
        <f>-data!AY70</f>
        <v>-437999.27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-29386.42</v>
      </c>
      <c r="G213" s="14">
        <f>data!AW71</f>
        <v>0</v>
      </c>
      <c r="H213" s="14">
        <f>data!AX71</f>
        <v>187117.6</v>
      </c>
      <c r="I213" s="14">
        <f>data!AY71</f>
        <v>1355294.1900000002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3117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129431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129431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4202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Island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205935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7.56</v>
      </c>
      <c r="H234" s="26">
        <f>data!BE60</f>
        <v>7.49</v>
      </c>
      <c r="I234" s="26">
        <f>data!BF60</f>
        <v>27.8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403399.25</v>
      </c>
      <c r="H235" s="14">
        <f>data!BE61</f>
        <v>486782.93</v>
      </c>
      <c r="I235" s="14">
        <f>data!BF61</f>
        <v>1008935.73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117018</v>
      </c>
      <c r="H236" s="14">
        <f>data!BE62</f>
        <v>143418</v>
      </c>
      <c r="I236" s="14">
        <f>data!BF62</f>
        <v>342203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233034.97</v>
      </c>
      <c r="H238" s="14">
        <f>data!BE64</f>
        <v>79988.929999999993</v>
      </c>
      <c r="I238" s="14">
        <f>data!BF64</f>
        <v>218733.17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338.75</v>
      </c>
      <c r="H239" s="14">
        <f>data!BE65</f>
        <v>592508.79</v>
      </c>
      <c r="I239" s="14">
        <f>data!BF65</f>
        <v>62476.61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276416.34000000003</v>
      </c>
      <c r="E240" s="14">
        <f>data!BB66</f>
        <v>0</v>
      </c>
      <c r="F240" s="14">
        <f>data!BC66</f>
        <v>0</v>
      </c>
      <c r="G240" s="14">
        <f>data!BD66</f>
        <v>15200.87</v>
      </c>
      <c r="H240" s="14">
        <f>data!BE66</f>
        <v>568900.44999999995</v>
      </c>
      <c r="I240" s="14">
        <f>data!BF66</f>
        <v>107947.99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1943</v>
      </c>
      <c r="E241" s="14">
        <f>data!BB67</f>
        <v>0</v>
      </c>
      <c r="F241" s="14">
        <f>data!BC67</f>
        <v>0</v>
      </c>
      <c r="G241" s="14">
        <f>data!BD67</f>
        <v>40108</v>
      </c>
      <c r="H241" s="14">
        <f>data!BE67</f>
        <v>183669</v>
      </c>
      <c r="I241" s="14">
        <f>data!BF67</f>
        <v>24829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4630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11258.95</v>
      </c>
      <c r="H243" s="14">
        <f>data!BE69</f>
        <v>3237.99</v>
      </c>
      <c r="I243" s="14">
        <f>data!BF69</f>
        <v>-245.15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-5387.68</v>
      </c>
      <c r="E244" s="14">
        <f>-data!BB70</f>
        <v>0</v>
      </c>
      <c r="F244" s="14">
        <f>-data!BC70</f>
        <v>0</v>
      </c>
      <c r="G244" s="14">
        <f>-data!BD70</f>
        <v>-99823.72</v>
      </c>
      <c r="H244" s="14">
        <f>-data!BE70</f>
        <v>-8813.31</v>
      </c>
      <c r="I244" s="14">
        <f>-data!BF70</f>
        <v>-1050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272971.66000000003</v>
      </c>
      <c r="E245" s="14">
        <f>data!BB71</f>
        <v>0</v>
      </c>
      <c r="F245" s="14">
        <f>data!BC71</f>
        <v>0</v>
      </c>
      <c r="G245" s="14">
        <f>data!BD71</f>
        <v>720535.07</v>
      </c>
      <c r="H245" s="14">
        <f>data!BE71</f>
        <v>2054322.7799999998</v>
      </c>
      <c r="I245" s="14">
        <f>data!BF71</f>
        <v>1763830.35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287</v>
      </c>
      <c r="E252" s="85">
        <f>data!BB76</f>
        <v>0</v>
      </c>
      <c r="F252" s="85">
        <f>data!BC76</f>
        <v>0</v>
      </c>
      <c r="G252" s="85">
        <f>data!BD76</f>
        <v>4791</v>
      </c>
      <c r="H252" s="85">
        <f>data!BE76</f>
        <v>11813</v>
      </c>
      <c r="I252" s="85">
        <f>data!BF76</f>
        <v>2393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287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Island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13.52</v>
      </c>
      <c r="E266" s="26">
        <f>data!BI60</f>
        <v>0</v>
      </c>
      <c r="F266" s="26">
        <f>data!BJ60</f>
        <v>4.2699999999999996</v>
      </c>
      <c r="G266" s="26">
        <f>data!BK60</f>
        <v>23.07</v>
      </c>
      <c r="H266" s="26">
        <f>data!BL60</f>
        <v>28.5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1127667.6200000001</v>
      </c>
      <c r="E267" s="14">
        <f>data!BI61</f>
        <v>0</v>
      </c>
      <c r="F267" s="14">
        <f>data!BJ61</f>
        <v>304988.43</v>
      </c>
      <c r="G267" s="14">
        <f>data!BK61</f>
        <v>1032836.3</v>
      </c>
      <c r="H267" s="14">
        <f>data!BL61</f>
        <v>1212995.3799999999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291370</v>
      </c>
      <c r="E268" s="14">
        <f>data!BI62</f>
        <v>0</v>
      </c>
      <c r="F268" s="14">
        <f>data!BJ62</f>
        <v>82589</v>
      </c>
      <c r="G268" s="14">
        <f>data!BK62</f>
        <v>358079</v>
      </c>
      <c r="H268" s="14">
        <f>data!BL62</f>
        <v>397883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142280.88</v>
      </c>
      <c r="G269" s="14">
        <f>data!BK63</f>
        <v>115748.95</v>
      </c>
      <c r="H269" s="14">
        <f>data!BL63</f>
        <v>12516.18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19465.04</v>
      </c>
      <c r="E270" s="14">
        <f>data!BI64</f>
        <v>0</v>
      </c>
      <c r="F270" s="14">
        <f>data!BJ64</f>
        <v>5032.3500000000004</v>
      </c>
      <c r="G270" s="14">
        <f>data!BK64</f>
        <v>25956.52</v>
      </c>
      <c r="H270" s="14">
        <f>data!BL64</f>
        <v>55367.31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164253.93</v>
      </c>
      <c r="E271" s="14">
        <f>data!BI65</f>
        <v>0</v>
      </c>
      <c r="F271" s="14">
        <f>data!BJ65</f>
        <v>0</v>
      </c>
      <c r="G271" s="14">
        <f>data!BK65</f>
        <v>1378.4</v>
      </c>
      <c r="H271" s="14">
        <f>data!BL65</f>
        <v>985.52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791327.76</v>
      </c>
      <c r="E272" s="14">
        <f>data!BI66</f>
        <v>0</v>
      </c>
      <c r="F272" s="14">
        <f>data!BJ66</f>
        <v>127432.27</v>
      </c>
      <c r="G272" s="14">
        <f>data!BK66</f>
        <v>240007.1</v>
      </c>
      <c r="H272" s="14">
        <f>data!BL66</f>
        <v>75346.09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1037764</v>
      </c>
      <c r="E273" s="14">
        <f>data!BI67</f>
        <v>0</v>
      </c>
      <c r="F273" s="14">
        <f>data!BJ67</f>
        <v>17502</v>
      </c>
      <c r="G273" s="14">
        <f>data!BK67</f>
        <v>26070</v>
      </c>
      <c r="H273" s="14">
        <f>data!BL67</f>
        <v>116619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10286.040000000001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1668.1</v>
      </c>
      <c r="E275" s="14">
        <f>data!BI69</f>
        <v>0</v>
      </c>
      <c r="F275" s="14">
        <f>data!BJ69</f>
        <v>404.95</v>
      </c>
      <c r="G275" s="14">
        <f>data!BK69</f>
        <v>569.78</v>
      </c>
      <c r="H275" s="14">
        <f>data!BL69</f>
        <v>10538.9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-4992</v>
      </c>
      <c r="G276" s="14">
        <f>-data!BK70</f>
        <v>-859</v>
      </c>
      <c r="H276" s="14">
        <f>-data!BL70</f>
        <v>-14800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3443802.49</v>
      </c>
      <c r="E277" s="14">
        <f>data!BI71</f>
        <v>0</v>
      </c>
      <c r="F277" s="14">
        <f>data!BJ71</f>
        <v>675237.88</v>
      </c>
      <c r="G277" s="14">
        <f>data!BK71</f>
        <v>1799787.05</v>
      </c>
      <c r="H277" s="14">
        <f>data!BL71</f>
        <v>1867451.38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1780</v>
      </c>
      <c r="E284" s="85">
        <f>data!BI76</f>
        <v>0</v>
      </c>
      <c r="F284" s="85">
        <f>data!BJ76</f>
        <v>1241</v>
      </c>
      <c r="G284" s="85">
        <f>data!BK76</f>
        <v>3442</v>
      </c>
      <c r="H284" s="85">
        <f>data!BL76</f>
        <v>12125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1780</v>
      </c>
      <c r="E286" s="85">
        <f>data!BI78</f>
        <v>0</v>
      </c>
      <c r="F286" s="213" t="str">
        <f>IF(data!BJ78&gt;0,data!BJ78,"")</f>
        <v>x</v>
      </c>
      <c r="G286" s="85">
        <f>data!BK78</f>
        <v>3442</v>
      </c>
      <c r="H286" s="85">
        <f>data!BL78</f>
        <v>12125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Island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6.92</v>
      </c>
      <c r="D298" s="26">
        <f>data!BO60</f>
        <v>0.92</v>
      </c>
      <c r="E298" s="26">
        <f>data!BP60</f>
        <v>2.0299999999999998</v>
      </c>
      <c r="F298" s="26">
        <f>data!BQ60</f>
        <v>0</v>
      </c>
      <c r="G298" s="26">
        <f>data!BR60</f>
        <v>5.34</v>
      </c>
      <c r="H298" s="26">
        <f>data!BS60</f>
        <v>1.01</v>
      </c>
      <c r="I298" s="26">
        <f>data!BT60</f>
        <v>0.09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1194821.58</v>
      </c>
      <c r="D299" s="14">
        <f>data!BO61</f>
        <v>68891.28</v>
      </c>
      <c r="E299" s="14">
        <f>data!BP61</f>
        <v>173179.42</v>
      </c>
      <c r="F299" s="14">
        <f>data!BQ61</f>
        <v>0</v>
      </c>
      <c r="G299" s="14">
        <f>data!BR61</f>
        <v>382415.72</v>
      </c>
      <c r="H299" s="14">
        <f>data!BS61</f>
        <v>49319.86</v>
      </c>
      <c r="I299" s="14">
        <f>data!BT61</f>
        <v>4910.46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292191</v>
      </c>
      <c r="D300" s="14">
        <f>data!BO62</f>
        <v>21425</v>
      </c>
      <c r="E300" s="14">
        <f>data!BP62</f>
        <v>47033</v>
      </c>
      <c r="F300" s="14">
        <f>data!BQ62</f>
        <v>0</v>
      </c>
      <c r="G300" s="14">
        <f>data!BR62</f>
        <v>144919</v>
      </c>
      <c r="H300" s="14">
        <f>data!BS62</f>
        <v>17637</v>
      </c>
      <c r="I300" s="14">
        <f>data!BT62</f>
        <v>530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487728.11</v>
      </c>
      <c r="D301" s="14">
        <f>data!BO63</f>
        <v>0</v>
      </c>
      <c r="E301" s="14">
        <f>data!BP63</f>
        <v>53761.72</v>
      </c>
      <c r="F301" s="14">
        <f>data!BQ63</f>
        <v>0</v>
      </c>
      <c r="G301" s="14">
        <f>data!BR63</f>
        <v>91926.14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32212.42</v>
      </c>
      <c r="D302" s="14">
        <f>data!BO64</f>
        <v>25886.03</v>
      </c>
      <c r="E302" s="14">
        <f>data!BP64</f>
        <v>57200.01</v>
      </c>
      <c r="F302" s="14">
        <f>data!BQ64</f>
        <v>0</v>
      </c>
      <c r="G302" s="14">
        <f>data!BR64</f>
        <v>6589.19</v>
      </c>
      <c r="H302" s="14">
        <f>data!BS64</f>
        <v>848.05</v>
      </c>
      <c r="I302" s="14">
        <f>data!BT64</f>
        <v>203.4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58.59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316.31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35281.31</v>
      </c>
      <c r="D304" s="14">
        <f>data!BO66</f>
        <v>44040.87</v>
      </c>
      <c r="E304" s="14">
        <f>data!BP66</f>
        <v>153752.63</v>
      </c>
      <c r="F304" s="14">
        <f>data!BQ66</f>
        <v>0</v>
      </c>
      <c r="G304" s="14">
        <f>data!BR66</f>
        <v>92349.1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12222</v>
      </c>
      <c r="D305" s="14">
        <f>data!BO67</f>
        <v>0</v>
      </c>
      <c r="E305" s="14">
        <f>data!BP67</f>
        <v>4293</v>
      </c>
      <c r="F305" s="14">
        <f>data!BQ67</f>
        <v>0</v>
      </c>
      <c r="G305" s="14">
        <f>data!BR67</f>
        <v>8075</v>
      </c>
      <c r="H305" s="14">
        <f>data!BS67</f>
        <v>7628</v>
      </c>
      <c r="I305" s="14">
        <f>data!BT67</f>
        <v>2647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262.5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179318.42</v>
      </c>
      <c r="D307" s="14">
        <f>data!BO69</f>
        <v>0</v>
      </c>
      <c r="E307" s="14">
        <f>data!BP69</f>
        <v>1356.57</v>
      </c>
      <c r="F307" s="14">
        <f>data!BQ69</f>
        <v>0</v>
      </c>
      <c r="G307" s="14">
        <f>data!BR69</f>
        <v>36750.14</v>
      </c>
      <c r="H307" s="14">
        <f>data!BS69</f>
        <v>3964.66</v>
      </c>
      <c r="I307" s="14">
        <f>data!BT69</f>
        <v>240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-10100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2234095.9300000002</v>
      </c>
      <c r="D309" s="14">
        <f>data!BO71</f>
        <v>160243.18</v>
      </c>
      <c r="E309" s="14">
        <f>data!BP71</f>
        <v>490576.35000000003</v>
      </c>
      <c r="F309" s="14">
        <f>data!BQ71</f>
        <v>0</v>
      </c>
      <c r="G309" s="14">
        <f>data!BR71</f>
        <v>763024.28999999992</v>
      </c>
      <c r="H309" s="14">
        <f>data!BS71</f>
        <v>79397.570000000007</v>
      </c>
      <c r="I309" s="14">
        <f>data!BT71</f>
        <v>-1252.83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1627</v>
      </c>
      <c r="D316" s="85">
        <f>data!BO76</f>
        <v>0</v>
      </c>
      <c r="E316" s="85">
        <f>data!BP76</f>
        <v>129</v>
      </c>
      <c r="F316" s="85">
        <f>data!BQ76</f>
        <v>0</v>
      </c>
      <c r="G316" s="85">
        <f>data!BR76</f>
        <v>1193</v>
      </c>
      <c r="H316" s="85">
        <f>data!BS76</f>
        <v>1127</v>
      </c>
      <c r="I316" s="85">
        <f>data!BT76</f>
        <v>391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1127</v>
      </c>
      <c r="I318" s="85">
        <f>data!BT78</f>
        <v>391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Island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0.36</v>
      </c>
      <c r="D330" s="26">
        <f>data!BV60</f>
        <v>10</v>
      </c>
      <c r="E330" s="26">
        <f>data!BW60</f>
        <v>1</v>
      </c>
      <c r="F330" s="26">
        <f>data!BX60</f>
        <v>7.17</v>
      </c>
      <c r="G330" s="26">
        <f>data!BY60</f>
        <v>2.35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14526.34</v>
      </c>
      <c r="D331" s="86">
        <f>data!BV61</f>
        <v>424896.33</v>
      </c>
      <c r="E331" s="86">
        <f>data!BW61</f>
        <v>84122.3</v>
      </c>
      <c r="F331" s="86">
        <f>data!BX61</f>
        <v>554910.07999999996</v>
      </c>
      <c r="G331" s="86">
        <f>data!BY61</f>
        <v>195748.51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1592</v>
      </c>
      <c r="D332" s="86">
        <f>data!BV62</f>
        <v>132413</v>
      </c>
      <c r="E332" s="86">
        <f>data!BW62</f>
        <v>21996</v>
      </c>
      <c r="F332" s="86">
        <f>data!BX62</f>
        <v>139218</v>
      </c>
      <c r="G332" s="86">
        <f>data!BY62</f>
        <v>49098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64055.25</v>
      </c>
      <c r="E333" s="86">
        <f>data!BW63</f>
        <v>2481.5</v>
      </c>
      <c r="F333" s="86">
        <f>data!BX63</f>
        <v>43594.44</v>
      </c>
      <c r="G333" s="86">
        <f>data!BY63</f>
        <v>410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8065.95</v>
      </c>
      <c r="E334" s="86">
        <f>data!BW64</f>
        <v>470.8</v>
      </c>
      <c r="F334" s="86">
        <f>data!BX64</f>
        <v>3125.89</v>
      </c>
      <c r="G334" s="86">
        <f>data!BY64</f>
        <v>11054.52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765.14</v>
      </c>
      <c r="G335" s="86">
        <f>data!BY65</f>
        <v>932.55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136357.4</v>
      </c>
      <c r="E336" s="86">
        <f>data!BW66</f>
        <v>0</v>
      </c>
      <c r="F336" s="86">
        <f>data!BX66</f>
        <v>31732.67</v>
      </c>
      <c r="G336" s="86">
        <f>data!BY66</f>
        <v>20705.830000000002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3777</v>
      </c>
      <c r="D337" s="86">
        <f>data!BV67</f>
        <v>10156</v>
      </c>
      <c r="E337" s="86">
        <f>data!BW67</f>
        <v>1665</v>
      </c>
      <c r="F337" s="86">
        <f>data!BX67</f>
        <v>2710</v>
      </c>
      <c r="G337" s="86">
        <f>data!BY67</f>
        <v>4257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4849.33</v>
      </c>
      <c r="D339" s="86">
        <f>data!BV69</f>
        <v>4545.07</v>
      </c>
      <c r="E339" s="86">
        <f>data!BW69</f>
        <v>8414.64</v>
      </c>
      <c r="F339" s="86">
        <f>data!BX69</f>
        <v>4325.91</v>
      </c>
      <c r="G339" s="86">
        <f>data!BY69</f>
        <v>71299.490000000005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-5000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24744.67</v>
      </c>
      <c r="D341" s="14">
        <f>data!BV71</f>
        <v>780489</v>
      </c>
      <c r="E341" s="14">
        <f>data!BW71</f>
        <v>119150.24</v>
      </c>
      <c r="F341" s="14">
        <f>data!BX71</f>
        <v>780382.13000000012</v>
      </c>
      <c r="G341" s="14">
        <f>data!BY71</f>
        <v>348505.89999999997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558</v>
      </c>
      <c r="D348" s="85">
        <f>data!BV76</f>
        <v>1426</v>
      </c>
      <c r="E348" s="85">
        <f>data!BW76</f>
        <v>246</v>
      </c>
      <c r="F348" s="85">
        <f>data!BX76</f>
        <v>200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558</v>
      </c>
      <c r="D350" s="85">
        <f>data!BV78</f>
        <v>1426</v>
      </c>
      <c r="E350" s="85">
        <f>data!BW78</f>
        <v>246</v>
      </c>
      <c r="F350" s="85">
        <f>data!BX78</f>
        <v>200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Island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8.01</v>
      </c>
      <c r="E362" s="217"/>
      <c r="F362" s="211"/>
      <c r="G362" s="211"/>
      <c r="H362" s="211"/>
      <c r="I362" s="87">
        <f>data!CE60</f>
        <v>550.68000000000006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93654.55</v>
      </c>
      <c r="D363" s="86">
        <f>data!CC61</f>
        <v>329312.43000000005</v>
      </c>
      <c r="E363" s="218"/>
      <c r="F363" s="219"/>
      <c r="G363" s="219"/>
      <c r="H363" s="219"/>
      <c r="I363" s="86">
        <f>data!CE61</f>
        <v>41292331.829999983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31847</v>
      </c>
      <c r="D364" s="86">
        <f>data!CC62</f>
        <v>109069</v>
      </c>
      <c r="E364" s="218"/>
      <c r="F364" s="219"/>
      <c r="G364" s="219"/>
      <c r="H364" s="219"/>
      <c r="I364" s="86">
        <f>data!CE62</f>
        <v>10346600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819.2</v>
      </c>
      <c r="D365" s="86">
        <f>data!CC63</f>
        <v>153511.87</v>
      </c>
      <c r="E365" s="218"/>
      <c r="F365" s="219"/>
      <c r="G365" s="219"/>
      <c r="H365" s="219"/>
      <c r="I365" s="86">
        <f>data!CE63</f>
        <v>4461756.3000000007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1836.02</v>
      </c>
      <c r="D366" s="86">
        <f>data!CC64</f>
        <v>4050.89</v>
      </c>
      <c r="E366" s="218"/>
      <c r="F366" s="219"/>
      <c r="G366" s="219"/>
      <c r="H366" s="219"/>
      <c r="I366" s="86">
        <f>data!CE64</f>
        <v>23720189.060000006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129135.11</v>
      </c>
      <c r="E367" s="218"/>
      <c r="F367" s="219"/>
      <c r="G367" s="219"/>
      <c r="H367" s="219"/>
      <c r="I367" s="86">
        <f>data!CE65</f>
        <v>1008444.7400000002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457918.45000000007</v>
      </c>
      <c r="E368" s="218"/>
      <c r="F368" s="219"/>
      <c r="G368" s="219"/>
      <c r="H368" s="219"/>
      <c r="I368" s="86">
        <f>data!CE66</f>
        <v>7878368.8499999978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4352</v>
      </c>
      <c r="D369" s="86">
        <f>data!CC67</f>
        <v>1210080</v>
      </c>
      <c r="E369" s="218"/>
      <c r="F369" s="219"/>
      <c r="G369" s="219"/>
      <c r="H369" s="219"/>
      <c r="I369" s="86">
        <f>data!CE67</f>
        <v>4809720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317919</v>
      </c>
      <c r="E370" s="218"/>
      <c r="F370" s="219"/>
      <c r="G370" s="219"/>
      <c r="H370" s="219"/>
      <c r="I370" s="86">
        <f>data!CE68</f>
        <v>1147206.22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1776.37</v>
      </c>
      <c r="D371" s="86">
        <f>data!CC69</f>
        <v>1439887.7600000002</v>
      </c>
      <c r="E371" s="86">
        <f>data!CD69</f>
        <v>0</v>
      </c>
      <c r="F371" s="219"/>
      <c r="G371" s="219"/>
      <c r="H371" s="219"/>
      <c r="I371" s="86">
        <f>data!CE69</f>
        <v>2168112.14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-98538.15</v>
      </c>
      <c r="D372" s="14">
        <f>-data!CC70</f>
        <v>-46524.92</v>
      </c>
      <c r="E372" s="228">
        <f>data!CD70</f>
        <v>0</v>
      </c>
      <c r="F372" s="220"/>
      <c r="G372" s="220"/>
      <c r="H372" s="220"/>
      <c r="I372" s="14">
        <f>-data!CE70</f>
        <v>-968604.38000000024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35746.99000000002</v>
      </c>
      <c r="D373" s="86">
        <f>data!CC71</f>
        <v>4104359.5900000003</v>
      </c>
      <c r="E373" s="86">
        <f>data!CD71</f>
        <v>0</v>
      </c>
      <c r="F373" s="219"/>
      <c r="G373" s="219"/>
      <c r="H373" s="219"/>
      <c r="I373" s="14">
        <f>data!CE71</f>
        <v>95864124.759999976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-5336994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64956567.75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165706370.05999997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230662937.81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643</v>
      </c>
      <c r="D380" s="85">
        <f>data!CC76</f>
        <v>45760</v>
      </c>
      <c r="E380" s="214"/>
      <c r="F380" s="211"/>
      <c r="G380" s="211"/>
      <c r="H380" s="211"/>
      <c r="I380" s="14">
        <f>data!CE76</f>
        <v>205935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26283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643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132786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462737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113.24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Z28" transitionEvaluation="1" transitionEntry="1" codeName="Sheet10">
    <pageSetUpPr autoPageBreaks="0" fitToPage="1"/>
  </sheetPr>
  <dimension ref="A1:CF817"/>
  <sheetViews>
    <sheetView showGridLines="0" topLeftCell="Z28" zoomScale="75" workbookViewId="0">
      <selection activeCell="AP70" sqref="AP7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10326817.43</v>
      </c>
      <c r="C47" s="184">
        <v>322715.24</v>
      </c>
      <c r="D47" s="184">
        <v>0</v>
      </c>
      <c r="E47" s="184">
        <v>1219814.06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f>306406.33</f>
        <v>306406.33</v>
      </c>
      <c r="P47" s="184">
        <f>412429.09+199635.86</f>
        <v>612064.94999999995</v>
      </c>
      <c r="Q47" s="184">
        <f>212511.84</f>
        <v>212511.84</v>
      </c>
      <c r="R47" s="184">
        <f>34974.35</f>
        <v>34974.35</v>
      </c>
      <c r="S47" s="184">
        <f>95210.36</f>
        <v>95210.36</v>
      </c>
      <c r="T47" s="184">
        <v>0</v>
      </c>
      <c r="U47" s="184">
        <f>389305.76</f>
        <v>389305.76</v>
      </c>
      <c r="V47" s="184">
        <f>10861.8</f>
        <v>10861.8</v>
      </c>
      <c r="W47" s="184">
        <f>40006.06</f>
        <v>40006.06</v>
      </c>
      <c r="X47" s="184">
        <f>64194.38</f>
        <v>64194.38</v>
      </c>
      <c r="Y47" s="184">
        <f>4279.19+42568.11+105067.2+231579.5+64288.18</f>
        <v>447782.18</v>
      </c>
      <c r="Z47" s="184">
        <f>239536.76</f>
        <v>239536.76</v>
      </c>
      <c r="AA47" s="184">
        <f>40111.8</f>
        <v>40111.800000000003</v>
      </c>
      <c r="AB47" s="184">
        <f>242536.9</f>
        <v>242536.9</v>
      </c>
      <c r="AC47" s="184">
        <f>140225.53+45267.83</f>
        <v>185493.36</v>
      </c>
      <c r="AD47" s="184">
        <v>0</v>
      </c>
      <c r="AE47" s="184">
        <f>328414.93+18086.29</f>
        <v>346501.22</v>
      </c>
      <c r="AF47" s="184">
        <v>0</v>
      </c>
      <c r="AG47" s="184">
        <f>488475.63</f>
        <v>488475.63</v>
      </c>
      <c r="AH47" s="184">
        <f>12394.32</f>
        <v>12394.32</v>
      </c>
      <c r="AI47" s="184">
        <f>123971.15</f>
        <v>123971.15</v>
      </c>
      <c r="AJ47" s="184">
        <f>1806.05+45296.08+93729.07+135611.21+345178.12+95944.12+1057004+3819.16+106569.27</f>
        <v>1884957.0799999998</v>
      </c>
      <c r="AK47" s="184">
        <v>0</v>
      </c>
      <c r="AL47" s="184">
        <f>41495.45</f>
        <v>41495.449999999997</v>
      </c>
      <c r="AM47" s="184">
        <v>0</v>
      </c>
      <c r="AN47" s="184">
        <v>0</v>
      </c>
      <c r="AO47" s="184">
        <v>0</v>
      </c>
      <c r="AP47" s="184">
        <f>674.75+704.52</f>
        <v>1379.27</v>
      </c>
      <c r="AQ47" s="184">
        <v>0</v>
      </c>
      <c r="AR47" s="184">
        <f>187986.46</f>
        <v>187986.46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f>226116.75</f>
        <v>226116.75</v>
      </c>
      <c r="AZ47" s="184">
        <v>0</v>
      </c>
      <c r="BA47" s="184">
        <v>0</v>
      </c>
      <c r="BB47" s="184">
        <v>0</v>
      </c>
      <c r="BC47" s="184">
        <v>0</v>
      </c>
      <c r="BD47" s="184">
        <f>144247.31</f>
        <v>144247.31</v>
      </c>
      <c r="BE47" s="184">
        <f>140597.99</f>
        <v>140597.99</v>
      </c>
      <c r="BF47" s="184">
        <f>365998.73</f>
        <v>365998.73</v>
      </c>
      <c r="BG47" s="184">
        <v>0</v>
      </c>
      <c r="BH47" s="184">
        <f>264615.96</f>
        <v>264615.96000000002</v>
      </c>
      <c r="BI47" s="184">
        <v>0</v>
      </c>
      <c r="BJ47" s="184">
        <f>76619.91</f>
        <v>76619.91</v>
      </c>
      <c r="BK47" s="184">
        <f>334480.77</f>
        <v>334480.77</v>
      </c>
      <c r="BL47" s="184">
        <f>352328.53</f>
        <v>352328.53</v>
      </c>
      <c r="BM47" s="184">
        <v>0</v>
      </c>
      <c r="BN47" s="184">
        <f>286387.5</f>
        <v>286387.5</v>
      </c>
      <c r="BO47" s="184">
        <f>12819.83</f>
        <v>12819.83</v>
      </c>
      <c r="BP47" s="184">
        <f>43611.87</f>
        <v>43611.87</v>
      </c>
      <c r="BQ47" s="184">
        <v>0</v>
      </c>
      <c r="BR47" s="184">
        <f>147015.45</f>
        <v>147015.45000000001</v>
      </c>
      <c r="BS47" s="184">
        <v>16967.86</v>
      </c>
      <c r="BT47" s="184">
        <f>699.06</f>
        <v>699.06</v>
      </c>
      <c r="BU47" s="184">
        <f>1618.44</f>
        <v>1618.44</v>
      </c>
      <c r="BV47" s="184">
        <f>136232.1</f>
        <v>136232.1</v>
      </c>
      <c r="BW47" s="184">
        <f>20775.91</f>
        <v>20775.91</v>
      </c>
      <c r="BX47" s="184">
        <f>121756.17</f>
        <v>121756.17</v>
      </c>
      <c r="BY47" s="184">
        <f>36095.13</f>
        <v>36095.129999999997</v>
      </c>
      <c r="BZ47" s="184">
        <v>0</v>
      </c>
      <c r="CA47" s="184">
        <v>0</v>
      </c>
      <c r="CB47" s="184">
        <f>18336.58+11278.47</f>
        <v>29615.050000000003</v>
      </c>
      <c r="CC47" s="184">
        <f>2721.14+9802.58+25072.83+58043.35+10610.19-88719.69</f>
        <v>17530.399999999994</v>
      </c>
      <c r="CD47" s="195"/>
      <c r="CE47" s="195">
        <f>SUM(C47:CC47)</f>
        <v>10326817.43</v>
      </c>
    </row>
    <row r="48" spans="1:83" ht="12.6" customHeight="1" x14ac:dyDescent="0.25">
      <c r="A48" s="175" t="s">
        <v>205</v>
      </c>
      <c r="B48" s="183">
        <v>0</v>
      </c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10326817.43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2577336</v>
      </c>
      <c r="C51" s="184">
        <f>76219</f>
        <v>76219</v>
      </c>
      <c r="D51" s="184">
        <v>0</v>
      </c>
      <c r="E51" s="184">
        <f>78397</f>
        <v>78397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f>33200</f>
        <v>33200</v>
      </c>
      <c r="P51" s="184">
        <f>347119+1388</f>
        <v>348507</v>
      </c>
      <c r="Q51" s="184">
        <f>7160</f>
        <v>7160</v>
      </c>
      <c r="R51" s="184">
        <v>38520</v>
      </c>
      <c r="S51" s="184">
        <v>39372</v>
      </c>
      <c r="T51" s="184">
        <v>0</v>
      </c>
      <c r="U51" s="184">
        <v>60493</v>
      </c>
      <c r="V51" s="184">
        <f>2172</f>
        <v>2172</v>
      </c>
      <c r="W51" s="184">
        <f>2368</f>
        <v>2368</v>
      </c>
      <c r="X51" s="184">
        <v>117248</v>
      </c>
      <c r="Y51" s="184">
        <f>288+61565+76249</f>
        <v>138102</v>
      </c>
      <c r="Z51" s="184">
        <v>11844</v>
      </c>
      <c r="AA51" s="184">
        <v>4424</v>
      </c>
      <c r="AB51" s="184">
        <v>185618</v>
      </c>
      <c r="AC51" s="184">
        <f>12138+5068</f>
        <v>17206</v>
      </c>
      <c r="AD51" s="184">
        <v>0</v>
      </c>
      <c r="AE51" s="184">
        <v>6156</v>
      </c>
      <c r="AF51" s="184">
        <v>0</v>
      </c>
      <c r="AG51" s="184">
        <v>28251</v>
      </c>
      <c r="AH51" s="184">
        <v>636</v>
      </c>
      <c r="AI51" s="184">
        <v>20100</v>
      </c>
      <c r="AJ51" s="184">
        <f>672+5640+1128+6384+13408+24964</f>
        <v>52196</v>
      </c>
      <c r="AK51" s="184">
        <v>0</v>
      </c>
      <c r="AL51" s="184">
        <v>252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1044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27522</v>
      </c>
      <c r="AZ51" s="184">
        <v>0</v>
      </c>
      <c r="BA51" s="184">
        <v>0</v>
      </c>
      <c r="BB51" s="184">
        <v>0</v>
      </c>
      <c r="BC51" s="184">
        <v>0</v>
      </c>
      <c r="BD51" s="184">
        <f>7770</f>
        <v>7770</v>
      </c>
      <c r="BE51" s="184">
        <v>120937</v>
      </c>
      <c r="BF51" s="184">
        <v>5838</v>
      </c>
      <c r="BG51" s="184">
        <v>0</v>
      </c>
      <c r="BH51" s="184">
        <v>664330</v>
      </c>
      <c r="BI51" s="184">
        <v>0</v>
      </c>
      <c r="BJ51" s="184">
        <v>9097</v>
      </c>
      <c r="BK51" s="184">
        <v>3246</v>
      </c>
      <c r="BL51" s="184">
        <v>36229</v>
      </c>
      <c r="BM51" s="184">
        <v>0</v>
      </c>
      <c r="BN51" s="184">
        <v>1320</v>
      </c>
      <c r="BO51" s="184">
        <v>0</v>
      </c>
      <c r="BP51" s="184">
        <v>0</v>
      </c>
      <c r="BQ51" s="184">
        <v>0</v>
      </c>
      <c r="BR51" s="184">
        <v>644</v>
      </c>
      <c r="BS51" s="184">
        <v>0</v>
      </c>
      <c r="BT51" s="184">
        <v>0</v>
      </c>
      <c r="BU51" s="184">
        <v>0</v>
      </c>
      <c r="BV51" s="184">
        <v>540</v>
      </c>
      <c r="BW51" s="184">
        <v>0</v>
      </c>
      <c r="BX51" s="184">
        <v>1159</v>
      </c>
      <c r="BY51" s="184">
        <v>492</v>
      </c>
      <c r="BZ51" s="184">
        <v>0</v>
      </c>
      <c r="CA51" s="184">
        <v>0</v>
      </c>
      <c r="CB51" s="184">
        <v>522</v>
      </c>
      <c r="CC51" s="184">
        <f>7127+624+188122+168084+9132+48360+324+6432</f>
        <v>428205</v>
      </c>
      <c r="CD51" s="195"/>
      <c r="CE51" s="195">
        <f>SUM(C51:CD51)</f>
        <v>2577336</v>
      </c>
    </row>
    <row r="52" spans="1:84" ht="12.6" customHeight="1" x14ac:dyDescent="0.25">
      <c r="A52" s="171" t="s">
        <v>208</v>
      </c>
      <c r="B52" s="184">
        <v>1523885</v>
      </c>
      <c r="C52" s="195">
        <f>ROUND((B52/(CE76+CF76)*C76),0)</f>
        <v>27322</v>
      </c>
      <c r="D52" s="195">
        <f>ROUND((B52/(CE76+CF76)*D76),0)</f>
        <v>0</v>
      </c>
      <c r="E52" s="195">
        <f>ROUND((B52/(CE76+CF76)*E76),0)</f>
        <v>171396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39317</v>
      </c>
      <c r="P52" s="195">
        <f>ROUND((B52/(CE76+CF76)*P76),0)</f>
        <v>85872</v>
      </c>
      <c r="Q52" s="195">
        <f>ROUND((B52/(CE76+CF76)*Q76),0)</f>
        <v>0</v>
      </c>
      <c r="R52" s="195">
        <f>ROUND((B52/(CE76+CF76)*R76),0)</f>
        <v>3700</v>
      </c>
      <c r="S52" s="195">
        <f>ROUND((B52/(CE76+CF76)*S76),0)</f>
        <v>22430</v>
      </c>
      <c r="T52" s="195">
        <f>ROUND((B52/(CE76+CF76)*T76),0)</f>
        <v>0</v>
      </c>
      <c r="U52" s="195">
        <f>ROUND((B52/(CE76+CF76)*U76),0)</f>
        <v>29157</v>
      </c>
      <c r="V52" s="195">
        <f>ROUND((B52/(CE76+CF76)*V76),0)</f>
        <v>74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80847</v>
      </c>
      <c r="Z52" s="195">
        <f>ROUND((B52/(CE76+CF76)*Z76),0)</f>
        <v>56981</v>
      </c>
      <c r="AA52" s="195">
        <f>ROUND((B52/(CE76+CF76)*AA76),0)</f>
        <v>0</v>
      </c>
      <c r="AB52" s="195">
        <f>ROUND((B52/(CE76+CF76)*AB76),0)</f>
        <v>14031</v>
      </c>
      <c r="AC52" s="195">
        <f>ROUND((B52/(CE76+CF76)*AC76),0)</f>
        <v>30689</v>
      </c>
      <c r="AD52" s="195">
        <f>ROUND((B52/(CE76+CF76)*AD76),0)</f>
        <v>0</v>
      </c>
      <c r="AE52" s="195">
        <f>ROUND((B52/(CE76+CF76)*AE76),0)</f>
        <v>54761</v>
      </c>
      <c r="AF52" s="195">
        <f>ROUND((B52/(CE76+CF76)*AF76),0)</f>
        <v>0</v>
      </c>
      <c r="AG52" s="195">
        <f>ROUND((B52/(CE76+CF76)*AG76),0)</f>
        <v>52541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140700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8355</v>
      </c>
      <c r="AQ52" s="195">
        <f>ROUND((B52/(CE76+CF76)*AQ76),0)</f>
        <v>0</v>
      </c>
      <c r="AR52" s="195">
        <f>ROUND((B52/(CE76+CF76)*AR76),0)</f>
        <v>9295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31096</v>
      </c>
      <c r="AZ52" s="195">
        <f>ROUND((B52/(CE76+CF76)*AZ76),0)</f>
        <v>0</v>
      </c>
      <c r="BA52" s="195">
        <f>ROUND((B52/(CE76+CF76)*BA76),0)</f>
        <v>2124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35454</v>
      </c>
      <c r="BE52" s="195">
        <f>ROUND((B52/(CE76+CF76)*BE76),0)</f>
        <v>87418</v>
      </c>
      <c r="BF52" s="195">
        <f>ROUND((B52/(CE76+CF76)*BF76),0)</f>
        <v>17709</v>
      </c>
      <c r="BG52" s="195">
        <f>ROUND((B52/(CE76+CF76)*BG76),0)</f>
        <v>0</v>
      </c>
      <c r="BH52" s="195">
        <f>ROUND((B52/(CE76+CF76)*BH76),0)</f>
        <v>13172</v>
      </c>
      <c r="BI52" s="195">
        <f>ROUND((B52/(CE76+CF76)*BI76),0)</f>
        <v>0</v>
      </c>
      <c r="BJ52" s="195">
        <f>ROUND((B52/(CE76+CF76)*BJ76),0)</f>
        <v>9184</v>
      </c>
      <c r="BK52" s="195">
        <f>ROUND((B52/(CE76+CF76)*BK76),0)</f>
        <v>25471</v>
      </c>
      <c r="BL52" s="195">
        <f>ROUND((B52/(CE76+CF76)*BL76),0)</f>
        <v>89727</v>
      </c>
      <c r="BM52" s="195">
        <f>ROUND((B52/(CE76+CF76)*BM76),0)</f>
        <v>0</v>
      </c>
      <c r="BN52" s="195">
        <f>ROUND((B52/(CE76+CF76)*BN76),0)</f>
        <v>12040</v>
      </c>
      <c r="BO52" s="195">
        <f>ROUND((B52/(CE76+CF76)*BO76),0)</f>
        <v>0</v>
      </c>
      <c r="BP52" s="195">
        <f>ROUND((B52/(CE76+CF76)*BP76),0)</f>
        <v>955</v>
      </c>
      <c r="BQ52" s="195">
        <f>ROUND((B52/(CE76+CF76)*BQ76),0)</f>
        <v>0</v>
      </c>
      <c r="BR52" s="195">
        <f>ROUND((B52/(CE76+CF76)*BR76),0)</f>
        <v>8828</v>
      </c>
      <c r="BS52" s="195">
        <f>ROUND((B52/(CE76+CF76)*BS76),0)</f>
        <v>8340</v>
      </c>
      <c r="BT52" s="195">
        <f>ROUND((B52/(CE76+CF76)*BT76),0)</f>
        <v>2893</v>
      </c>
      <c r="BU52" s="195">
        <f>ROUND((B52/(CE76+CF76)*BU76),0)</f>
        <v>4129</v>
      </c>
      <c r="BV52" s="195">
        <f>ROUND((B52/(CE76+CF76)*BV76),0)</f>
        <v>10553</v>
      </c>
      <c r="BW52" s="195">
        <f>ROUND((B52/(CE76+CF76)*BW76),0)</f>
        <v>1820</v>
      </c>
      <c r="BX52" s="195">
        <f>ROUND((B52/(CE76+CF76)*BX76),0)</f>
        <v>1480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4758</v>
      </c>
      <c r="CC52" s="195">
        <f>ROUND((B52/(CE76+CF76)*CC76),0)</f>
        <v>329264</v>
      </c>
      <c r="CD52" s="195"/>
      <c r="CE52" s="195">
        <f>SUM(C52:CD52)</f>
        <v>1523883</v>
      </c>
    </row>
    <row r="53" spans="1:84" ht="12.6" customHeight="1" x14ac:dyDescent="0.25">
      <c r="A53" s="175" t="s">
        <v>206</v>
      </c>
      <c r="B53" s="195">
        <f>B51+B52</f>
        <v>4101221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902</v>
      </c>
      <c r="D59" s="184">
        <v>0</v>
      </c>
      <c r="E59" s="184">
        <f>7413+67</f>
        <v>7480</v>
      </c>
      <c r="F59" s="184">
        <v>0</v>
      </c>
      <c r="G59" s="184">
        <v>0</v>
      </c>
      <c r="H59" s="184">
        <v>0</v>
      </c>
      <c r="I59" s="184">
        <v>0</v>
      </c>
      <c r="J59" s="184">
        <v>839</v>
      </c>
      <c r="K59" s="184">
        <v>0</v>
      </c>
      <c r="L59" s="184">
        <v>0</v>
      </c>
      <c r="M59" s="184">
        <v>0</v>
      </c>
      <c r="N59" s="184">
        <v>0</v>
      </c>
      <c r="O59" s="184">
        <f>479+847+937</f>
        <v>2263</v>
      </c>
      <c r="P59" s="185">
        <v>350652</v>
      </c>
      <c r="Q59" s="185">
        <v>238166</v>
      </c>
      <c r="R59" s="185">
        <v>350652</v>
      </c>
      <c r="S59" s="246"/>
      <c r="T59" s="246"/>
      <c r="U59" s="224">
        <v>265998</v>
      </c>
      <c r="V59" s="185">
        <v>6573</v>
      </c>
      <c r="W59" s="185">
        <v>4492</v>
      </c>
      <c r="X59" s="185">
        <v>10003</v>
      </c>
      <c r="Y59" s="185">
        <f>20937+4538+1254+6894</f>
        <v>33623</v>
      </c>
      <c r="Z59" s="185">
        <v>13182</v>
      </c>
      <c r="AA59" s="185">
        <v>1067</v>
      </c>
      <c r="AB59" s="246"/>
      <c r="AC59" s="185">
        <f>6785+4758</f>
        <v>11543</v>
      </c>
      <c r="AD59" s="185">
        <v>0</v>
      </c>
      <c r="AE59" s="185">
        <f>1320+2600+13177+1965</f>
        <v>19062</v>
      </c>
      <c r="AF59" s="185">
        <v>0</v>
      </c>
      <c r="AG59" s="185">
        <v>17631</v>
      </c>
      <c r="AH59" s="185">
        <v>0</v>
      </c>
      <c r="AI59" s="185">
        <v>440</v>
      </c>
      <c r="AJ59" s="185">
        <f>19+4289+19091+2479+40232</f>
        <v>66110</v>
      </c>
      <c r="AK59" s="185">
        <v>0</v>
      </c>
      <c r="AL59" s="185">
        <v>2783</v>
      </c>
      <c r="AM59" s="185">
        <v>0</v>
      </c>
      <c r="AN59" s="185">
        <v>0</v>
      </c>
      <c r="AO59" s="185">
        <v>0</v>
      </c>
      <c r="AP59" s="185">
        <f>468.03+43.8</f>
        <v>511.83</v>
      </c>
      <c r="AQ59" s="185">
        <v>0</v>
      </c>
      <c r="AR59" s="185">
        <v>4781</v>
      </c>
      <c r="AS59" s="185">
        <v>0</v>
      </c>
      <c r="AT59" s="185">
        <v>0</v>
      </c>
      <c r="AU59" s="185">
        <v>0</v>
      </c>
      <c r="AV59" s="246"/>
      <c r="AW59" s="246"/>
      <c r="AX59" s="246"/>
      <c r="AY59" s="185">
        <v>206545</v>
      </c>
      <c r="AZ59" s="185">
        <v>0</v>
      </c>
      <c r="BA59" s="246"/>
      <c r="BB59" s="246"/>
      <c r="BC59" s="246"/>
      <c r="BD59" s="246"/>
      <c r="BE59" s="185">
        <v>205925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14.81</v>
      </c>
      <c r="D60" s="187">
        <v>0</v>
      </c>
      <c r="E60" s="187">
        <v>60.52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f>13.65</f>
        <v>13.65</v>
      </c>
      <c r="P60" s="221">
        <f>20.26+9.02</f>
        <v>29.28</v>
      </c>
      <c r="Q60" s="221">
        <f>10.39</f>
        <v>10.39</v>
      </c>
      <c r="R60" s="221">
        <f>1.48</f>
        <v>1.48</v>
      </c>
      <c r="S60" s="221">
        <f>7.68</f>
        <v>7.68</v>
      </c>
      <c r="T60" s="221">
        <v>0</v>
      </c>
      <c r="U60" s="221">
        <f>23.65</f>
        <v>23.65</v>
      </c>
      <c r="V60" s="221">
        <f>0.53</f>
        <v>0.53</v>
      </c>
      <c r="W60" s="221">
        <v>2.04</v>
      </c>
      <c r="X60" s="221">
        <v>3.27</v>
      </c>
      <c r="Y60" s="221">
        <f>0.18+1.76+6.57+12.53+2.76</f>
        <v>23.799999999999997</v>
      </c>
      <c r="Z60" s="221">
        <v>12.71</v>
      </c>
      <c r="AA60" s="221">
        <v>1.6</v>
      </c>
      <c r="AB60" s="221">
        <v>12.62</v>
      </c>
      <c r="AC60" s="221">
        <f>7.45+2.61</f>
        <v>10.06</v>
      </c>
      <c r="AD60" s="221">
        <v>0</v>
      </c>
      <c r="AE60" s="221">
        <f>18.09+1.33</f>
        <v>19.420000000000002</v>
      </c>
      <c r="AF60" s="221">
        <v>0</v>
      </c>
      <c r="AG60" s="221">
        <v>26.45</v>
      </c>
      <c r="AH60" s="221">
        <v>1.06</v>
      </c>
      <c r="AI60" s="221">
        <v>7.19</v>
      </c>
      <c r="AJ60" s="221">
        <f>0.07+2.94+5.15+6.78+21.97+4.81+51.51+6.21</f>
        <v>99.439999999999984</v>
      </c>
      <c r="AK60" s="221">
        <v>0</v>
      </c>
      <c r="AL60" s="221">
        <v>3.09</v>
      </c>
      <c r="AM60" s="221">
        <v>0</v>
      </c>
      <c r="AN60" s="221">
        <v>0</v>
      </c>
      <c r="AO60" s="221">
        <v>0</v>
      </c>
      <c r="AP60" s="221">
        <f>0.09+0.1</f>
        <v>0.19</v>
      </c>
      <c r="AQ60" s="221">
        <v>0</v>
      </c>
      <c r="AR60" s="221">
        <v>9.23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16.829999999999998</v>
      </c>
      <c r="AZ60" s="221">
        <v>0</v>
      </c>
      <c r="BA60" s="221">
        <v>0</v>
      </c>
      <c r="BB60" s="221">
        <v>0</v>
      </c>
      <c r="BC60" s="221">
        <v>0</v>
      </c>
      <c r="BD60" s="221">
        <v>8.8000000000000007</v>
      </c>
      <c r="BE60" s="221">
        <v>8.0500000000000007</v>
      </c>
      <c r="BF60" s="221">
        <v>29.27</v>
      </c>
      <c r="BG60" s="221">
        <v>0</v>
      </c>
      <c r="BH60" s="221">
        <v>13.19</v>
      </c>
      <c r="BI60" s="221">
        <v>0</v>
      </c>
      <c r="BJ60" s="221">
        <v>4.03</v>
      </c>
      <c r="BK60" s="221">
        <v>22.92</v>
      </c>
      <c r="BL60" s="221">
        <v>27.08</v>
      </c>
      <c r="BM60" s="221">
        <v>0</v>
      </c>
      <c r="BN60" s="221">
        <v>6.86</v>
      </c>
      <c r="BO60" s="221">
        <v>0.68</v>
      </c>
      <c r="BP60" s="221">
        <v>2</v>
      </c>
      <c r="BQ60" s="221">
        <v>0</v>
      </c>
      <c r="BR60" s="221">
        <v>5.47</v>
      </c>
      <c r="BS60" s="221">
        <v>1.01</v>
      </c>
      <c r="BT60" s="221">
        <v>0.13</v>
      </c>
      <c r="BU60" s="221">
        <v>0.36</v>
      </c>
      <c r="BV60" s="221">
        <v>10</v>
      </c>
      <c r="BW60" s="221">
        <v>1</v>
      </c>
      <c r="BX60" s="221">
        <v>6.06</v>
      </c>
      <c r="BY60" s="221">
        <v>2.21</v>
      </c>
      <c r="BZ60" s="221">
        <v>0</v>
      </c>
      <c r="CA60" s="221">
        <v>0</v>
      </c>
      <c r="CB60" s="221">
        <v>0</v>
      </c>
      <c r="CC60" s="221">
        <f>0.46+0.4+2.11+3.18+0.56+0.91+0.67</f>
        <v>8.2900000000000009</v>
      </c>
      <c r="CD60" s="247" t="s">
        <v>221</v>
      </c>
      <c r="CE60" s="249">
        <f t="shared" ref="CE60:CE70" si="0">SUM(C60:CD60)</f>
        <v>568.4</v>
      </c>
    </row>
    <row r="61" spans="1:84" ht="12.6" customHeight="1" x14ac:dyDescent="0.25">
      <c r="A61" s="171" t="s">
        <v>235</v>
      </c>
      <c r="B61" s="175"/>
      <c r="C61" s="184">
        <v>1253600.8400000001</v>
      </c>
      <c r="D61" s="184">
        <v>0</v>
      </c>
      <c r="E61" s="184">
        <v>4564973.97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1389208.11</v>
      </c>
      <c r="P61" s="185">
        <f>1743560.86+1257259.33</f>
        <v>3000820.1900000004</v>
      </c>
      <c r="Q61" s="185">
        <v>1091863.51</v>
      </c>
      <c r="R61" s="185">
        <v>134165.01999999999</v>
      </c>
      <c r="S61" s="185">
        <v>345682.93</v>
      </c>
      <c r="T61" s="185">
        <v>0</v>
      </c>
      <c r="U61" s="185">
        <v>1385441.64</v>
      </c>
      <c r="V61" s="185">
        <f>47298.91</f>
        <v>47298.91</v>
      </c>
      <c r="W61" s="185">
        <v>191433.89</v>
      </c>
      <c r="X61" s="185">
        <v>243491.51</v>
      </c>
      <c r="Y61" s="185">
        <f>17479.14+141033.87+371819.3+905321.34+335945.62</f>
        <v>1771599.27</v>
      </c>
      <c r="Z61" s="185">
        <v>806239.5</v>
      </c>
      <c r="AA61" s="185">
        <v>171227.3</v>
      </c>
      <c r="AB61" s="185">
        <v>1182481.69</v>
      </c>
      <c r="AC61" s="185">
        <f>555337.06+186651.19</f>
        <v>741988.25</v>
      </c>
      <c r="AD61" s="185">
        <v>0</v>
      </c>
      <c r="AE61" s="185">
        <f>1362594.21+100018.36</f>
        <v>1462612.57</v>
      </c>
      <c r="AF61" s="185">
        <v>0</v>
      </c>
      <c r="AG61" s="185">
        <v>2246979.34</v>
      </c>
      <c r="AH61" s="185">
        <v>133454.73000000001</v>
      </c>
      <c r="AI61" s="185">
        <v>664491.43000000005</v>
      </c>
      <c r="AJ61" s="185">
        <f>7159.69+265301.44+414075.62+663103.31+1534689.9+398145.4+5280707.15+21750+389785.04</f>
        <v>8974717.5499999989</v>
      </c>
      <c r="AK61" s="185">
        <v>0</v>
      </c>
      <c r="AL61" s="185">
        <v>226021.96</v>
      </c>
      <c r="AM61" s="185">
        <v>0</v>
      </c>
      <c r="AN61" s="185">
        <v>0</v>
      </c>
      <c r="AO61" s="185">
        <v>0</v>
      </c>
      <c r="AP61" s="185">
        <f>6801.99+3742.13</f>
        <v>10544.119999999999</v>
      </c>
      <c r="AQ61" s="185">
        <v>0</v>
      </c>
      <c r="AR61" s="185">
        <v>842979.93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728860.92</v>
      </c>
      <c r="AZ61" s="185">
        <v>0</v>
      </c>
      <c r="BA61" s="185">
        <v>0</v>
      </c>
      <c r="BB61" s="185">
        <v>0</v>
      </c>
      <c r="BC61" s="185">
        <v>0</v>
      </c>
      <c r="BD61" s="185">
        <v>468628.86</v>
      </c>
      <c r="BE61" s="185">
        <v>509945.99</v>
      </c>
      <c r="BF61" s="185">
        <v>1086832.6299999999</v>
      </c>
      <c r="BG61" s="185">
        <v>0</v>
      </c>
      <c r="BH61" s="185">
        <v>1066799.71</v>
      </c>
      <c r="BI61" s="185">
        <v>0</v>
      </c>
      <c r="BJ61" s="185">
        <v>272942.61</v>
      </c>
      <c r="BK61" s="185">
        <v>1007859.9</v>
      </c>
      <c r="BL61" s="185">
        <v>1131386.69</v>
      </c>
      <c r="BM61" s="185">
        <v>0</v>
      </c>
      <c r="BN61" s="185">
        <v>1140584.52</v>
      </c>
      <c r="BO61" s="185">
        <v>50429.58</v>
      </c>
      <c r="BP61" s="185">
        <v>156267.29999999999</v>
      </c>
      <c r="BQ61" s="185">
        <v>0</v>
      </c>
      <c r="BR61" s="185">
        <v>374548.37</v>
      </c>
      <c r="BS61" s="185">
        <v>47653.94</v>
      </c>
      <c r="BT61" s="185">
        <v>6441.12</v>
      </c>
      <c r="BU61" s="185">
        <v>14353.22</v>
      </c>
      <c r="BV61" s="185">
        <v>418182.11</v>
      </c>
      <c r="BW61" s="185">
        <v>84012.14</v>
      </c>
      <c r="BX61" s="185">
        <v>478968.17</v>
      </c>
      <c r="BY61" s="185">
        <v>191281.74</v>
      </c>
      <c r="BZ61" s="185">
        <v>0</v>
      </c>
      <c r="CA61" s="185">
        <v>0</v>
      </c>
      <c r="CB61" s="185">
        <f>60076.6+25571.62</f>
        <v>85648.22</v>
      </c>
      <c r="CC61" s="185">
        <f>26068.89+34054.76+123889.98+243574.77+34267.32-99833.74</f>
        <v>362021.98000000004</v>
      </c>
      <c r="CD61" s="247" t="s">
        <v>221</v>
      </c>
      <c r="CE61" s="195">
        <f t="shared" si="0"/>
        <v>42566967.879999988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322715</v>
      </c>
      <c r="D62" s="195">
        <f t="shared" si="1"/>
        <v>0</v>
      </c>
      <c r="E62" s="195">
        <f t="shared" si="1"/>
        <v>1219814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306406</v>
      </c>
      <c r="P62" s="195">
        <f t="shared" si="1"/>
        <v>612065</v>
      </c>
      <c r="Q62" s="195">
        <f t="shared" si="1"/>
        <v>212512</v>
      </c>
      <c r="R62" s="195">
        <f t="shared" si="1"/>
        <v>34974</v>
      </c>
      <c r="S62" s="195">
        <f t="shared" si="1"/>
        <v>95210</v>
      </c>
      <c r="T62" s="195">
        <f t="shared" si="1"/>
        <v>0</v>
      </c>
      <c r="U62" s="195">
        <f t="shared" si="1"/>
        <v>389306</v>
      </c>
      <c r="V62" s="195">
        <f t="shared" si="1"/>
        <v>10862</v>
      </c>
      <c r="W62" s="195">
        <f t="shared" si="1"/>
        <v>40006</v>
      </c>
      <c r="X62" s="195">
        <f t="shared" si="1"/>
        <v>64194</v>
      </c>
      <c r="Y62" s="195">
        <f t="shared" si="1"/>
        <v>447782</v>
      </c>
      <c r="Z62" s="195">
        <f t="shared" si="1"/>
        <v>239537</v>
      </c>
      <c r="AA62" s="195">
        <f t="shared" si="1"/>
        <v>40112</v>
      </c>
      <c r="AB62" s="195">
        <f t="shared" si="1"/>
        <v>242537</v>
      </c>
      <c r="AC62" s="195">
        <f t="shared" si="1"/>
        <v>185493</v>
      </c>
      <c r="AD62" s="195">
        <f t="shared" si="1"/>
        <v>0</v>
      </c>
      <c r="AE62" s="195">
        <f t="shared" si="1"/>
        <v>346501</v>
      </c>
      <c r="AF62" s="195">
        <f t="shared" si="1"/>
        <v>0</v>
      </c>
      <c r="AG62" s="195">
        <f t="shared" si="1"/>
        <v>488476</v>
      </c>
      <c r="AH62" s="195">
        <f t="shared" si="1"/>
        <v>12394</v>
      </c>
      <c r="AI62" s="195">
        <f t="shared" si="1"/>
        <v>123971</v>
      </c>
      <c r="AJ62" s="195">
        <f t="shared" si="1"/>
        <v>1884957</v>
      </c>
      <c r="AK62" s="195">
        <f t="shared" si="1"/>
        <v>0</v>
      </c>
      <c r="AL62" s="195">
        <f t="shared" si="1"/>
        <v>41495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1379</v>
      </c>
      <c r="AQ62" s="195">
        <f t="shared" si="1"/>
        <v>0</v>
      </c>
      <c r="AR62" s="195">
        <f t="shared" si="1"/>
        <v>187986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226117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144247</v>
      </c>
      <c r="BE62" s="195">
        <f t="shared" si="1"/>
        <v>140598</v>
      </c>
      <c r="BF62" s="195">
        <f t="shared" si="1"/>
        <v>365999</v>
      </c>
      <c r="BG62" s="195">
        <f t="shared" si="1"/>
        <v>0</v>
      </c>
      <c r="BH62" s="195">
        <f t="shared" si="1"/>
        <v>264616</v>
      </c>
      <c r="BI62" s="195">
        <f t="shared" si="1"/>
        <v>0</v>
      </c>
      <c r="BJ62" s="195">
        <f t="shared" si="1"/>
        <v>76620</v>
      </c>
      <c r="BK62" s="195">
        <f t="shared" si="1"/>
        <v>334481</v>
      </c>
      <c r="BL62" s="195">
        <f t="shared" si="1"/>
        <v>352329</v>
      </c>
      <c r="BM62" s="195">
        <f t="shared" si="1"/>
        <v>0</v>
      </c>
      <c r="BN62" s="195">
        <f t="shared" si="1"/>
        <v>286388</v>
      </c>
      <c r="BO62" s="195">
        <f t="shared" ref="BO62:CC62" si="2">ROUND(BO47+BO48,0)</f>
        <v>12820</v>
      </c>
      <c r="BP62" s="195">
        <f t="shared" si="2"/>
        <v>43612</v>
      </c>
      <c r="BQ62" s="195">
        <f t="shared" si="2"/>
        <v>0</v>
      </c>
      <c r="BR62" s="195">
        <f t="shared" si="2"/>
        <v>147015</v>
      </c>
      <c r="BS62" s="195">
        <f t="shared" si="2"/>
        <v>16968</v>
      </c>
      <c r="BT62" s="195">
        <f t="shared" si="2"/>
        <v>699</v>
      </c>
      <c r="BU62" s="195">
        <f t="shared" si="2"/>
        <v>1618</v>
      </c>
      <c r="BV62" s="195">
        <f t="shared" si="2"/>
        <v>136232</v>
      </c>
      <c r="BW62" s="195">
        <f t="shared" si="2"/>
        <v>20776</v>
      </c>
      <c r="BX62" s="195">
        <f t="shared" si="2"/>
        <v>121756</v>
      </c>
      <c r="BY62" s="195">
        <f t="shared" si="2"/>
        <v>36095</v>
      </c>
      <c r="BZ62" s="195">
        <f t="shared" si="2"/>
        <v>0</v>
      </c>
      <c r="CA62" s="195">
        <f t="shared" si="2"/>
        <v>0</v>
      </c>
      <c r="CB62" s="195">
        <f t="shared" si="2"/>
        <v>29615</v>
      </c>
      <c r="CC62" s="195">
        <f t="shared" si="2"/>
        <v>17530</v>
      </c>
      <c r="CD62" s="247" t="s">
        <v>221</v>
      </c>
      <c r="CE62" s="195">
        <f t="shared" si="0"/>
        <v>10326815</v>
      </c>
      <c r="CF62" s="250"/>
    </row>
    <row r="63" spans="1:84" ht="12.6" customHeight="1" x14ac:dyDescent="0.25">
      <c r="A63" s="171" t="s">
        <v>236</v>
      </c>
      <c r="B63" s="175"/>
      <c r="C63" s="184">
        <v>230.59</v>
      </c>
      <c r="D63" s="184">
        <v>0</v>
      </c>
      <c r="E63" s="184">
        <f>952.34+548293.71</f>
        <v>549246.04999999993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f>12000+386250</f>
        <v>398250</v>
      </c>
      <c r="P63" s="185">
        <f>29965.58+271297.58</f>
        <v>301263.16000000003</v>
      </c>
      <c r="Q63" s="185">
        <v>0</v>
      </c>
      <c r="R63" s="185">
        <v>0</v>
      </c>
      <c r="S63" s="185">
        <v>0</v>
      </c>
      <c r="T63" s="185">
        <v>0</v>
      </c>
      <c r="U63" s="185">
        <f>33600+153483.93</f>
        <v>187083.93</v>
      </c>
      <c r="V63" s="185">
        <v>0</v>
      </c>
      <c r="W63" s="185">
        <v>0</v>
      </c>
      <c r="X63" s="185">
        <v>0</v>
      </c>
      <c r="Y63" s="185">
        <f>10165.74</f>
        <v>10165.74</v>
      </c>
      <c r="Z63" s="185">
        <f>5205.37+729245.46</f>
        <v>734450.83</v>
      </c>
      <c r="AA63" s="185">
        <f>32400</f>
        <v>32400</v>
      </c>
      <c r="AB63" s="185">
        <v>0</v>
      </c>
      <c r="AC63" s="185">
        <v>0</v>
      </c>
      <c r="AD63" s="185">
        <v>0</v>
      </c>
      <c r="AE63" s="185">
        <f>22950</f>
        <v>22950</v>
      </c>
      <c r="AF63" s="185">
        <v>0</v>
      </c>
      <c r="AG63" s="185">
        <f>131997.72+96515.5</f>
        <v>228513.22</v>
      </c>
      <c r="AH63" s="185">
        <v>0</v>
      </c>
      <c r="AI63" s="185">
        <f>60</f>
        <v>60</v>
      </c>
      <c r="AJ63" s="185">
        <f>1006.5+2800+57738.66+15803.05+5189.41+107408.76+25085.37+13500</f>
        <v>228531.75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3923.52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f>92123.81</f>
        <v>92123.81</v>
      </c>
      <c r="AZ63" s="185">
        <v>0</v>
      </c>
      <c r="BA63" s="185">
        <v>0</v>
      </c>
      <c r="BB63" s="185">
        <v>0</v>
      </c>
      <c r="BC63" s="185">
        <v>0</v>
      </c>
      <c r="BD63" s="185">
        <f>843.75</f>
        <v>843.75</v>
      </c>
      <c r="BE63" s="185">
        <v>0</v>
      </c>
      <c r="BF63" s="185">
        <v>0</v>
      </c>
      <c r="BG63" s="185">
        <v>0</v>
      </c>
      <c r="BH63" s="185">
        <v>13320</v>
      </c>
      <c r="BI63" s="185">
        <v>0</v>
      </c>
      <c r="BJ63" s="185">
        <f>72276.3</f>
        <v>72276.3</v>
      </c>
      <c r="BK63" s="185">
        <v>106091.15</v>
      </c>
      <c r="BL63" s="185">
        <v>0</v>
      </c>
      <c r="BM63" s="185">
        <v>0</v>
      </c>
      <c r="BN63" s="185">
        <v>434630.06</v>
      </c>
      <c r="BO63" s="185">
        <v>1050</v>
      </c>
      <c r="BP63" s="185">
        <v>49592.57</v>
      </c>
      <c r="BQ63" s="185">
        <v>0</v>
      </c>
      <c r="BR63" s="185">
        <v>47595.86</v>
      </c>
      <c r="BS63" s="185">
        <f>47.43+72</f>
        <v>119.43</v>
      </c>
      <c r="BT63" s="185">
        <v>0</v>
      </c>
      <c r="BU63" s="185">
        <v>0</v>
      </c>
      <c r="BV63" s="185">
        <v>77199.25</v>
      </c>
      <c r="BW63" s="185">
        <v>6673.32</v>
      </c>
      <c r="BX63" s="185">
        <v>43779.92</v>
      </c>
      <c r="BY63" s="185">
        <v>273.39999999999998</v>
      </c>
      <c r="BZ63" s="185">
        <v>0</v>
      </c>
      <c r="CA63" s="185">
        <v>0</v>
      </c>
      <c r="CB63" s="185">
        <v>1661.4</v>
      </c>
      <c r="CC63" s="185">
        <f>416+4585.46+71597.91+44748</f>
        <v>121347.37000000001</v>
      </c>
      <c r="CD63" s="247" t="s">
        <v>221</v>
      </c>
      <c r="CE63" s="195">
        <f t="shared" si="0"/>
        <v>3765646.3799999994</v>
      </c>
      <c r="CF63" s="250"/>
    </row>
    <row r="64" spans="1:84" ht="12.6" customHeight="1" x14ac:dyDescent="0.25">
      <c r="A64" s="171" t="s">
        <v>237</v>
      </c>
      <c r="B64" s="175"/>
      <c r="C64" s="184">
        <v>52747.7</v>
      </c>
      <c r="D64" s="184">
        <v>0</v>
      </c>
      <c r="E64" s="185">
        <f>225964.62-261.44</f>
        <v>225703.18</v>
      </c>
      <c r="F64" s="185">
        <v>0</v>
      </c>
      <c r="G64" s="184">
        <v>0</v>
      </c>
      <c r="H64" s="184">
        <v>0</v>
      </c>
      <c r="I64" s="185">
        <v>0</v>
      </c>
      <c r="J64" s="185">
        <v>14532.55</v>
      </c>
      <c r="K64" s="185">
        <v>0</v>
      </c>
      <c r="L64" s="185">
        <v>0</v>
      </c>
      <c r="M64" s="184">
        <v>0</v>
      </c>
      <c r="N64" s="184">
        <v>0</v>
      </c>
      <c r="O64" s="184">
        <v>118324.87</v>
      </c>
      <c r="P64" s="185">
        <f>10728367.37+8676.7</f>
        <v>10737044.069999998</v>
      </c>
      <c r="Q64" s="185">
        <v>25437.21</v>
      </c>
      <c r="R64" s="185">
        <f>194.47+216061.15</f>
        <v>216255.62</v>
      </c>
      <c r="S64" s="185">
        <v>131038.65</v>
      </c>
      <c r="T64" s="185">
        <v>0</v>
      </c>
      <c r="U64" s="185">
        <v>1802099.96</v>
      </c>
      <c r="V64" s="185">
        <f>2120.47</f>
        <v>2120.4699999999998</v>
      </c>
      <c r="W64" s="185">
        <v>42611.360000000001</v>
      </c>
      <c r="X64" s="185">
        <v>161159.09</v>
      </c>
      <c r="Y64" s="185">
        <f>1811.7+8909.16+6119.68+112503.19+50241.63+23709.49</f>
        <v>203294.85</v>
      </c>
      <c r="Z64" s="185">
        <v>95664.960000000006</v>
      </c>
      <c r="AA64" s="185">
        <v>107432.69</v>
      </c>
      <c r="AB64" s="185">
        <f>6669687.65</f>
        <v>6669687.6500000004</v>
      </c>
      <c r="AC64" s="185">
        <f>105958.25+5954.87</f>
        <v>111913.12</v>
      </c>
      <c r="AD64" s="185">
        <v>0</v>
      </c>
      <c r="AE64" s="185">
        <f>23957.66+910.34</f>
        <v>24868</v>
      </c>
      <c r="AF64" s="185">
        <v>0</v>
      </c>
      <c r="AG64" s="185">
        <f>305230.93</f>
        <v>305230.93</v>
      </c>
      <c r="AH64" s="185">
        <v>320.44</v>
      </c>
      <c r="AI64" s="185">
        <f>22677.81</f>
        <v>22677.81</v>
      </c>
      <c r="AJ64" s="185">
        <f>189387.32+14428.79+13675.65+19168.95+82037.96+3499.05+532242.86+33.95</f>
        <v>854474.53</v>
      </c>
      <c r="AK64" s="185">
        <v>0</v>
      </c>
      <c r="AL64" s="185">
        <f>925.56</f>
        <v>925.56</v>
      </c>
      <c r="AM64" s="185">
        <v>0</v>
      </c>
      <c r="AN64" s="185">
        <v>0</v>
      </c>
      <c r="AO64" s="185">
        <v>0</v>
      </c>
      <c r="AP64" s="185">
        <f>389.61+12400</f>
        <v>12789.61</v>
      </c>
      <c r="AQ64" s="185">
        <v>0</v>
      </c>
      <c r="AR64" s="185">
        <v>21047.53</v>
      </c>
      <c r="AS64" s="185"/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537982.77</v>
      </c>
      <c r="AZ64" s="185">
        <v>0</v>
      </c>
      <c r="BA64" s="185">
        <v>0</v>
      </c>
      <c r="BB64" s="185">
        <v>0</v>
      </c>
      <c r="BC64" s="185">
        <v>0</v>
      </c>
      <c r="BD64" s="185">
        <v>153024.93</v>
      </c>
      <c r="BE64" s="185">
        <v>19167.61</v>
      </c>
      <c r="BF64" s="185">
        <v>285983.87</v>
      </c>
      <c r="BG64" s="185">
        <v>0</v>
      </c>
      <c r="BH64" s="185">
        <v>25993.759999999998</v>
      </c>
      <c r="BI64" s="185">
        <v>0</v>
      </c>
      <c r="BJ64" s="185">
        <v>5264.3</v>
      </c>
      <c r="BK64" s="185">
        <v>17640.25</v>
      </c>
      <c r="BL64" s="185">
        <v>65274.15</v>
      </c>
      <c r="BM64" s="185">
        <v>0</v>
      </c>
      <c r="BN64" s="185">
        <v>8339.91</v>
      </c>
      <c r="BO64" s="185">
        <v>29941.119999999999</v>
      </c>
      <c r="BP64" s="185">
        <v>51148.31</v>
      </c>
      <c r="BQ64" s="185">
        <v>0</v>
      </c>
      <c r="BR64" s="185">
        <v>6143.98</v>
      </c>
      <c r="BS64" s="185">
        <v>1233.47</v>
      </c>
      <c r="BT64" s="185">
        <v>146.59</v>
      </c>
      <c r="BU64" s="185">
        <v>0.13</v>
      </c>
      <c r="BV64" s="185">
        <v>14320.33</v>
      </c>
      <c r="BW64" s="185">
        <v>2242.7800000000002</v>
      </c>
      <c r="BX64" s="185">
        <v>3476.61</v>
      </c>
      <c r="BY64" s="185">
        <v>9221.64</v>
      </c>
      <c r="BZ64" s="185">
        <v>0</v>
      </c>
      <c r="CA64" s="185">
        <v>0</v>
      </c>
      <c r="CB64" s="185">
        <f>1162.44+1770.75</f>
        <v>2933.19</v>
      </c>
      <c r="CC64" s="185">
        <f>3237.46+38.55+13.8+1583.4+717.78+1749.61+2.88</f>
        <v>7343.4800000000005</v>
      </c>
      <c r="CD64" s="247" t="s">
        <v>221</v>
      </c>
      <c r="CE64" s="195">
        <f t="shared" si="0"/>
        <v>23206225.59</v>
      </c>
      <c r="CF64" s="250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f>763.71+298.8</f>
        <v>1062.51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f>856.13</f>
        <v>856.13</v>
      </c>
      <c r="P65" s="185">
        <f>734.39+4371.1</f>
        <v>5105.4900000000007</v>
      </c>
      <c r="Q65" s="185">
        <v>0</v>
      </c>
      <c r="R65" s="185">
        <v>0</v>
      </c>
      <c r="S65" s="185">
        <v>64.03</v>
      </c>
      <c r="T65" s="185">
        <v>0</v>
      </c>
      <c r="U65" s="185">
        <v>3572.05</v>
      </c>
      <c r="V65" s="185">
        <v>0</v>
      </c>
      <c r="W65" s="185">
        <v>0</v>
      </c>
      <c r="X65" s="185">
        <v>593.39</v>
      </c>
      <c r="Y65" s="185">
        <f>298.81+706.59+375.42</f>
        <v>1380.8200000000002</v>
      </c>
      <c r="Z65" s="185">
        <v>-49.96</v>
      </c>
      <c r="AA65" s="185">
        <v>291.13</v>
      </c>
      <c r="AB65" s="185">
        <f>848.81</f>
        <v>848.81</v>
      </c>
      <c r="AC65" s="185">
        <f>501.24</f>
        <v>501.24</v>
      </c>
      <c r="AD65" s="185">
        <v>0</v>
      </c>
      <c r="AE65" s="185">
        <f>472.13</f>
        <v>472.13</v>
      </c>
      <c r="AF65" s="185">
        <v>0</v>
      </c>
      <c r="AG65" s="185">
        <f>218.98</f>
        <v>218.98</v>
      </c>
      <c r="AH65" s="185">
        <v>5246.64</v>
      </c>
      <c r="AI65" s="185">
        <v>11761.23</v>
      </c>
      <c r="AJ65" s="185">
        <f>281.02+18736.99+18880.93+5606.64+281.01+17864.81+2687.39+125</f>
        <v>64463.790000000008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f>320.78</f>
        <v>320.77999999999997</v>
      </c>
      <c r="AQ65" s="185">
        <v>0</v>
      </c>
      <c r="AR65" s="185">
        <v>5595.54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214.17</v>
      </c>
      <c r="AZ65" s="185">
        <v>0</v>
      </c>
      <c r="BA65" s="185">
        <v>0</v>
      </c>
      <c r="BB65" s="185">
        <v>0</v>
      </c>
      <c r="BC65" s="185">
        <v>0</v>
      </c>
      <c r="BD65" s="185">
        <v>1269.27</v>
      </c>
      <c r="BE65" s="185">
        <v>615966.73</v>
      </c>
      <c r="BF65" s="185">
        <v>62131.57</v>
      </c>
      <c r="BG65" s="185">
        <v>0</v>
      </c>
      <c r="BH65" s="185">
        <v>113138.01</v>
      </c>
      <c r="BI65" s="185">
        <v>0</v>
      </c>
      <c r="BJ65" s="185">
        <v>285.93</v>
      </c>
      <c r="BK65" s="185">
        <v>1073.49</v>
      </c>
      <c r="BL65" s="185">
        <v>797.91</v>
      </c>
      <c r="BM65" s="185">
        <v>0</v>
      </c>
      <c r="BN65" s="185">
        <v>689.61</v>
      </c>
      <c r="BO65" s="185">
        <v>0</v>
      </c>
      <c r="BP65" s="185">
        <v>343.01</v>
      </c>
      <c r="BQ65" s="185">
        <v>0</v>
      </c>
      <c r="BR65" s="185">
        <v>113.49</v>
      </c>
      <c r="BS65" s="185">
        <v>61.41</v>
      </c>
      <c r="BT65" s="185">
        <v>329.44</v>
      </c>
      <c r="BU65" s="185">
        <v>0</v>
      </c>
      <c r="BV65" s="185">
        <v>58.59</v>
      </c>
      <c r="BW65" s="185">
        <v>277.95</v>
      </c>
      <c r="BX65" s="185">
        <v>778.94</v>
      </c>
      <c r="BY65" s="185">
        <v>1423.63</v>
      </c>
      <c r="BZ65" s="185">
        <v>0</v>
      </c>
      <c r="CA65" s="185">
        <v>0</v>
      </c>
      <c r="CB65" s="185">
        <v>0</v>
      </c>
      <c r="CC65" s="185">
        <f>329.12+58.59+331.48+36217.16+76624.02+6663.88</f>
        <v>120224.25000000001</v>
      </c>
      <c r="CD65" s="247" t="s">
        <v>221</v>
      </c>
      <c r="CE65" s="195">
        <f t="shared" si="0"/>
        <v>1021482.1299999999</v>
      </c>
      <c r="CF65" s="250"/>
    </row>
    <row r="66" spans="1:84" ht="12.6" customHeight="1" x14ac:dyDescent="0.25">
      <c r="A66" s="171" t="s">
        <v>239</v>
      </c>
      <c r="B66" s="175"/>
      <c r="C66" s="184">
        <v>2141.17</v>
      </c>
      <c r="D66" s="184">
        <v>0</v>
      </c>
      <c r="E66" s="184">
        <v>42164.57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66657.3</v>
      </c>
      <c r="P66" s="185">
        <f>291589+16092.45</f>
        <v>307681.45</v>
      </c>
      <c r="Q66" s="185">
        <v>48710.9</v>
      </c>
      <c r="R66" s="185">
        <v>1282.79</v>
      </c>
      <c r="S66" s="184">
        <v>19740.060000000001</v>
      </c>
      <c r="T66" s="184">
        <v>0</v>
      </c>
      <c r="U66" s="185">
        <v>770842.75</v>
      </c>
      <c r="V66" s="185">
        <f>130.2</f>
        <v>130.19999999999999</v>
      </c>
      <c r="W66" s="185">
        <v>125491.82</v>
      </c>
      <c r="X66" s="185">
        <f>21470.42</f>
        <v>21470.42</v>
      </c>
      <c r="Y66" s="185">
        <f>155426.7+356.97+279207.81+28766.1+408425</f>
        <v>872182.58</v>
      </c>
      <c r="Z66" s="185">
        <v>15509</v>
      </c>
      <c r="AA66" s="185">
        <v>41249.85</v>
      </c>
      <c r="AB66" s="185">
        <v>250048.42</v>
      </c>
      <c r="AC66" s="185">
        <f>13427.45+8359.38</f>
        <v>21786.83</v>
      </c>
      <c r="AD66" s="185">
        <v>0</v>
      </c>
      <c r="AE66" s="185">
        <f>31684.12</f>
        <v>31684.12</v>
      </c>
      <c r="AF66" s="185">
        <v>0</v>
      </c>
      <c r="AG66" s="185">
        <v>74266.16</v>
      </c>
      <c r="AH66" s="185">
        <v>14347.99</v>
      </c>
      <c r="AI66" s="185">
        <f>86493.15</f>
        <v>86493.15</v>
      </c>
      <c r="AJ66" s="185">
        <f>606262.02+18482.69+34486.3+12877.61+227431.18+53631.15+37038.63+600</f>
        <v>990809.58000000007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f>85.77</f>
        <v>85.77</v>
      </c>
      <c r="AQ66" s="185">
        <v>0</v>
      </c>
      <c r="AR66" s="185">
        <v>96279.74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225428.19</v>
      </c>
      <c r="AY66" s="185">
        <v>108832.44</v>
      </c>
      <c r="AZ66" s="185">
        <v>0</v>
      </c>
      <c r="BA66" s="185">
        <v>279993.88</v>
      </c>
      <c r="BB66" s="185">
        <v>0</v>
      </c>
      <c r="BC66" s="185">
        <v>0</v>
      </c>
      <c r="BD66" s="185">
        <v>188.11</v>
      </c>
      <c r="BE66" s="185">
        <v>552267.92000000004</v>
      </c>
      <c r="BF66" s="185">
        <v>127192.51</v>
      </c>
      <c r="BG66" s="185">
        <v>0</v>
      </c>
      <c r="BH66" s="185">
        <v>575675.47</v>
      </c>
      <c r="BI66" s="185">
        <v>0</v>
      </c>
      <c r="BJ66" s="185">
        <v>76822.58</v>
      </c>
      <c r="BK66" s="185">
        <v>244728.18</v>
      </c>
      <c r="BL66" s="185">
        <v>56084.66</v>
      </c>
      <c r="BM66" s="185">
        <v>0</v>
      </c>
      <c r="BN66" s="185">
        <v>16561.8</v>
      </c>
      <c r="BO66" s="185">
        <v>33876.699999999997</v>
      </c>
      <c r="BP66" s="185">
        <v>180003.56</v>
      </c>
      <c r="BQ66" s="185">
        <v>0</v>
      </c>
      <c r="BR66" s="185">
        <v>96423.33</v>
      </c>
      <c r="BS66" s="185">
        <v>22.48</v>
      </c>
      <c r="BT66" s="185">
        <v>0</v>
      </c>
      <c r="BU66" s="185">
        <v>0</v>
      </c>
      <c r="BV66" s="185">
        <v>151335.54999999999</v>
      </c>
      <c r="BW66" s="185">
        <v>0</v>
      </c>
      <c r="BX66" s="185">
        <v>28592.46</v>
      </c>
      <c r="BY66" s="185">
        <v>9699.94</v>
      </c>
      <c r="BZ66" s="185">
        <v>0</v>
      </c>
      <c r="CA66" s="185">
        <v>0</v>
      </c>
      <c r="CB66" s="185">
        <f>122.59</f>
        <v>122.59</v>
      </c>
      <c r="CC66" s="185">
        <f>121025.21+66554.37+6126.94+3000+273935.12+262565.32+3655.09+3990.82+3746.94+26.95+4897.44</f>
        <v>749524.19999999972</v>
      </c>
      <c r="CD66" s="247" t="s">
        <v>221</v>
      </c>
      <c r="CE66" s="195">
        <f t="shared" si="0"/>
        <v>7414433.1699999999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103541</v>
      </c>
      <c r="D67" s="195">
        <f>ROUND(D51+D52,0)</f>
        <v>0</v>
      </c>
      <c r="E67" s="195">
        <f t="shared" ref="E67:BP67" si="3">ROUND(E51+E52,0)</f>
        <v>249793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72517</v>
      </c>
      <c r="P67" s="195">
        <f t="shared" si="3"/>
        <v>434379</v>
      </c>
      <c r="Q67" s="195">
        <f t="shared" si="3"/>
        <v>7160</v>
      </c>
      <c r="R67" s="195">
        <f t="shared" si="3"/>
        <v>42220</v>
      </c>
      <c r="S67" s="195">
        <f t="shared" si="3"/>
        <v>61802</v>
      </c>
      <c r="T67" s="195">
        <f t="shared" si="3"/>
        <v>0</v>
      </c>
      <c r="U67" s="195">
        <f t="shared" si="3"/>
        <v>89650</v>
      </c>
      <c r="V67" s="195">
        <f t="shared" si="3"/>
        <v>2246</v>
      </c>
      <c r="W67" s="195">
        <f t="shared" si="3"/>
        <v>2368</v>
      </c>
      <c r="X67" s="195">
        <f t="shared" si="3"/>
        <v>117248</v>
      </c>
      <c r="Y67" s="195">
        <f t="shared" si="3"/>
        <v>218949</v>
      </c>
      <c r="Z67" s="195">
        <f t="shared" si="3"/>
        <v>68825</v>
      </c>
      <c r="AA67" s="195">
        <f t="shared" si="3"/>
        <v>4424</v>
      </c>
      <c r="AB67" s="195">
        <f t="shared" si="3"/>
        <v>199649</v>
      </c>
      <c r="AC67" s="195">
        <f t="shared" si="3"/>
        <v>47895</v>
      </c>
      <c r="AD67" s="195">
        <f t="shared" si="3"/>
        <v>0</v>
      </c>
      <c r="AE67" s="195">
        <f t="shared" si="3"/>
        <v>60917</v>
      </c>
      <c r="AF67" s="195">
        <f t="shared" si="3"/>
        <v>0</v>
      </c>
      <c r="AG67" s="195">
        <f t="shared" si="3"/>
        <v>80792</v>
      </c>
      <c r="AH67" s="195">
        <f t="shared" si="3"/>
        <v>636</v>
      </c>
      <c r="AI67" s="195">
        <f t="shared" si="3"/>
        <v>20100</v>
      </c>
      <c r="AJ67" s="195">
        <f t="shared" si="3"/>
        <v>192896</v>
      </c>
      <c r="AK67" s="195">
        <f t="shared" si="3"/>
        <v>0</v>
      </c>
      <c r="AL67" s="195">
        <f t="shared" si="3"/>
        <v>252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8355</v>
      </c>
      <c r="AQ67" s="195">
        <f t="shared" si="3"/>
        <v>0</v>
      </c>
      <c r="AR67" s="195">
        <f t="shared" si="3"/>
        <v>10339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58618</v>
      </c>
      <c r="AZ67" s="195">
        <f>ROUND(AZ51+AZ52,0)</f>
        <v>0</v>
      </c>
      <c r="BA67" s="195">
        <f>ROUND(BA51+BA52,0)</f>
        <v>2124</v>
      </c>
      <c r="BB67" s="195">
        <f t="shared" si="3"/>
        <v>0</v>
      </c>
      <c r="BC67" s="195">
        <f t="shared" si="3"/>
        <v>0</v>
      </c>
      <c r="BD67" s="195">
        <f t="shared" si="3"/>
        <v>43224</v>
      </c>
      <c r="BE67" s="195">
        <f t="shared" si="3"/>
        <v>208355</v>
      </c>
      <c r="BF67" s="195">
        <f t="shared" si="3"/>
        <v>23547</v>
      </c>
      <c r="BG67" s="195">
        <f t="shared" si="3"/>
        <v>0</v>
      </c>
      <c r="BH67" s="195">
        <f t="shared" si="3"/>
        <v>677502</v>
      </c>
      <c r="BI67" s="195">
        <f t="shared" si="3"/>
        <v>0</v>
      </c>
      <c r="BJ67" s="195">
        <f t="shared" si="3"/>
        <v>18281</v>
      </c>
      <c r="BK67" s="195">
        <f t="shared" si="3"/>
        <v>28717</v>
      </c>
      <c r="BL67" s="195">
        <f t="shared" si="3"/>
        <v>125956</v>
      </c>
      <c r="BM67" s="195">
        <f t="shared" si="3"/>
        <v>0</v>
      </c>
      <c r="BN67" s="195">
        <f t="shared" si="3"/>
        <v>13360</v>
      </c>
      <c r="BO67" s="195">
        <f t="shared" si="3"/>
        <v>0</v>
      </c>
      <c r="BP67" s="195">
        <f t="shared" si="3"/>
        <v>955</v>
      </c>
      <c r="BQ67" s="195">
        <f t="shared" ref="BQ67:CC67" si="4">ROUND(BQ51+BQ52,0)</f>
        <v>0</v>
      </c>
      <c r="BR67" s="195">
        <f t="shared" si="4"/>
        <v>9472</v>
      </c>
      <c r="BS67" s="195">
        <f t="shared" si="4"/>
        <v>8340</v>
      </c>
      <c r="BT67" s="195">
        <f t="shared" si="4"/>
        <v>2893</v>
      </c>
      <c r="BU67" s="195">
        <f t="shared" si="4"/>
        <v>4129</v>
      </c>
      <c r="BV67" s="195">
        <f t="shared" si="4"/>
        <v>11093</v>
      </c>
      <c r="BW67" s="195">
        <f t="shared" si="4"/>
        <v>1820</v>
      </c>
      <c r="BX67" s="195">
        <f t="shared" si="4"/>
        <v>2639</v>
      </c>
      <c r="BY67" s="195">
        <f t="shared" si="4"/>
        <v>492</v>
      </c>
      <c r="BZ67" s="195">
        <f t="shared" si="4"/>
        <v>0</v>
      </c>
      <c r="CA67" s="195">
        <f t="shared" si="4"/>
        <v>0</v>
      </c>
      <c r="CB67" s="195">
        <f t="shared" si="4"/>
        <v>5280</v>
      </c>
      <c r="CC67" s="195">
        <f t="shared" si="4"/>
        <v>757469</v>
      </c>
      <c r="CD67" s="247" t="s">
        <v>221</v>
      </c>
      <c r="CE67" s="195">
        <f t="shared" si="0"/>
        <v>4101219</v>
      </c>
      <c r="CF67" s="250"/>
    </row>
    <row r="68" spans="1:84" ht="12.6" customHeight="1" x14ac:dyDescent="0.25">
      <c r="A68" s="171" t="s">
        <v>240</v>
      </c>
      <c r="B68" s="175"/>
      <c r="C68" s="184">
        <v>184.45</v>
      </c>
      <c r="D68" s="184">
        <v>0</v>
      </c>
      <c r="E68" s="184">
        <v>1753.91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f>750+89695.24</f>
        <v>90445.24</v>
      </c>
      <c r="Q68" s="185">
        <v>0</v>
      </c>
      <c r="R68" s="185">
        <v>0</v>
      </c>
      <c r="S68" s="185">
        <v>0</v>
      </c>
      <c r="T68" s="185">
        <v>0</v>
      </c>
      <c r="U68" s="185">
        <v>125008.55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268.77999999999997</v>
      </c>
      <c r="AD68" s="185">
        <v>0</v>
      </c>
      <c r="AE68" s="185">
        <v>16562.5</v>
      </c>
      <c r="AF68" s="185">
        <v>0</v>
      </c>
      <c r="AG68" s="185">
        <v>271.25</v>
      </c>
      <c r="AH68" s="185">
        <v>0</v>
      </c>
      <c r="AI68" s="185">
        <v>117800.4</v>
      </c>
      <c r="AJ68" s="185">
        <f>68.15+2400+374489.6+15600</f>
        <v>392557.75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1481.03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1806.52</v>
      </c>
      <c r="BF68" s="185">
        <v>0</v>
      </c>
      <c r="BG68" s="185">
        <v>0</v>
      </c>
      <c r="BH68" s="185">
        <v>7808.66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800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7" t="s">
        <v>221</v>
      </c>
      <c r="CE68" s="195">
        <f t="shared" si="0"/>
        <v>756749.04000000015</v>
      </c>
      <c r="CF68" s="250"/>
    </row>
    <row r="69" spans="1:84" ht="12.6" customHeight="1" x14ac:dyDescent="0.25">
      <c r="A69" s="171" t="s">
        <v>241</v>
      </c>
      <c r="B69" s="175"/>
      <c r="C69" s="184">
        <v>993.55</v>
      </c>
      <c r="D69" s="184">
        <v>0</v>
      </c>
      <c r="E69" s="185">
        <f>2583.95+2044.25</f>
        <v>4628.2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f>5260.75+645.52</f>
        <v>5906.27</v>
      </c>
      <c r="P69" s="185">
        <f>676.06+32263.2</f>
        <v>32939.26</v>
      </c>
      <c r="Q69" s="185">
        <v>33.549999999999997</v>
      </c>
      <c r="R69" s="224">
        <v>0</v>
      </c>
      <c r="S69" s="185">
        <v>2148.64</v>
      </c>
      <c r="T69" s="184">
        <v>0</v>
      </c>
      <c r="U69" s="185">
        <v>6284.36</v>
      </c>
      <c r="V69" s="185">
        <v>0</v>
      </c>
      <c r="W69" s="184">
        <v>0</v>
      </c>
      <c r="X69" s="185">
        <v>0</v>
      </c>
      <c r="Y69" s="185">
        <f>8449.24+5713.63</f>
        <v>14162.869999999999</v>
      </c>
      <c r="Z69" s="185">
        <f>6451.01</f>
        <v>6451.01</v>
      </c>
      <c r="AA69" s="185">
        <v>0</v>
      </c>
      <c r="AB69" s="185">
        <f>14313.45</f>
        <v>14313.45</v>
      </c>
      <c r="AC69" s="185">
        <f>2108.71+1041.87</f>
        <v>3150.58</v>
      </c>
      <c r="AD69" s="185">
        <v>0</v>
      </c>
      <c r="AE69" s="185">
        <f>7383.66+419.98</f>
        <v>7803.6399999999994</v>
      </c>
      <c r="AF69" s="185">
        <v>0</v>
      </c>
      <c r="AG69" s="185">
        <v>14272.87</v>
      </c>
      <c r="AH69" s="185">
        <v>5024.5200000000004</v>
      </c>
      <c r="AI69" s="185">
        <v>10146.77</v>
      </c>
      <c r="AJ69" s="185">
        <f>6369.1+9652.06+17845.02+54500.88+6930.36+177184.77+444.3+4655.2</f>
        <v>277581.69</v>
      </c>
      <c r="AK69" s="185">
        <v>0</v>
      </c>
      <c r="AL69" s="185">
        <v>600</v>
      </c>
      <c r="AM69" s="185">
        <v>0</v>
      </c>
      <c r="AN69" s="185">
        <v>0</v>
      </c>
      <c r="AO69" s="184">
        <v>0</v>
      </c>
      <c r="AP69" s="185">
        <f>473.55-2.73</f>
        <v>470.82</v>
      </c>
      <c r="AQ69" s="184">
        <v>0</v>
      </c>
      <c r="AR69" s="184">
        <v>31570.76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15276.97</v>
      </c>
      <c r="AZ69" s="185">
        <v>0</v>
      </c>
      <c r="BA69" s="185">
        <v>0</v>
      </c>
      <c r="BB69" s="185">
        <v>0</v>
      </c>
      <c r="BC69" s="185">
        <v>0</v>
      </c>
      <c r="BD69" s="185">
        <v>712.34</v>
      </c>
      <c r="BE69" s="185">
        <v>959.48</v>
      </c>
      <c r="BF69" s="185">
        <v>4249.34</v>
      </c>
      <c r="BG69" s="185">
        <v>0</v>
      </c>
      <c r="BH69" s="224">
        <v>2928.25</v>
      </c>
      <c r="BI69" s="185">
        <v>0</v>
      </c>
      <c r="BJ69" s="185">
        <v>3196.43</v>
      </c>
      <c r="BK69" s="185">
        <v>1735.75</v>
      </c>
      <c r="BL69" s="185">
        <v>14100.05</v>
      </c>
      <c r="BM69" s="185">
        <v>0</v>
      </c>
      <c r="BN69" s="185">
        <v>171702.08</v>
      </c>
      <c r="BO69" s="185">
        <v>-4.05</v>
      </c>
      <c r="BP69" s="185">
        <v>1015.19</v>
      </c>
      <c r="BQ69" s="185">
        <v>0</v>
      </c>
      <c r="BR69" s="185">
        <v>46486.53</v>
      </c>
      <c r="BS69" s="185">
        <v>4092.26</v>
      </c>
      <c r="BT69" s="185">
        <v>230</v>
      </c>
      <c r="BU69" s="185">
        <v>5585.16</v>
      </c>
      <c r="BV69" s="185">
        <v>7061.14</v>
      </c>
      <c r="BW69" s="185">
        <v>1886.76</v>
      </c>
      <c r="BX69" s="185">
        <v>7527.87</v>
      </c>
      <c r="BY69" s="185">
        <v>29456.66</v>
      </c>
      <c r="BZ69" s="185">
        <v>0</v>
      </c>
      <c r="CA69" s="185">
        <v>0</v>
      </c>
      <c r="CB69" s="185">
        <f>194.68+2022.78</f>
        <v>2217.46</v>
      </c>
      <c r="CC69" s="185">
        <f>911.34+7516.88+2662.56+2764.92+2472.62+639927.19+502438.92+145444.83+4342.32+35038+326.32+18045.3+770.68+471</f>
        <v>1363132.8800000001</v>
      </c>
      <c r="CD69" s="188">
        <v>0</v>
      </c>
      <c r="CE69" s="195">
        <f t="shared" si="0"/>
        <v>2122031.3600000003</v>
      </c>
      <c r="CF69" s="250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600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f>7010.22</f>
        <v>7010.22</v>
      </c>
      <c r="P70" s="184">
        <v>3077.12</v>
      </c>
      <c r="Q70" s="184">
        <v>0</v>
      </c>
      <c r="R70" s="184">
        <v>0</v>
      </c>
      <c r="S70" s="184">
        <v>0</v>
      </c>
      <c r="T70" s="184">
        <v>0</v>
      </c>
      <c r="U70" s="185">
        <v>100</v>
      </c>
      <c r="V70" s="184">
        <v>0</v>
      </c>
      <c r="W70" s="184">
        <v>0</v>
      </c>
      <c r="X70" s="185">
        <v>0</v>
      </c>
      <c r="Y70" s="185">
        <v>347.5</v>
      </c>
      <c r="Z70" s="185">
        <v>28928.55</v>
      </c>
      <c r="AA70" s="185">
        <v>375</v>
      </c>
      <c r="AB70" s="185">
        <v>3692.35</v>
      </c>
      <c r="AC70" s="185">
        <f>12976+200</f>
        <v>13176</v>
      </c>
      <c r="AD70" s="185">
        <v>0</v>
      </c>
      <c r="AE70" s="185">
        <v>485</v>
      </c>
      <c r="AF70" s="185">
        <v>0</v>
      </c>
      <c r="AG70" s="185">
        <v>4945</v>
      </c>
      <c r="AH70" s="185">
        <v>0</v>
      </c>
      <c r="AI70" s="185">
        <v>17470</v>
      </c>
      <c r="AJ70" s="185">
        <f>79739.54+32713+6729.42+68423+309.46</f>
        <v>187914.41999999998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f>16945+6315</f>
        <v>23260</v>
      </c>
      <c r="AQ70" s="185">
        <v>0</v>
      </c>
      <c r="AR70" s="185">
        <v>1427.5</v>
      </c>
      <c r="AS70" s="185">
        <v>0</v>
      </c>
      <c r="AT70" s="185">
        <v>0</v>
      </c>
      <c r="AU70" s="185">
        <v>0</v>
      </c>
      <c r="AV70" s="185">
        <v>120397.66</v>
      </c>
      <c r="AW70" s="185">
        <v>0</v>
      </c>
      <c r="AX70" s="185">
        <v>0</v>
      </c>
      <c r="AY70" s="185">
        <v>440488.04</v>
      </c>
      <c r="AZ70" s="185">
        <v>0</v>
      </c>
      <c r="BA70" s="185">
        <v>5345.4</v>
      </c>
      <c r="BB70" s="185">
        <v>0</v>
      </c>
      <c r="BC70" s="185">
        <v>0</v>
      </c>
      <c r="BD70" s="185">
        <f>77660.6+18980.93</f>
        <v>96641.53</v>
      </c>
      <c r="BE70" s="185">
        <v>16936.91</v>
      </c>
      <c r="BF70" s="185">
        <v>2400</v>
      </c>
      <c r="BG70" s="185">
        <v>0</v>
      </c>
      <c r="BH70" s="185">
        <v>0</v>
      </c>
      <c r="BI70" s="185">
        <v>0</v>
      </c>
      <c r="BJ70" s="185">
        <v>5000</v>
      </c>
      <c r="BK70" s="185">
        <v>730.56</v>
      </c>
      <c r="BL70" s="185">
        <v>7900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2603.6799999999998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f>44156.26+54488</f>
        <v>98644.260000000009</v>
      </c>
      <c r="CC70" s="185">
        <f>37844+104289.15+18040+170.28</f>
        <v>160343.43</v>
      </c>
      <c r="CD70" s="188">
        <v>0</v>
      </c>
      <c r="CE70" s="195">
        <f t="shared" si="0"/>
        <v>1250240.1300000001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1736154.3</v>
      </c>
      <c r="D71" s="195">
        <f t="shared" ref="D71:AI71" si="5">SUM(D61:D69)-D70</f>
        <v>0</v>
      </c>
      <c r="E71" s="195">
        <f t="shared" si="5"/>
        <v>6858539.3899999997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14532.55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2351115.4599999995</v>
      </c>
      <c r="P71" s="195">
        <f t="shared" si="5"/>
        <v>15518665.739999998</v>
      </c>
      <c r="Q71" s="195">
        <f t="shared" si="5"/>
        <v>1385717.17</v>
      </c>
      <c r="R71" s="195">
        <f t="shared" si="5"/>
        <v>428897.43</v>
      </c>
      <c r="S71" s="195">
        <f t="shared" si="5"/>
        <v>655686.31000000006</v>
      </c>
      <c r="T71" s="195">
        <f t="shared" si="5"/>
        <v>0</v>
      </c>
      <c r="U71" s="195">
        <f t="shared" si="5"/>
        <v>4759189.24</v>
      </c>
      <c r="V71" s="195">
        <f t="shared" si="5"/>
        <v>62657.58</v>
      </c>
      <c r="W71" s="195">
        <f t="shared" si="5"/>
        <v>401911.07</v>
      </c>
      <c r="X71" s="195">
        <f t="shared" si="5"/>
        <v>608156.40999999992</v>
      </c>
      <c r="Y71" s="195">
        <f t="shared" si="5"/>
        <v>3539169.6300000004</v>
      </c>
      <c r="Z71" s="195">
        <f t="shared" si="5"/>
        <v>1937698.79</v>
      </c>
      <c r="AA71" s="195">
        <f t="shared" si="5"/>
        <v>396761.97</v>
      </c>
      <c r="AB71" s="195">
        <f t="shared" si="5"/>
        <v>8555873.6699999999</v>
      </c>
      <c r="AC71" s="195">
        <f t="shared" si="5"/>
        <v>1099820.8</v>
      </c>
      <c r="AD71" s="195">
        <f t="shared" si="5"/>
        <v>0</v>
      </c>
      <c r="AE71" s="195">
        <f t="shared" si="5"/>
        <v>1973885.96</v>
      </c>
      <c r="AF71" s="195">
        <f t="shared" si="5"/>
        <v>0</v>
      </c>
      <c r="AG71" s="195">
        <f t="shared" si="5"/>
        <v>3434075.7500000005</v>
      </c>
      <c r="AH71" s="195">
        <f t="shared" si="5"/>
        <v>171424.32</v>
      </c>
      <c r="AI71" s="195">
        <f t="shared" si="5"/>
        <v>1040031.79</v>
      </c>
      <c r="AJ71" s="195">
        <f t="shared" ref="AJ71:BO71" si="6">SUM(AJ61:AJ69)-AJ70</f>
        <v>13673075.219999997</v>
      </c>
      <c r="AK71" s="195">
        <f t="shared" si="6"/>
        <v>0</v>
      </c>
      <c r="AL71" s="195">
        <f t="shared" si="6"/>
        <v>269294.51999999996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10685.099999999999</v>
      </c>
      <c r="AQ71" s="195">
        <f t="shared" si="6"/>
        <v>0</v>
      </c>
      <c r="AR71" s="195">
        <f t="shared" si="6"/>
        <v>1198294.52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-120397.66</v>
      </c>
      <c r="AW71" s="195">
        <f t="shared" si="6"/>
        <v>0</v>
      </c>
      <c r="AX71" s="195">
        <f t="shared" si="6"/>
        <v>225428.19</v>
      </c>
      <c r="AY71" s="195">
        <f t="shared" si="6"/>
        <v>1329019.0699999998</v>
      </c>
      <c r="AZ71" s="195">
        <f t="shared" si="6"/>
        <v>0</v>
      </c>
      <c r="BA71" s="195">
        <f t="shared" si="6"/>
        <v>276772.47999999998</v>
      </c>
      <c r="BB71" s="195">
        <f t="shared" si="6"/>
        <v>0</v>
      </c>
      <c r="BC71" s="195">
        <f t="shared" si="6"/>
        <v>0</v>
      </c>
      <c r="BD71" s="195">
        <f t="shared" si="6"/>
        <v>715496.73</v>
      </c>
      <c r="BE71" s="195">
        <f t="shared" si="6"/>
        <v>2032130.34</v>
      </c>
      <c r="BF71" s="195">
        <f t="shared" si="6"/>
        <v>1953535.9200000002</v>
      </c>
      <c r="BG71" s="195">
        <f t="shared" si="6"/>
        <v>0</v>
      </c>
      <c r="BH71" s="195">
        <f t="shared" si="6"/>
        <v>2747781.8600000003</v>
      </c>
      <c r="BI71" s="195">
        <f t="shared" si="6"/>
        <v>0</v>
      </c>
      <c r="BJ71" s="195">
        <f t="shared" si="6"/>
        <v>520689.15</v>
      </c>
      <c r="BK71" s="195">
        <f t="shared" si="6"/>
        <v>1741596.1599999997</v>
      </c>
      <c r="BL71" s="195">
        <f t="shared" si="6"/>
        <v>1738028.4599999997</v>
      </c>
      <c r="BM71" s="195">
        <f t="shared" si="6"/>
        <v>0</v>
      </c>
      <c r="BN71" s="195">
        <f t="shared" si="6"/>
        <v>2073055.9800000002</v>
      </c>
      <c r="BO71" s="195">
        <f t="shared" si="6"/>
        <v>128113.34999999999</v>
      </c>
      <c r="BP71" s="195">
        <f t="shared" ref="BP71:CC71" si="7">SUM(BP61:BP69)-BP70</f>
        <v>482936.94</v>
      </c>
      <c r="BQ71" s="195">
        <f t="shared" si="7"/>
        <v>0</v>
      </c>
      <c r="BR71" s="195">
        <f t="shared" si="7"/>
        <v>727798.55999999994</v>
      </c>
      <c r="BS71" s="195">
        <f t="shared" si="7"/>
        <v>78490.989999999991</v>
      </c>
      <c r="BT71" s="195">
        <f t="shared" si="7"/>
        <v>10739.15</v>
      </c>
      <c r="BU71" s="195">
        <f t="shared" si="7"/>
        <v>25685.51</v>
      </c>
      <c r="BV71" s="195">
        <f t="shared" si="7"/>
        <v>812878.2899999998</v>
      </c>
      <c r="BW71" s="195">
        <f t="shared" si="7"/>
        <v>117688.94999999998</v>
      </c>
      <c r="BX71" s="195">
        <f t="shared" si="7"/>
        <v>687518.96999999986</v>
      </c>
      <c r="BY71" s="195">
        <f t="shared" si="7"/>
        <v>277944.00999999995</v>
      </c>
      <c r="BZ71" s="195">
        <f t="shared" si="7"/>
        <v>0</v>
      </c>
      <c r="CA71" s="195">
        <f t="shared" si="7"/>
        <v>0</v>
      </c>
      <c r="CB71" s="195">
        <f t="shared" si="7"/>
        <v>28833.599999999991</v>
      </c>
      <c r="CC71" s="195">
        <f t="shared" si="7"/>
        <v>3338249.73</v>
      </c>
      <c r="CD71" s="243">
        <f>CD69-CD70</f>
        <v>0</v>
      </c>
      <c r="CE71" s="195">
        <f>SUM(CE61:CE69)-CE70</f>
        <v>94031329.420000002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9">
        <v>3450270</v>
      </c>
      <c r="CF72" s="250"/>
    </row>
    <row r="73" spans="1:84" ht="12.6" customHeight="1" x14ac:dyDescent="0.25">
      <c r="A73" s="171" t="s">
        <v>245</v>
      </c>
      <c r="B73" s="175"/>
      <c r="C73" s="184">
        <v>1811884</v>
      </c>
      <c r="D73" s="184">
        <v>0</v>
      </c>
      <c r="E73" s="185">
        <v>9940143.5099999998</v>
      </c>
      <c r="F73" s="185">
        <v>0</v>
      </c>
      <c r="G73" s="184">
        <v>0</v>
      </c>
      <c r="H73" s="184">
        <v>0</v>
      </c>
      <c r="I73" s="185">
        <v>0</v>
      </c>
      <c r="J73" s="185">
        <v>829939</v>
      </c>
      <c r="K73" s="185">
        <v>0</v>
      </c>
      <c r="L73" s="185">
        <v>0</v>
      </c>
      <c r="M73" s="184">
        <v>0</v>
      </c>
      <c r="N73" s="184">
        <v>0</v>
      </c>
      <c r="O73" s="184">
        <f>2071504+793884</f>
        <v>2865388</v>
      </c>
      <c r="P73" s="185">
        <f>26465964.23+521738.06</f>
        <v>26987702.289999999</v>
      </c>
      <c r="Q73" s="185">
        <v>1994570</v>
      </c>
      <c r="R73" s="185">
        <v>5288767</v>
      </c>
      <c r="S73" s="185">
        <v>0</v>
      </c>
      <c r="T73" s="185">
        <v>0</v>
      </c>
      <c r="U73" s="185">
        <f>3367811.77+27233</f>
        <v>3395044.77</v>
      </c>
      <c r="V73" s="185">
        <f>116250.14+20522</f>
        <v>136772.14000000001</v>
      </c>
      <c r="W73" s="185">
        <f>663589</f>
        <v>663589</v>
      </c>
      <c r="X73" s="185">
        <f>2374475.82</f>
        <v>2374475.8199999998</v>
      </c>
      <c r="Y73" s="185">
        <f>1417371.8+227601+327633</f>
        <v>1972605.8</v>
      </c>
      <c r="Z73" s="185">
        <f>31793+11622.04</f>
        <v>43415.040000000001</v>
      </c>
      <c r="AA73" s="185">
        <f>57893</f>
        <v>57893</v>
      </c>
      <c r="AB73" s="185">
        <f>6054746.78+1260179.7</f>
        <v>7314926.4800000004</v>
      </c>
      <c r="AC73" s="185">
        <f>1604419.66+624</f>
        <v>1605043.66</v>
      </c>
      <c r="AD73" s="185">
        <v>0</v>
      </c>
      <c r="AE73" s="185">
        <f>1639897</f>
        <v>1639897</v>
      </c>
      <c r="AF73" s="185">
        <v>0</v>
      </c>
      <c r="AG73" s="185">
        <v>3270326.03</v>
      </c>
      <c r="AH73" s="185">
        <v>0</v>
      </c>
      <c r="AI73" s="185">
        <v>0</v>
      </c>
      <c r="AJ73" s="185">
        <f>10171+743+52+281</f>
        <v>11247</v>
      </c>
      <c r="AK73" s="185">
        <v>0</v>
      </c>
      <c r="AL73" s="185">
        <f>115663</f>
        <v>115663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72319292.539999992</v>
      </c>
      <c r="CF73" s="250"/>
    </row>
    <row r="74" spans="1:84" ht="12.6" customHeight="1" x14ac:dyDescent="0.25">
      <c r="A74" s="171" t="s">
        <v>246</v>
      </c>
      <c r="B74" s="175"/>
      <c r="C74" s="184">
        <v>-42246</v>
      </c>
      <c r="D74" s="184">
        <v>0</v>
      </c>
      <c r="E74" s="185">
        <v>1712766.08</v>
      </c>
      <c r="F74" s="185">
        <v>0</v>
      </c>
      <c r="G74" s="184">
        <v>0</v>
      </c>
      <c r="H74" s="184">
        <v>0</v>
      </c>
      <c r="I74" s="184">
        <v>0</v>
      </c>
      <c r="J74" s="185">
        <v>-990</v>
      </c>
      <c r="K74" s="185">
        <v>0</v>
      </c>
      <c r="L74" s="185">
        <v>0</v>
      </c>
      <c r="M74" s="184">
        <v>0</v>
      </c>
      <c r="N74" s="184">
        <v>0</v>
      </c>
      <c r="O74" s="184">
        <f>516857</f>
        <v>516857</v>
      </c>
      <c r="P74" s="185">
        <f>18918330.29+2085237.12</f>
        <v>21003567.41</v>
      </c>
      <c r="Q74" s="185">
        <f>3215433</f>
        <v>3215433</v>
      </c>
      <c r="R74" s="185">
        <f>3538945</f>
        <v>3538945</v>
      </c>
      <c r="S74" s="185">
        <v>0</v>
      </c>
      <c r="T74" s="185">
        <v>0</v>
      </c>
      <c r="U74" s="185">
        <f>18870571.45+127424</f>
        <v>18997995.449999999</v>
      </c>
      <c r="V74" s="185">
        <f>508065.42+67791</f>
        <v>575856.41999999993</v>
      </c>
      <c r="W74" s="185">
        <f>9379489-359</f>
        <v>9379130</v>
      </c>
      <c r="X74" s="185">
        <v>14938381.93</v>
      </c>
      <c r="Y74" s="185">
        <f>171596+1560584+5627394.65+3268831.99+1107-115+1477106</f>
        <v>12106504.640000001</v>
      </c>
      <c r="Z74" s="185">
        <f>3576360.38+855442.97</f>
        <v>4431803.3499999996</v>
      </c>
      <c r="AA74" s="185">
        <v>1958013</v>
      </c>
      <c r="AB74" s="185">
        <f>17916081.97+1213460.83</f>
        <v>19129542.799999997</v>
      </c>
      <c r="AC74" s="185">
        <f>353824+311684.09+712161</f>
        <v>1377669.09</v>
      </c>
      <c r="AD74" s="185">
        <v>0</v>
      </c>
      <c r="AE74" s="185">
        <f>3809597.18+319734</f>
        <v>4129331.18</v>
      </c>
      <c r="AF74" s="185">
        <v>0</v>
      </c>
      <c r="AG74" s="185">
        <v>18260702.649999999</v>
      </c>
      <c r="AH74" s="185">
        <v>191170</v>
      </c>
      <c r="AI74" s="185">
        <f>1706629+566813.68</f>
        <v>2273442.6800000002</v>
      </c>
      <c r="AJ74" s="185">
        <f>3266575+748617.47+465394.63+951769.1+2780806.76+227179.96+871176.12+9333760.34</f>
        <v>18645279.379999999</v>
      </c>
      <c r="AK74" s="185">
        <v>0</v>
      </c>
      <c r="AL74" s="185">
        <v>674875.66</v>
      </c>
      <c r="AM74" s="185">
        <v>0</v>
      </c>
      <c r="AN74" s="185">
        <v>0</v>
      </c>
      <c r="AO74" s="185">
        <v>0</v>
      </c>
      <c r="AP74" s="185">
        <f>45604+21405</f>
        <v>67009</v>
      </c>
      <c r="AQ74" s="185">
        <v>0</v>
      </c>
      <c r="AR74" s="185">
        <v>1063071.53</v>
      </c>
      <c r="AS74" s="185">
        <v>0</v>
      </c>
      <c r="AT74" s="185">
        <v>0</v>
      </c>
      <c r="AU74" s="185">
        <v>0</v>
      </c>
      <c r="AV74" s="185">
        <f>26695+77813</f>
        <v>104508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158248619.25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1769638</v>
      </c>
      <c r="D75" s="195">
        <f t="shared" si="9"/>
        <v>0</v>
      </c>
      <c r="E75" s="195">
        <f t="shared" si="9"/>
        <v>11652909.59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828949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3382245</v>
      </c>
      <c r="P75" s="195">
        <f t="shared" si="9"/>
        <v>47991269.700000003</v>
      </c>
      <c r="Q75" s="195">
        <f t="shared" si="9"/>
        <v>5210003</v>
      </c>
      <c r="R75" s="195">
        <f t="shared" si="9"/>
        <v>8827712</v>
      </c>
      <c r="S75" s="195">
        <f t="shared" si="9"/>
        <v>0</v>
      </c>
      <c r="T75" s="195">
        <f t="shared" si="9"/>
        <v>0</v>
      </c>
      <c r="U75" s="195">
        <f t="shared" si="9"/>
        <v>22393040.219999999</v>
      </c>
      <c r="V75" s="195">
        <f t="shared" si="9"/>
        <v>712628.55999999994</v>
      </c>
      <c r="W75" s="195">
        <f t="shared" si="9"/>
        <v>10042719</v>
      </c>
      <c r="X75" s="195">
        <f t="shared" si="9"/>
        <v>17312857.75</v>
      </c>
      <c r="Y75" s="195">
        <f t="shared" si="9"/>
        <v>14079110.440000001</v>
      </c>
      <c r="Z75" s="195">
        <f t="shared" si="9"/>
        <v>4475218.3899999997</v>
      </c>
      <c r="AA75" s="195">
        <f t="shared" si="9"/>
        <v>2015906</v>
      </c>
      <c r="AB75" s="195">
        <f t="shared" si="9"/>
        <v>26444469.279999997</v>
      </c>
      <c r="AC75" s="195">
        <f t="shared" si="9"/>
        <v>2982712.75</v>
      </c>
      <c r="AD75" s="195">
        <f t="shared" si="9"/>
        <v>0</v>
      </c>
      <c r="AE75" s="195">
        <f t="shared" si="9"/>
        <v>5769228.1799999997</v>
      </c>
      <c r="AF75" s="195">
        <f t="shared" si="9"/>
        <v>0</v>
      </c>
      <c r="AG75" s="195">
        <f t="shared" si="9"/>
        <v>21531028.68</v>
      </c>
      <c r="AH75" s="195">
        <f t="shared" si="9"/>
        <v>191170</v>
      </c>
      <c r="AI75" s="195">
        <f t="shared" si="9"/>
        <v>2273442.6800000002</v>
      </c>
      <c r="AJ75" s="195">
        <f t="shared" si="9"/>
        <v>18656526.379999999</v>
      </c>
      <c r="AK75" s="195">
        <f t="shared" si="9"/>
        <v>0</v>
      </c>
      <c r="AL75" s="195">
        <f t="shared" si="9"/>
        <v>790538.66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67009</v>
      </c>
      <c r="AQ75" s="195">
        <f t="shared" si="9"/>
        <v>0</v>
      </c>
      <c r="AR75" s="195">
        <f t="shared" si="9"/>
        <v>1063071.53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104508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230567911.79000002</v>
      </c>
      <c r="CF75" s="250"/>
    </row>
    <row r="76" spans="1:84" ht="12.6" customHeight="1" x14ac:dyDescent="0.25">
      <c r="A76" s="171" t="s">
        <v>248</v>
      </c>
      <c r="B76" s="175"/>
      <c r="C76" s="184">
        <v>3692</v>
      </c>
      <c r="D76" s="184">
        <v>0</v>
      </c>
      <c r="E76" s="185">
        <f>22761+400</f>
        <v>23161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5313</v>
      </c>
      <c r="P76" s="185">
        <v>11604</v>
      </c>
      <c r="Q76" s="185">
        <v>0</v>
      </c>
      <c r="R76" s="185">
        <v>500</v>
      </c>
      <c r="S76" s="185">
        <v>3031</v>
      </c>
      <c r="T76" s="185">
        <v>0</v>
      </c>
      <c r="U76" s="185">
        <v>3940</v>
      </c>
      <c r="V76" s="185">
        <v>10</v>
      </c>
      <c r="W76" s="185">
        <v>0</v>
      </c>
      <c r="X76" s="185">
        <v>0</v>
      </c>
      <c r="Y76" s="185">
        <v>10925</v>
      </c>
      <c r="Z76" s="185">
        <v>7700</v>
      </c>
      <c r="AA76" s="185">
        <v>0</v>
      </c>
      <c r="AB76" s="185">
        <v>1896</v>
      </c>
      <c r="AC76" s="185">
        <f>1896+2251</f>
        <v>4147</v>
      </c>
      <c r="AD76" s="185">
        <v>0</v>
      </c>
      <c r="AE76" s="185">
        <v>7400</v>
      </c>
      <c r="AF76" s="185">
        <v>0</v>
      </c>
      <c r="AG76" s="185">
        <v>7100</v>
      </c>
      <c r="AH76" s="185">
        <v>0</v>
      </c>
      <c r="AI76" s="185">
        <v>0</v>
      </c>
      <c r="AJ76" s="185">
        <f>5552+2075+396+5864+2226+2900</f>
        <v>19013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f>945+184</f>
        <v>1129</v>
      </c>
      <c r="AQ76" s="185">
        <v>0</v>
      </c>
      <c r="AR76" s="185">
        <v>1256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4202</v>
      </c>
      <c r="AZ76" s="185">
        <v>0</v>
      </c>
      <c r="BA76" s="185">
        <v>287</v>
      </c>
      <c r="BB76" s="185">
        <v>0</v>
      </c>
      <c r="BC76" s="185">
        <v>0</v>
      </c>
      <c r="BD76" s="185">
        <v>4791</v>
      </c>
      <c r="BE76" s="185">
        <v>11813</v>
      </c>
      <c r="BF76" s="185">
        <v>2393</v>
      </c>
      <c r="BG76" s="185">
        <v>0</v>
      </c>
      <c r="BH76" s="185">
        <v>1780</v>
      </c>
      <c r="BI76" s="185">
        <v>0</v>
      </c>
      <c r="BJ76" s="185">
        <v>1241</v>
      </c>
      <c r="BK76" s="185">
        <v>3442</v>
      </c>
      <c r="BL76" s="185">
        <v>12125</v>
      </c>
      <c r="BM76" s="185">
        <v>0</v>
      </c>
      <c r="BN76" s="185">
        <v>1627</v>
      </c>
      <c r="BO76" s="185">
        <v>0</v>
      </c>
      <c r="BP76" s="185">
        <v>129</v>
      </c>
      <c r="BQ76" s="185">
        <v>0</v>
      </c>
      <c r="BR76" s="185">
        <v>1193</v>
      </c>
      <c r="BS76" s="185">
        <v>1127</v>
      </c>
      <c r="BT76" s="185">
        <v>391</v>
      </c>
      <c r="BU76" s="185">
        <v>558</v>
      </c>
      <c r="BV76" s="185">
        <v>1426</v>
      </c>
      <c r="BW76" s="185">
        <v>246</v>
      </c>
      <c r="BX76" s="185">
        <v>200</v>
      </c>
      <c r="BY76" s="185">
        <v>0</v>
      </c>
      <c r="BZ76" s="185">
        <v>0</v>
      </c>
      <c r="CA76" s="185">
        <v>0</v>
      </c>
      <c r="CB76" s="185">
        <f>85+558</f>
        <v>643</v>
      </c>
      <c r="CC76" s="185">
        <f>135+226+200+10+1131+709+449+76+2319+697+9160+2349+5475+5583+2683+1753+5346+2910+1223+285+1775</f>
        <v>44494</v>
      </c>
      <c r="CD76" s="247" t="s">
        <v>221</v>
      </c>
      <c r="CE76" s="195">
        <f t="shared" si="8"/>
        <v>205925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3282</v>
      </c>
      <c r="D77" s="184">
        <v>0</v>
      </c>
      <c r="E77" s="184">
        <v>22605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3080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7" t="s">
        <v>221</v>
      </c>
      <c r="AY77" s="247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7" t="s">
        <v>221</v>
      </c>
      <c r="BE77" s="247" t="s">
        <v>221</v>
      </c>
      <c r="BF77" s="184">
        <v>0</v>
      </c>
      <c r="BG77" s="247" t="s">
        <v>221</v>
      </c>
      <c r="BH77" s="184">
        <v>0</v>
      </c>
      <c r="BI77" s="184">
        <v>0</v>
      </c>
      <c r="BJ77" s="247" t="s">
        <v>221</v>
      </c>
      <c r="BK77" s="184">
        <v>0</v>
      </c>
      <c r="BL77" s="184">
        <v>0</v>
      </c>
      <c r="BM77" s="184">
        <v>0</v>
      </c>
      <c r="BN77" s="247" t="s">
        <v>221</v>
      </c>
      <c r="BO77" s="247" t="s">
        <v>221</v>
      </c>
      <c r="BP77" s="247" t="s">
        <v>221</v>
      </c>
      <c r="BQ77" s="247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7" t="s">
        <v>221</v>
      </c>
      <c r="CD77" s="247" t="s">
        <v>221</v>
      </c>
      <c r="CE77" s="195">
        <f>SUM(C77:CD77)</f>
        <v>28967</v>
      </c>
      <c r="CF77" s="195">
        <f>AY59-CE77</f>
        <v>177578</v>
      </c>
    </row>
    <row r="78" spans="1:84" ht="12.6" customHeight="1" x14ac:dyDescent="0.25">
      <c r="A78" s="171" t="s">
        <v>250</v>
      </c>
      <c r="B78" s="175"/>
      <c r="C78" s="184">
        <v>3692</v>
      </c>
      <c r="D78" s="184">
        <v>0</v>
      </c>
      <c r="E78" s="184">
        <v>23161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5313</v>
      </c>
      <c r="P78" s="184">
        <v>11604</v>
      </c>
      <c r="Q78" s="184">
        <v>0</v>
      </c>
      <c r="R78" s="184">
        <v>500</v>
      </c>
      <c r="S78" s="184">
        <v>3031</v>
      </c>
      <c r="T78" s="184">
        <v>0</v>
      </c>
      <c r="U78" s="184">
        <v>3940</v>
      </c>
      <c r="V78" s="184">
        <v>10</v>
      </c>
      <c r="W78" s="184">
        <v>0</v>
      </c>
      <c r="X78" s="184">
        <v>0</v>
      </c>
      <c r="Y78" s="184">
        <v>10925</v>
      </c>
      <c r="Z78" s="184">
        <v>7700</v>
      </c>
      <c r="AA78" s="184">
        <v>0</v>
      </c>
      <c r="AB78" s="184">
        <v>1896</v>
      </c>
      <c r="AC78" s="184">
        <v>4147</v>
      </c>
      <c r="AD78" s="184">
        <v>0</v>
      </c>
      <c r="AE78" s="184">
        <v>0</v>
      </c>
      <c r="AF78" s="184">
        <v>0</v>
      </c>
      <c r="AG78" s="184">
        <v>7100</v>
      </c>
      <c r="AH78" s="184">
        <v>0</v>
      </c>
      <c r="AI78" s="184">
        <v>0</v>
      </c>
      <c r="AJ78" s="184">
        <v>19013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1129</v>
      </c>
      <c r="AQ78" s="184">
        <v>0</v>
      </c>
      <c r="AR78" s="184">
        <v>1256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7" t="s">
        <v>221</v>
      </c>
      <c r="AY78" s="247" t="s">
        <v>221</v>
      </c>
      <c r="AZ78" s="247" t="s">
        <v>221</v>
      </c>
      <c r="BA78" s="184">
        <v>287</v>
      </c>
      <c r="BB78" s="184">
        <v>0</v>
      </c>
      <c r="BC78" s="184">
        <v>0</v>
      </c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1780</v>
      </c>
      <c r="BI78" s="184">
        <v>0</v>
      </c>
      <c r="BJ78" s="247" t="s">
        <v>221</v>
      </c>
      <c r="BK78" s="184">
        <v>3442</v>
      </c>
      <c r="BL78" s="184">
        <v>12125</v>
      </c>
      <c r="BM78" s="184">
        <v>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1127</v>
      </c>
      <c r="BT78" s="184">
        <v>391</v>
      </c>
      <c r="BU78" s="184">
        <v>558</v>
      </c>
      <c r="BV78" s="184">
        <v>1426</v>
      </c>
      <c r="BW78" s="184">
        <v>246</v>
      </c>
      <c r="BX78" s="184">
        <v>200</v>
      </c>
      <c r="BY78" s="184">
        <v>0</v>
      </c>
      <c r="BZ78" s="184">
        <v>0</v>
      </c>
      <c r="CA78" s="184">
        <v>0</v>
      </c>
      <c r="CB78" s="184">
        <v>643</v>
      </c>
      <c r="CC78" s="247" t="s">
        <v>221</v>
      </c>
      <c r="CD78" s="247" t="s">
        <v>221</v>
      </c>
      <c r="CE78" s="195">
        <f t="shared" si="8"/>
        <v>126642</v>
      </c>
      <c r="CF78" s="195"/>
    </row>
    <row r="79" spans="1:84" ht="12.6" customHeight="1" x14ac:dyDescent="0.25">
      <c r="A79" s="171" t="s">
        <v>251</v>
      </c>
      <c r="B79" s="175"/>
      <c r="C79" s="225">
        <v>48698.43</v>
      </c>
      <c r="D79" s="184">
        <v>0</v>
      </c>
      <c r="E79" s="184">
        <v>394014.57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2356</v>
      </c>
      <c r="P79" s="184">
        <v>25863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7" t="s">
        <v>221</v>
      </c>
      <c r="AY79" s="247" t="s">
        <v>221</v>
      </c>
      <c r="AZ79" s="247" t="s">
        <v>221</v>
      </c>
      <c r="BA79" s="247" t="s">
        <v>221</v>
      </c>
      <c r="BB79" s="184">
        <v>0</v>
      </c>
      <c r="BC79" s="184">
        <v>0</v>
      </c>
      <c r="BD79" s="247" t="s">
        <v>221</v>
      </c>
      <c r="BE79" s="247" t="s">
        <v>221</v>
      </c>
      <c r="BF79" s="247" t="s">
        <v>221</v>
      </c>
      <c r="BG79" s="247" t="s">
        <v>221</v>
      </c>
      <c r="BH79" s="184">
        <v>0</v>
      </c>
      <c r="BI79" s="184">
        <v>0</v>
      </c>
      <c r="BJ79" s="247" t="s">
        <v>221</v>
      </c>
      <c r="BK79" s="184">
        <v>0</v>
      </c>
      <c r="BL79" s="184">
        <v>0</v>
      </c>
      <c r="BM79" s="184">
        <v>0</v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7" t="s">
        <v>221</v>
      </c>
      <c r="CD79" s="247" t="s">
        <v>221</v>
      </c>
      <c r="CE79" s="195">
        <f t="shared" si="8"/>
        <v>470932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10.44</v>
      </c>
      <c r="D80" s="187">
        <v>0</v>
      </c>
      <c r="E80" s="187">
        <v>30.76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12.23</v>
      </c>
      <c r="P80" s="187">
        <v>11.17</v>
      </c>
      <c r="Q80" s="187">
        <v>10.07</v>
      </c>
      <c r="R80" s="187">
        <v>1.38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1.41</v>
      </c>
      <c r="Z80" s="187">
        <v>4.43</v>
      </c>
      <c r="AA80" s="187">
        <v>0</v>
      </c>
      <c r="AB80" s="187">
        <v>0</v>
      </c>
      <c r="AC80" s="187">
        <v>0.85</v>
      </c>
      <c r="AD80" s="187">
        <v>0</v>
      </c>
      <c r="AE80" s="187">
        <v>0</v>
      </c>
      <c r="AF80" s="187">
        <v>0</v>
      </c>
      <c r="AG80" s="187">
        <v>16.8</v>
      </c>
      <c r="AH80" s="187">
        <v>0</v>
      </c>
      <c r="AI80" s="187">
        <v>0</v>
      </c>
      <c r="AJ80" s="187">
        <f>1.25+3+2.17+8.09</f>
        <v>14.51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0.13</v>
      </c>
      <c r="AQ80" s="187">
        <v>0</v>
      </c>
      <c r="AR80" s="187">
        <v>6.15</v>
      </c>
      <c r="AS80" s="187">
        <v>0</v>
      </c>
      <c r="AT80" s="187">
        <v>0</v>
      </c>
      <c r="AU80" s="187">
        <v>0</v>
      </c>
      <c r="AV80" s="187">
        <v>0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120.33000000000001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1265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2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3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4" t="s">
        <v>1276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68" t="s">
        <v>1277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3011</v>
      </c>
      <c r="D111" s="174">
        <v>9214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479</v>
      </c>
      <c r="D114" s="174">
        <v>839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43</v>
      </c>
    </row>
    <row r="128" spans="1:5" ht="12.6" customHeight="1" x14ac:dyDescent="0.25">
      <c r="A128" s="173" t="s">
        <v>292</v>
      </c>
      <c r="B128" s="172" t="s">
        <v>256</v>
      </c>
      <c r="C128" s="189">
        <v>43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1361+361</f>
        <v>1722</v>
      </c>
      <c r="C138" s="189">
        <v>594</v>
      </c>
      <c r="D138" s="174">
        <f>3011-1722-594</f>
        <v>695</v>
      </c>
      <c r="E138" s="175">
        <f>SUM(B138:D138)</f>
        <v>3011</v>
      </c>
    </row>
    <row r="139" spans="1:6" ht="12.6" customHeight="1" x14ac:dyDescent="0.25">
      <c r="A139" s="173" t="s">
        <v>215</v>
      </c>
      <c r="B139" s="174">
        <f>4500+1202</f>
        <v>5702</v>
      </c>
      <c r="C139" s="189">
        <v>1388</v>
      </c>
      <c r="D139" s="174">
        <f>9214-5702-1388</f>
        <v>2124</v>
      </c>
      <c r="E139" s="175">
        <f>SUM(B139:D139)</f>
        <v>9214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45473259.369999997</v>
      </c>
      <c r="C141" s="189">
        <v>6122891.9000000004</v>
      </c>
      <c r="D141" s="174">
        <f>72319293-45473259-6122892</f>
        <v>20723142</v>
      </c>
      <c r="E141" s="175">
        <f>SUM(B141:D141)</f>
        <v>72319293.269999996</v>
      </c>
      <c r="F141" s="199"/>
    </row>
    <row r="142" spans="1:6" ht="12.6" customHeight="1" x14ac:dyDescent="0.25">
      <c r="A142" s="173" t="s">
        <v>246</v>
      </c>
      <c r="B142" s="174">
        <v>46024736.600000001</v>
      </c>
      <c r="C142" s="189">
        <v>7222542.6100000003</v>
      </c>
      <c r="D142" s="174">
        <f>158248619-46024737-7222543</f>
        <v>105001339</v>
      </c>
      <c r="E142" s="175">
        <f>SUM(B142:D142)</f>
        <v>158248618.21000001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v>2996729.95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139514.51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545107.11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3889201.86+1013468.92</f>
        <v>4902670.78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21177.22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1627006.18-88965.17</f>
        <v>1538041.01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-729741.24+23434.06+1550.96+16943.8+18995.08+36257.9+80907+735229.29</f>
        <v>183576.85000000009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10326817.43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f>15600+16562.5+1109002.2-545004</f>
        <v>596160.69999999995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154004.25+6584.09</f>
        <v>160588.34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756749.03999999992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f>336027.1+190925.14+29594</f>
        <v>556546.24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141490.16+8462.92+57183.96+105+25</f>
        <v>207267.04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763813.28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>
        <v>74822.600000000006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577751.84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652574.43999999994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>
        <f>1334598+489313</f>
        <v>1823911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1823911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4708577</v>
      </c>
      <c r="C195" s="189">
        <v>0</v>
      </c>
      <c r="D195" s="174">
        <v>0</v>
      </c>
      <c r="E195" s="175">
        <f t="shared" ref="E195:E203" si="10">SUM(B195:C195)-D195</f>
        <v>4708577</v>
      </c>
    </row>
    <row r="196" spans="1:8" ht="12.6" customHeight="1" x14ac:dyDescent="0.25">
      <c r="A196" s="173" t="s">
        <v>333</v>
      </c>
      <c r="B196" s="174">
        <v>2130330</v>
      </c>
      <c r="C196" s="189">
        <v>0</v>
      </c>
      <c r="D196" s="174">
        <v>0</v>
      </c>
      <c r="E196" s="175">
        <f t="shared" si="10"/>
        <v>2130330</v>
      </c>
    </row>
    <row r="197" spans="1:8" ht="12.6" customHeight="1" x14ac:dyDescent="0.25">
      <c r="A197" s="173" t="s">
        <v>334</v>
      </c>
      <c r="B197" s="174">
        <f>69647191+311906</f>
        <v>69959097</v>
      </c>
      <c r="C197" s="189">
        <f>41662+2633+348919</f>
        <v>393214</v>
      </c>
      <c r="D197" s="174">
        <v>0</v>
      </c>
      <c r="E197" s="175">
        <f t="shared" si="10"/>
        <v>70352311</v>
      </c>
    </row>
    <row r="198" spans="1:8" ht="12.6" customHeight="1" x14ac:dyDescent="0.25">
      <c r="A198" s="173" t="s">
        <v>335</v>
      </c>
      <c r="B198" s="174">
        <v>8707358</v>
      </c>
      <c r="C198" s="189">
        <v>146381</v>
      </c>
      <c r="D198" s="174"/>
      <c r="E198" s="175">
        <f t="shared" si="10"/>
        <v>8853739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28658116</v>
      </c>
      <c r="C200" s="189">
        <f>762409+236886</f>
        <v>999295</v>
      </c>
      <c r="D200" s="174">
        <v>661818</v>
      </c>
      <c r="E200" s="175">
        <f t="shared" si="10"/>
        <v>28995593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1156418</v>
      </c>
      <c r="C203" s="189">
        <v>5444432</v>
      </c>
      <c r="D203" s="174">
        <v>732186</v>
      </c>
      <c r="E203" s="175">
        <f t="shared" si="10"/>
        <v>5868664</v>
      </c>
    </row>
    <row r="204" spans="1:8" ht="12.6" customHeight="1" x14ac:dyDescent="0.25">
      <c r="A204" s="173" t="s">
        <v>203</v>
      </c>
      <c r="B204" s="175">
        <f>SUM(B195:B203)</f>
        <v>115319896</v>
      </c>
      <c r="C204" s="191">
        <f>SUM(C195:C203)</f>
        <v>6983322</v>
      </c>
      <c r="D204" s="175">
        <f>SUM(D195:D203)</f>
        <v>1394004</v>
      </c>
      <c r="E204" s="175">
        <f>SUM(E195:E203)</f>
        <v>120909214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1501355</v>
      </c>
      <c r="C209" s="189">
        <v>82177</v>
      </c>
      <c r="D209" s="174">
        <v>0</v>
      </c>
      <c r="E209" s="175">
        <f t="shared" ref="E209:E216" si="11">SUM(B209:C209)-D209</f>
        <v>1583532</v>
      </c>
      <c r="H209" s="257"/>
    </row>
    <row r="210" spans="1:8" ht="12.6" customHeight="1" x14ac:dyDescent="0.25">
      <c r="A210" s="173" t="s">
        <v>334</v>
      </c>
      <c r="B210" s="174">
        <v>21985527</v>
      </c>
      <c r="C210" s="189">
        <v>1555527</v>
      </c>
      <c r="D210" s="174">
        <v>0</v>
      </c>
      <c r="E210" s="175">
        <f t="shared" si="11"/>
        <v>23541054</v>
      </c>
      <c r="H210" s="257"/>
    </row>
    <row r="211" spans="1:8" ht="12.6" customHeight="1" x14ac:dyDescent="0.25">
      <c r="A211" s="173" t="s">
        <v>335</v>
      </c>
      <c r="B211" s="174">
        <v>6356192</v>
      </c>
      <c r="C211" s="189">
        <v>412895</v>
      </c>
      <c r="D211" s="174">
        <v>0</v>
      </c>
      <c r="E211" s="175">
        <f t="shared" si="11"/>
        <v>6769087</v>
      </c>
      <c r="H211" s="257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7"/>
    </row>
    <row r="213" spans="1:8" ht="12.6" customHeight="1" x14ac:dyDescent="0.25">
      <c r="A213" s="173" t="s">
        <v>337</v>
      </c>
      <c r="B213" s="174">
        <v>21864141</v>
      </c>
      <c r="C213" s="189">
        <v>2050625</v>
      </c>
      <c r="D213" s="174">
        <v>641056</v>
      </c>
      <c r="E213" s="175">
        <f t="shared" si="11"/>
        <v>23273710</v>
      </c>
      <c r="H213" s="257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51707215</v>
      </c>
      <c r="C217" s="191">
        <f>SUM(C208:C216)</f>
        <v>4101224</v>
      </c>
      <c r="D217" s="175">
        <f>SUM(D208:D216)</f>
        <v>641056</v>
      </c>
      <c r="E217" s="175">
        <f>SUM(E208:E216)</f>
        <v>55167383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1621023</v>
      </c>
      <c r="D221" s="172">
        <f>C221</f>
        <v>1621023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77580400.180000007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18808400.04-1402458.13</f>
        <v>17405941.91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2601164.16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12076769.05+38714.28</f>
        <v>12115483.33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1598032.95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23230787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134531809.53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>
        <v>711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197279.14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430998.36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628277.5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136781110.03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28119486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13306467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13306467-8733364</f>
        <v>4573103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241840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1649419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826373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289805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39860287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>
        <v>5379456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451556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5831012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4708577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2130330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70037832+314539</f>
        <v>70352371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8853738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28995534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5868664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120909214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55167383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65741831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512499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512499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>
        <v>598703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1518647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2117350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114062979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5254923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4117727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125660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1209540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174959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11857824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22740633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9994000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165903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22390000+10575000+2624297</f>
        <v>35589297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458105+445927</f>
        <v>904032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46653232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11857824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34795408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56526938</v>
      </c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222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222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114062979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114062979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72319293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158248619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230567912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1621023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f>135160087-628278</f>
        <v>134531809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628278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136781110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93786802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v>926274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3450270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4376544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98163346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42566968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10326817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3832988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23206226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1021482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7414433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4101224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756749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763813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652574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2147348-763813-652574</f>
        <v>730961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95374235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2789111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842309-1823911-83938+765316-5</f>
        <v>-300229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2488882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2488882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Island Hospital   H-0     FYE 12/31/2017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3011</v>
      </c>
      <c r="C414" s="194">
        <f>E138</f>
        <v>3011</v>
      </c>
      <c r="D414" s="179"/>
    </row>
    <row r="415" spans="1:5" ht="12.6" customHeight="1" x14ac:dyDescent="0.25">
      <c r="A415" s="179" t="s">
        <v>464</v>
      </c>
      <c r="B415" s="179">
        <f>D111</f>
        <v>9214</v>
      </c>
      <c r="C415" s="179">
        <f>E139</f>
        <v>9214</v>
      </c>
      <c r="D415" s="194">
        <f>SUM(C59:H59)+N59</f>
        <v>8382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479</v>
      </c>
    </row>
    <row r="424" spans="1:7" ht="12.6" customHeight="1" x14ac:dyDescent="0.25">
      <c r="A424" s="179" t="s">
        <v>1244</v>
      </c>
      <c r="B424" s="179">
        <f>D114</f>
        <v>839</v>
      </c>
      <c r="D424" s="179">
        <f>J59</f>
        <v>839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42566968</v>
      </c>
      <c r="C427" s="179">
        <f t="shared" ref="C427:C434" si="13">CE61</f>
        <v>42566967.879999988</v>
      </c>
      <c r="D427" s="179"/>
    </row>
    <row r="428" spans="1:7" ht="12.6" customHeight="1" x14ac:dyDescent="0.25">
      <c r="A428" s="179" t="s">
        <v>3</v>
      </c>
      <c r="B428" s="179">
        <f t="shared" si="12"/>
        <v>10326817</v>
      </c>
      <c r="C428" s="179">
        <f t="shared" si="13"/>
        <v>10326815</v>
      </c>
      <c r="D428" s="179">
        <f>D173</f>
        <v>10326817.43</v>
      </c>
    </row>
    <row r="429" spans="1:7" ht="12.6" customHeight="1" x14ac:dyDescent="0.25">
      <c r="A429" s="179" t="s">
        <v>236</v>
      </c>
      <c r="B429" s="179">
        <f t="shared" si="12"/>
        <v>3832988</v>
      </c>
      <c r="C429" s="179">
        <f t="shared" si="13"/>
        <v>3765646.3799999994</v>
      </c>
      <c r="D429" s="179"/>
    </row>
    <row r="430" spans="1:7" ht="12.6" customHeight="1" x14ac:dyDescent="0.25">
      <c r="A430" s="179" t="s">
        <v>237</v>
      </c>
      <c r="B430" s="179">
        <f t="shared" si="12"/>
        <v>23206226</v>
      </c>
      <c r="C430" s="179">
        <f t="shared" si="13"/>
        <v>23206225.59</v>
      </c>
      <c r="D430" s="179"/>
    </row>
    <row r="431" spans="1:7" ht="12.6" customHeight="1" x14ac:dyDescent="0.25">
      <c r="A431" s="179" t="s">
        <v>444</v>
      </c>
      <c r="B431" s="179">
        <f t="shared" si="12"/>
        <v>1021482</v>
      </c>
      <c r="C431" s="179">
        <f t="shared" si="13"/>
        <v>1021482.1299999999</v>
      </c>
      <c r="D431" s="179"/>
    </row>
    <row r="432" spans="1:7" ht="12.6" customHeight="1" x14ac:dyDescent="0.25">
      <c r="A432" s="179" t="s">
        <v>445</v>
      </c>
      <c r="B432" s="179">
        <f t="shared" si="12"/>
        <v>7414433</v>
      </c>
      <c r="C432" s="179">
        <f t="shared" si="13"/>
        <v>7414433.1699999999</v>
      </c>
      <c r="D432" s="179"/>
    </row>
    <row r="433" spans="1:7" ht="12.6" customHeight="1" x14ac:dyDescent="0.25">
      <c r="A433" s="179" t="s">
        <v>6</v>
      </c>
      <c r="B433" s="179">
        <f t="shared" si="12"/>
        <v>4101224</v>
      </c>
      <c r="C433" s="179">
        <f t="shared" si="13"/>
        <v>4101219</v>
      </c>
      <c r="D433" s="179">
        <f>C217</f>
        <v>4101224</v>
      </c>
    </row>
    <row r="434" spans="1:7" ht="12.6" customHeight="1" x14ac:dyDescent="0.25">
      <c r="A434" s="179" t="s">
        <v>474</v>
      </c>
      <c r="B434" s="179">
        <f t="shared" si="12"/>
        <v>756749</v>
      </c>
      <c r="C434" s="179">
        <f t="shared" si="13"/>
        <v>756749.04000000015</v>
      </c>
      <c r="D434" s="179">
        <f>D177</f>
        <v>756749.03999999992</v>
      </c>
    </row>
    <row r="435" spans="1:7" ht="12.6" customHeight="1" x14ac:dyDescent="0.25">
      <c r="A435" s="179" t="s">
        <v>447</v>
      </c>
      <c r="B435" s="179">
        <f t="shared" si="12"/>
        <v>763813</v>
      </c>
      <c r="C435" s="179"/>
      <c r="D435" s="179">
        <f>D181</f>
        <v>763813.28</v>
      </c>
    </row>
    <row r="436" spans="1:7" ht="12.6" customHeight="1" x14ac:dyDescent="0.25">
      <c r="A436" s="179" t="s">
        <v>475</v>
      </c>
      <c r="B436" s="179">
        <f t="shared" si="12"/>
        <v>652574</v>
      </c>
      <c r="C436" s="179"/>
      <c r="D436" s="179">
        <f>D186</f>
        <v>652574.43999999994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1823911</v>
      </c>
    </row>
    <row r="438" spans="1:7" ht="12.6" customHeight="1" x14ac:dyDescent="0.25">
      <c r="A438" s="194" t="s">
        <v>476</v>
      </c>
      <c r="B438" s="194">
        <f>C386+C387+C388</f>
        <v>1416387</v>
      </c>
      <c r="C438" s="194">
        <f>CD69</f>
        <v>0</v>
      </c>
      <c r="D438" s="194">
        <f>D181+D186+D190</f>
        <v>3240298.7199999997</v>
      </c>
    </row>
    <row r="439" spans="1:7" ht="12.6" customHeight="1" x14ac:dyDescent="0.25">
      <c r="A439" s="179" t="s">
        <v>451</v>
      </c>
      <c r="B439" s="194">
        <f>C389</f>
        <v>730961</v>
      </c>
      <c r="C439" s="194">
        <f>SUM(C69:CC69)</f>
        <v>2122031.3600000003</v>
      </c>
      <c r="D439" s="179"/>
    </row>
    <row r="440" spans="1:7" ht="12.6" customHeight="1" x14ac:dyDescent="0.25">
      <c r="A440" s="179" t="s">
        <v>477</v>
      </c>
      <c r="B440" s="194">
        <f>B438+B439</f>
        <v>2147348</v>
      </c>
      <c r="C440" s="194">
        <f>CE69</f>
        <v>2122031.3600000003</v>
      </c>
      <c r="D440" s="179"/>
    </row>
    <row r="441" spans="1:7" ht="12.6" customHeight="1" x14ac:dyDescent="0.25">
      <c r="A441" s="179" t="s">
        <v>478</v>
      </c>
      <c r="B441" s="179">
        <f>D390</f>
        <v>95374235</v>
      </c>
      <c r="C441" s="179">
        <f>SUM(C427:C437)+C440</f>
        <v>95281569.549999997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1621023</v>
      </c>
      <c r="C444" s="179">
        <f>C363</f>
        <v>1621023</v>
      </c>
      <c r="D444" s="179"/>
    </row>
    <row r="445" spans="1:7" ht="12.6" customHeight="1" x14ac:dyDescent="0.25">
      <c r="A445" s="179" t="s">
        <v>343</v>
      </c>
      <c r="B445" s="179">
        <f>D229</f>
        <v>134531809.53</v>
      </c>
      <c r="C445" s="179">
        <f>C364</f>
        <v>134531809</v>
      </c>
      <c r="D445" s="179"/>
    </row>
    <row r="446" spans="1:7" ht="12.6" customHeight="1" x14ac:dyDescent="0.25">
      <c r="A446" s="179" t="s">
        <v>351</v>
      </c>
      <c r="B446" s="179">
        <f>D236</f>
        <v>628277.5</v>
      </c>
      <c r="C446" s="179">
        <f>C365</f>
        <v>628278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136781110.03</v>
      </c>
      <c r="C448" s="179">
        <f>D367</f>
        <v>136781110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711</v>
      </c>
    </row>
    <row r="454" spans="1:7" ht="12.6" customHeight="1" x14ac:dyDescent="0.25">
      <c r="A454" s="179" t="s">
        <v>168</v>
      </c>
      <c r="B454" s="179">
        <f>C233</f>
        <v>197279.14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430998.36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926274</v>
      </c>
      <c r="C458" s="194">
        <f>CE70</f>
        <v>1250240.1300000001</v>
      </c>
      <c r="D458" s="194"/>
    </row>
    <row r="459" spans="1:7" ht="12.6" customHeight="1" x14ac:dyDescent="0.25">
      <c r="A459" s="179" t="s">
        <v>244</v>
      </c>
      <c r="B459" s="194">
        <f>C371</f>
        <v>3450270</v>
      </c>
      <c r="C459" s="194">
        <f>CE72</f>
        <v>3450270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72319293</v>
      </c>
      <c r="C463" s="194">
        <f>CE73</f>
        <v>72319292.539999992</v>
      </c>
      <c r="D463" s="194">
        <f>E141+E147+E153</f>
        <v>72319293.269999996</v>
      </c>
    </row>
    <row r="464" spans="1:7" ht="12.6" customHeight="1" x14ac:dyDescent="0.25">
      <c r="A464" s="179" t="s">
        <v>246</v>
      </c>
      <c r="B464" s="194">
        <f>C360</f>
        <v>158248619</v>
      </c>
      <c r="C464" s="194">
        <f>CE74</f>
        <v>158248619.25</v>
      </c>
      <c r="D464" s="194">
        <f>E142+E148+E154</f>
        <v>158248618.21000001</v>
      </c>
    </row>
    <row r="465" spans="1:7" ht="12.6" customHeight="1" x14ac:dyDescent="0.25">
      <c r="A465" s="179" t="s">
        <v>247</v>
      </c>
      <c r="B465" s="194">
        <f>D361</f>
        <v>230567912</v>
      </c>
      <c r="C465" s="194">
        <f>CE75</f>
        <v>230567911.79000002</v>
      </c>
      <c r="D465" s="194">
        <f>D463+D464</f>
        <v>230567911.48000002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4708577</v>
      </c>
      <c r="C468" s="179">
        <f>E195</f>
        <v>4708577</v>
      </c>
      <c r="D468" s="179"/>
    </row>
    <row r="469" spans="1:7" ht="12.6" customHeight="1" x14ac:dyDescent="0.25">
      <c r="A469" s="179" t="s">
        <v>333</v>
      </c>
      <c r="B469" s="179">
        <f t="shared" si="14"/>
        <v>2130330</v>
      </c>
      <c r="C469" s="179">
        <f>E196</f>
        <v>2130330</v>
      </c>
      <c r="D469" s="179"/>
    </row>
    <row r="470" spans="1:7" ht="12.6" customHeight="1" x14ac:dyDescent="0.25">
      <c r="A470" s="179" t="s">
        <v>334</v>
      </c>
      <c r="B470" s="179">
        <f t="shared" si="14"/>
        <v>70352371</v>
      </c>
      <c r="C470" s="179">
        <f>E197</f>
        <v>70352311</v>
      </c>
      <c r="D470" s="179"/>
    </row>
    <row r="471" spans="1:7" ht="12.6" customHeight="1" x14ac:dyDescent="0.25">
      <c r="A471" s="179" t="s">
        <v>494</v>
      </c>
      <c r="B471" s="179">
        <f t="shared" si="14"/>
        <v>8853738</v>
      </c>
      <c r="C471" s="179">
        <f>E198</f>
        <v>8853739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28995534</v>
      </c>
      <c r="C473" s="179">
        <f>SUM(E200:E201)</f>
        <v>28995593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5868664</v>
      </c>
      <c r="C475" s="179">
        <f>E203</f>
        <v>5868664</v>
      </c>
      <c r="D475" s="179"/>
    </row>
    <row r="476" spans="1:7" ht="12.6" customHeight="1" x14ac:dyDescent="0.25">
      <c r="A476" s="179" t="s">
        <v>203</v>
      </c>
      <c r="B476" s="179">
        <f>D275</f>
        <v>120909214</v>
      </c>
      <c r="C476" s="179">
        <f>E204</f>
        <v>120909214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55167383</v>
      </c>
      <c r="C478" s="179">
        <f>E217</f>
        <v>55167383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114062979</v>
      </c>
    </row>
    <row r="482" spans="1:12" ht="12.6" customHeight="1" x14ac:dyDescent="0.25">
      <c r="A482" s="180" t="s">
        <v>499</v>
      </c>
      <c r="C482" s="180">
        <f>D339</f>
        <v>114062979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Island Hospital   H-0     FYE 12/31/2017</v>
      </c>
      <c r="B493" s="259" t="s">
        <v>1266</v>
      </c>
      <c r="C493" s="259" t="str">
        <f>RIGHT(C82,4)</f>
        <v>2017</v>
      </c>
      <c r="D493" s="259" t="s">
        <v>1266</v>
      </c>
      <c r="E493" s="259" t="str">
        <f>RIGHT(C82,4)</f>
        <v>2017</v>
      </c>
      <c r="F493" s="259" t="s">
        <v>1266</v>
      </c>
      <c r="G493" s="259" t="str">
        <f>RIGHT(C82,4)</f>
        <v>2017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v>1762573.9400000002</v>
      </c>
      <c r="C496" s="238">
        <f>C71</f>
        <v>1736154.3</v>
      </c>
      <c r="D496" s="238">
        <v>896</v>
      </c>
      <c r="E496" s="180">
        <f>C59</f>
        <v>902</v>
      </c>
      <c r="F496" s="261">
        <f t="shared" ref="F496:G511" si="15">IF(B496=0,"",IF(D496=0,"",B496/D496))</f>
        <v>1967.1584151785717</v>
      </c>
      <c r="G496" s="262">
        <f t="shared" si="15"/>
        <v>1924.7830376940133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v>0</v>
      </c>
      <c r="C497" s="238">
        <f>D71</f>
        <v>0</v>
      </c>
      <c r="D497" s="238"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v>6593169.8200000003</v>
      </c>
      <c r="C498" s="238">
        <f>E71</f>
        <v>6858539.3899999997</v>
      </c>
      <c r="D498" s="238">
        <v>7838</v>
      </c>
      <c r="E498" s="180">
        <f>E59</f>
        <v>7480</v>
      </c>
      <c r="F498" s="261">
        <f t="shared" si="15"/>
        <v>841.18012503189595</v>
      </c>
      <c r="G498" s="261">
        <f t="shared" si="15"/>
        <v>916.91703074866302</v>
      </c>
      <c r="H498" s="263" t="str">
        <f t="shared" si="16"/>
        <v/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v>0</v>
      </c>
      <c r="C499" s="238">
        <f>F71</f>
        <v>0</v>
      </c>
      <c r="D499" s="238"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v>0</v>
      </c>
      <c r="C500" s="238">
        <f>G71</f>
        <v>0</v>
      </c>
      <c r="D500" s="238"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v>0</v>
      </c>
      <c r="C501" s="238">
        <f>H71</f>
        <v>0</v>
      </c>
      <c r="D501" s="238"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v>0</v>
      </c>
      <c r="C502" s="238">
        <f>I71</f>
        <v>0</v>
      </c>
      <c r="D502" s="238"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v>12980.03</v>
      </c>
      <c r="C503" s="238">
        <f>J71</f>
        <v>14532.55</v>
      </c>
      <c r="D503" s="238">
        <v>704</v>
      </c>
      <c r="E503" s="180">
        <f>J59</f>
        <v>839</v>
      </c>
      <c r="F503" s="261">
        <f t="shared" si="15"/>
        <v>18.437542613636364</v>
      </c>
      <c r="G503" s="261">
        <f t="shared" si="15"/>
        <v>17.321275327771154</v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v>0</v>
      </c>
      <c r="C504" s="238">
        <f>K71</f>
        <v>0</v>
      </c>
      <c r="D504" s="238"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v>0</v>
      </c>
      <c r="C505" s="238">
        <f>L71</f>
        <v>0</v>
      </c>
      <c r="D505" s="238"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v>0</v>
      </c>
      <c r="C506" s="238">
        <f>M71</f>
        <v>0</v>
      </c>
      <c r="D506" s="238"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v>0</v>
      </c>
      <c r="C507" s="238">
        <f>N71</f>
        <v>0</v>
      </c>
      <c r="D507" s="238"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v>2256912.5499999998</v>
      </c>
      <c r="C508" s="238">
        <f>O71</f>
        <v>2351115.4599999995</v>
      </c>
      <c r="D508" s="238">
        <v>1845</v>
      </c>
      <c r="E508" s="180">
        <f>O59</f>
        <v>2263</v>
      </c>
      <c r="F508" s="261">
        <f t="shared" si="15"/>
        <v>1223.2588346883467</v>
      </c>
      <c r="G508" s="261">
        <f t="shared" si="15"/>
        <v>1038.937454706142</v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v>15685431.939999999</v>
      </c>
      <c r="C509" s="238">
        <f>P71</f>
        <v>15518665.739999998</v>
      </c>
      <c r="D509" s="238">
        <v>369400</v>
      </c>
      <c r="E509" s="180">
        <f>P59</f>
        <v>350652</v>
      </c>
      <c r="F509" s="261">
        <f t="shared" si="15"/>
        <v>42.461916459122904</v>
      </c>
      <c r="G509" s="261">
        <f t="shared" si="15"/>
        <v>44.25660124567947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v>1414842.52</v>
      </c>
      <c r="C510" s="238">
        <f>Q71</f>
        <v>1385717.17</v>
      </c>
      <c r="D510" s="238">
        <v>229223</v>
      </c>
      <c r="E510" s="180">
        <f>Q59</f>
        <v>238166</v>
      </c>
      <c r="F510" s="261">
        <f t="shared" si="15"/>
        <v>6.1723409954498463</v>
      </c>
      <c r="G510" s="261">
        <f t="shared" si="15"/>
        <v>5.818282920316082</v>
      </c>
      <c r="H510" s="263" t="str">
        <f t="shared" si="16"/>
        <v/>
      </c>
      <c r="I510" s="265"/>
      <c r="K510" s="259"/>
      <c r="L510" s="259"/>
    </row>
    <row r="511" spans="1:12" ht="12.6" customHeight="1" x14ac:dyDescent="0.25">
      <c r="A511" s="180" t="s">
        <v>527</v>
      </c>
      <c r="B511" s="238">
        <v>401742.63</v>
      </c>
      <c r="C511" s="238">
        <f>R71</f>
        <v>428897.43</v>
      </c>
      <c r="D511" s="238">
        <v>369400</v>
      </c>
      <c r="E511" s="180">
        <f>R59</f>
        <v>350652</v>
      </c>
      <c r="F511" s="261">
        <f t="shared" si="15"/>
        <v>1.0875544937736872</v>
      </c>
      <c r="G511" s="261">
        <f t="shared" si="15"/>
        <v>1.2231426884774648</v>
      </c>
      <c r="H511" s="263" t="str">
        <f t="shared" si="16"/>
        <v/>
      </c>
      <c r="I511" s="265"/>
      <c r="K511" s="259"/>
      <c r="L511" s="259"/>
    </row>
    <row r="512" spans="1:12" ht="12.6" customHeight="1" x14ac:dyDescent="0.25">
      <c r="A512" s="180" t="s">
        <v>528</v>
      </c>
      <c r="B512" s="238">
        <v>617428.7699999999</v>
      </c>
      <c r="C512" s="238">
        <f>S71</f>
        <v>655686.31000000006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v>4699647.12</v>
      </c>
      <c r="C514" s="238">
        <f>U71</f>
        <v>4759189.24</v>
      </c>
      <c r="D514" s="238">
        <v>268648</v>
      </c>
      <c r="E514" s="180">
        <f>U59</f>
        <v>265998</v>
      </c>
      <c r="F514" s="261">
        <f t="shared" si="17"/>
        <v>17.493698519996428</v>
      </c>
      <c r="G514" s="261">
        <f t="shared" si="17"/>
        <v>17.891823397168402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v>371220.97000000003</v>
      </c>
      <c r="C515" s="238">
        <f>V71</f>
        <v>62657.58</v>
      </c>
      <c r="D515" s="238">
        <v>6012</v>
      </c>
      <c r="E515" s="180">
        <f>V59</f>
        <v>6573</v>
      </c>
      <c r="F515" s="261">
        <f t="shared" si="17"/>
        <v>61.746668330006656</v>
      </c>
      <c r="G515" s="261">
        <f t="shared" si="17"/>
        <v>9.5325696029210416</v>
      </c>
      <c r="H515" s="263">
        <f t="shared" si="16"/>
        <v>-0.84561807364287289</v>
      </c>
      <c r="I515" s="265"/>
      <c r="K515" s="259"/>
      <c r="L515" s="259"/>
    </row>
    <row r="516" spans="1:12" ht="12.6" customHeight="1" x14ac:dyDescent="0.25">
      <c r="A516" s="180" t="s">
        <v>532</v>
      </c>
      <c r="B516" s="238">
        <v>430893.72</v>
      </c>
      <c r="C516" s="238">
        <f>W71</f>
        <v>401911.07</v>
      </c>
      <c r="D516" s="238">
        <v>4556</v>
      </c>
      <c r="E516" s="180">
        <f>W59</f>
        <v>4492</v>
      </c>
      <c r="F516" s="261">
        <f t="shared" si="17"/>
        <v>94.577199297629491</v>
      </c>
      <c r="G516" s="261">
        <f t="shared" si="17"/>
        <v>89.472633570792524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v>594334.66999999993</v>
      </c>
      <c r="C517" s="238">
        <f>X71</f>
        <v>608156.40999999992</v>
      </c>
      <c r="D517" s="238">
        <v>8529</v>
      </c>
      <c r="E517" s="180">
        <f>X59</f>
        <v>10003</v>
      </c>
      <c r="F517" s="261">
        <f t="shared" si="17"/>
        <v>69.683980536991427</v>
      </c>
      <c r="G517" s="261">
        <f t="shared" si="17"/>
        <v>60.797401779466149</v>
      </c>
      <c r="H517" s="263" t="str">
        <f t="shared" si="16"/>
        <v/>
      </c>
      <c r="I517" s="265"/>
      <c r="K517" s="259"/>
      <c r="L517" s="259"/>
    </row>
    <row r="518" spans="1:12" ht="12.6" customHeight="1" x14ac:dyDescent="0.25">
      <c r="A518" s="180" t="s">
        <v>534</v>
      </c>
      <c r="B518" s="238">
        <v>5305709.4499999993</v>
      </c>
      <c r="C518" s="238">
        <f>Y71</f>
        <v>3539169.6300000004</v>
      </c>
      <c r="D518" s="238">
        <v>32581</v>
      </c>
      <c r="E518" s="180">
        <f>Y59</f>
        <v>33623</v>
      </c>
      <c r="F518" s="261">
        <f t="shared" si="17"/>
        <v>162.84673429299283</v>
      </c>
      <c r="G518" s="261">
        <f t="shared" si="17"/>
        <v>105.26037623055647</v>
      </c>
      <c r="H518" s="263">
        <f t="shared" si="16"/>
        <v>-0.35362304508254583</v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v>2076336.0399999998</v>
      </c>
      <c r="C519" s="238">
        <f>Z71</f>
        <v>1937698.79</v>
      </c>
      <c r="D519" s="238">
        <v>13969</v>
      </c>
      <c r="E519" s="180">
        <f>Z59</f>
        <v>13182</v>
      </c>
      <c r="F519" s="261">
        <f t="shared" si="17"/>
        <v>148.63884601617866</v>
      </c>
      <c r="G519" s="261">
        <f t="shared" si="17"/>
        <v>146.9958117129419</v>
      </c>
      <c r="H519" s="263" t="str">
        <f t="shared" si="16"/>
        <v/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v>408010.03</v>
      </c>
      <c r="C520" s="238">
        <f>AA71</f>
        <v>396761.97</v>
      </c>
      <c r="D520" s="238">
        <v>1081</v>
      </c>
      <c r="E520" s="180">
        <f>AA59</f>
        <v>1067</v>
      </c>
      <c r="F520" s="261">
        <f t="shared" si="17"/>
        <v>377.43758556891771</v>
      </c>
      <c r="G520" s="261">
        <f t="shared" si="17"/>
        <v>371.84814432989685</v>
      </c>
      <c r="H520" s="263" t="str">
        <f t="shared" si="16"/>
        <v/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v>8266642.6100000013</v>
      </c>
      <c r="C521" s="238">
        <f>AB71</f>
        <v>8555873.6699999999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v>1115872.93</v>
      </c>
      <c r="C522" s="238">
        <f>AC71</f>
        <v>1099820.8</v>
      </c>
      <c r="D522" s="238">
        <v>11676</v>
      </c>
      <c r="E522" s="180">
        <f>AC59</f>
        <v>11543</v>
      </c>
      <c r="F522" s="261">
        <f t="shared" si="17"/>
        <v>95.569795306611852</v>
      </c>
      <c r="G522" s="261">
        <f t="shared" si="17"/>
        <v>95.280325738542842</v>
      </c>
      <c r="H522" s="263" t="str">
        <f t="shared" si="16"/>
        <v/>
      </c>
      <c r="I522" s="265"/>
      <c r="K522" s="259"/>
      <c r="L522" s="259"/>
    </row>
    <row r="523" spans="1:12" ht="12.6" customHeight="1" x14ac:dyDescent="0.25">
      <c r="A523" s="180" t="s">
        <v>539</v>
      </c>
      <c r="B523" s="238">
        <v>0</v>
      </c>
      <c r="C523" s="238">
        <f>AD71</f>
        <v>0</v>
      </c>
      <c r="D523" s="238"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v>1975607.88</v>
      </c>
      <c r="C524" s="238">
        <f>AE71</f>
        <v>1973885.96</v>
      </c>
      <c r="D524" s="238">
        <v>18428</v>
      </c>
      <c r="E524" s="180">
        <f>AE59</f>
        <v>19062</v>
      </c>
      <c r="F524" s="261">
        <f t="shared" si="17"/>
        <v>107.20685261558498</v>
      </c>
      <c r="G524" s="261">
        <f t="shared" si="17"/>
        <v>103.55083202182352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v>0</v>
      </c>
      <c r="C525" s="238">
        <f>AF71</f>
        <v>0</v>
      </c>
      <c r="D525" s="238"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v>3285689.39</v>
      </c>
      <c r="C526" s="238">
        <f>AG71</f>
        <v>3434075.7500000005</v>
      </c>
      <c r="D526" s="238">
        <v>16900</v>
      </c>
      <c r="E526" s="180">
        <f>AG59</f>
        <v>17631</v>
      </c>
      <c r="F526" s="261">
        <f t="shared" si="17"/>
        <v>194.41949053254439</v>
      </c>
      <c r="G526" s="261">
        <f t="shared" si="17"/>
        <v>194.77487096591233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v>180589.80000000002</v>
      </c>
      <c r="C527" s="238">
        <f>AH71</f>
        <v>171424.32</v>
      </c>
      <c r="D527" s="238"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v>929038.27</v>
      </c>
      <c r="C528" s="238">
        <f>AI71</f>
        <v>1040031.79</v>
      </c>
      <c r="D528" s="238">
        <v>360</v>
      </c>
      <c r="E528" s="180">
        <f>AI59</f>
        <v>440</v>
      </c>
      <c r="F528" s="261">
        <f t="shared" ref="F528:G540" si="18">IF(B528=0,"",IF(D528=0,"",B528/D528))</f>
        <v>2580.6618611111112</v>
      </c>
      <c r="G528" s="261">
        <f t="shared" si="18"/>
        <v>2363.7086136363637</v>
      </c>
      <c r="H528" s="263" t="str">
        <f t="shared" si="16"/>
        <v/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v>13310142.270000001</v>
      </c>
      <c r="C529" s="238">
        <f>AJ71</f>
        <v>13673075.219999997</v>
      </c>
      <c r="D529" s="238">
        <v>66226</v>
      </c>
      <c r="E529" s="180">
        <f>AJ59</f>
        <v>66110</v>
      </c>
      <c r="F529" s="261">
        <f t="shared" si="18"/>
        <v>200.9806159212394</v>
      </c>
      <c r="G529" s="261">
        <f t="shared" si="18"/>
        <v>206.82310119497802</v>
      </c>
      <c r="H529" s="263" t="str">
        <f t="shared" si="16"/>
        <v/>
      </c>
      <c r="I529" s="265"/>
      <c r="K529" s="259"/>
      <c r="L529" s="259"/>
    </row>
    <row r="530" spans="1:12" ht="12.6" customHeight="1" x14ac:dyDescent="0.25">
      <c r="A530" s="180" t="s">
        <v>546</v>
      </c>
      <c r="B530" s="238">
        <v>0</v>
      </c>
      <c r="C530" s="238">
        <f>AK71</f>
        <v>0</v>
      </c>
      <c r="D530" s="238"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v>247649.05</v>
      </c>
      <c r="C531" s="238">
        <f>AL71</f>
        <v>269294.51999999996</v>
      </c>
      <c r="D531" s="238">
        <v>1138</v>
      </c>
      <c r="E531" s="180">
        <f>AL59</f>
        <v>2783</v>
      </c>
      <c r="F531" s="261">
        <f t="shared" si="18"/>
        <v>217.6177943760984</v>
      </c>
      <c r="G531" s="261">
        <f t="shared" si="18"/>
        <v>96.764110671936749</v>
      </c>
      <c r="H531" s="263">
        <f t="shared" si="16"/>
        <v>-0.55534835306388608</v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v>0</v>
      </c>
      <c r="C532" s="238">
        <f>AM71</f>
        <v>0</v>
      </c>
      <c r="D532" s="238"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v>0</v>
      </c>
      <c r="C533" s="238">
        <f>AN71</f>
        <v>0</v>
      </c>
      <c r="D533" s="238"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v>0</v>
      </c>
      <c r="C534" s="238">
        <f>AO71</f>
        <v>0</v>
      </c>
      <c r="D534" s="238"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v>31136.349999999991</v>
      </c>
      <c r="C535" s="238">
        <f>AP71</f>
        <v>10685.099999999999</v>
      </c>
      <c r="D535" s="238">
        <v>551.73</v>
      </c>
      <c r="E535" s="180">
        <f>AP59</f>
        <v>511.83</v>
      </c>
      <c r="F535" s="261">
        <f t="shared" si="18"/>
        <v>56.434034763380623</v>
      </c>
      <c r="G535" s="261">
        <f t="shared" si="18"/>
        <v>20.876267510696909</v>
      </c>
      <c r="H535" s="263">
        <f t="shared" si="16"/>
        <v>-0.63007664438263289</v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v>0</v>
      </c>
      <c r="C536" s="238">
        <f>AQ71</f>
        <v>0</v>
      </c>
      <c r="D536" s="238"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v>1762714.65</v>
      </c>
      <c r="C537" s="238">
        <f>AR71</f>
        <v>1198294.52</v>
      </c>
      <c r="D537" s="238">
        <v>8102</v>
      </c>
      <c r="E537" s="180">
        <f>AR59</f>
        <v>4781</v>
      </c>
      <c r="F537" s="261">
        <f t="shared" si="18"/>
        <v>217.56537274746975</v>
      </c>
      <c r="G537" s="261">
        <f t="shared" si="18"/>
        <v>250.63679564944573</v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v>0</v>
      </c>
      <c r="C538" s="238">
        <f>AS71</f>
        <v>0</v>
      </c>
      <c r="D538" s="238"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v>0</v>
      </c>
      <c r="C539" s="238">
        <f>AT71</f>
        <v>0</v>
      </c>
      <c r="D539" s="238"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v>0</v>
      </c>
      <c r="C540" s="238">
        <f>AU71</f>
        <v>0</v>
      </c>
      <c r="D540" s="238"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v>-441186.39</v>
      </c>
      <c r="C541" s="238">
        <f>AV71</f>
        <v>-120397.66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v>228057.84</v>
      </c>
      <c r="C543" s="238">
        <f>AX71</f>
        <v>225428.19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v>1245921.7700000003</v>
      </c>
      <c r="C544" s="238">
        <f>AY71</f>
        <v>1329019.0699999998</v>
      </c>
      <c r="D544" s="238">
        <v>198693</v>
      </c>
      <c r="E544" s="180">
        <f>AY59</f>
        <v>206545</v>
      </c>
      <c r="F544" s="261">
        <f t="shared" ref="F544:G550" si="19">IF(B544=0,"",IF(D544=0,"",B544/D544))</f>
        <v>6.2705871369399038</v>
      </c>
      <c r="G544" s="261">
        <f t="shared" si="19"/>
        <v>6.4345255029170394</v>
      </c>
      <c r="H544" s="263" t="str">
        <f t="shared" si="16"/>
        <v/>
      </c>
      <c r="I544" s="265"/>
      <c r="K544" s="259"/>
      <c r="L544" s="259"/>
    </row>
    <row r="545" spans="1:13" ht="12.6" customHeight="1" x14ac:dyDescent="0.25">
      <c r="A545" s="180" t="s">
        <v>559</v>
      </c>
      <c r="B545" s="238">
        <v>0</v>
      </c>
      <c r="C545" s="238">
        <f>AZ71</f>
        <v>0</v>
      </c>
      <c r="D545" s="238">
        <v>0</v>
      </c>
      <c r="E545" s="180">
        <f>AZ59</f>
        <v>0</v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" customHeight="1" x14ac:dyDescent="0.25">
      <c r="A546" s="180" t="s">
        <v>560</v>
      </c>
      <c r="B546" s="238">
        <v>278567.52999999997</v>
      </c>
      <c r="C546" s="238">
        <f>BA71</f>
        <v>276772.47999999998</v>
      </c>
      <c r="D546" s="238"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v>797332.08</v>
      </c>
      <c r="C549" s="238">
        <f>BD71</f>
        <v>715496.73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v>1994155.1600000001</v>
      </c>
      <c r="C550" s="238">
        <f>BE71</f>
        <v>2032130.34</v>
      </c>
      <c r="D550" s="238">
        <v>205925</v>
      </c>
      <c r="E550" s="180">
        <f>BE59</f>
        <v>205925</v>
      </c>
      <c r="F550" s="261">
        <f t="shared" si="19"/>
        <v>9.6838905426733035</v>
      </c>
      <c r="G550" s="261">
        <f t="shared" si="19"/>
        <v>9.868303217190725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v>1794934.8900000001</v>
      </c>
      <c r="C551" s="238">
        <f>BF71</f>
        <v>1953535.9200000002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v>0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v>2524269.87</v>
      </c>
      <c r="C553" s="238">
        <f>BH71</f>
        <v>2747781.8600000003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v>0</v>
      </c>
      <c r="C554" s="238">
        <f>BI71</f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v>556855.74</v>
      </c>
      <c r="C555" s="238">
        <f>BJ71</f>
        <v>520689.15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v>1837998.2400000002</v>
      </c>
      <c r="C556" s="238">
        <f>BK71</f>
        <v>1741596.1599999997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v>1563613.4900000002</v>
      </c>
      <c r="C557" s="238">
        <f>BL71</f>
        <v>1738028.4599999997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v>0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v>1891610.21</v>
      </c>
      <c r="C559" s="238">
        <f>BN71</f>
        <v>2073055.9800000002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v>85067.819999999992</v>
      </c>
      <c r="C560" s="238">
        <f>BO71</f>
        <v>128113.34999999999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v>493250.3</v>
      </c>
      <c r="C561" s="238">
        <f>BP71</f>
        <v>482936.94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v>733198.64999999991</v>
      </c>
      <c r="C563" s="238">
        <f>BR71</f>
        <v>727798.55999999994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v>77391.98</v>
      </c>
      <c r="C564" s="238">
        <f>BS71</f>
        <v>78490.989999999991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v>9588.25</v>
      </c>
      <c r="C565" s="238">
        <f>BT71</f>
        <v>10739.15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v>25447.78</v>
      </c>
      <c r="C566" s="238">
        <f>BU71</f>
        <v>25685.51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v>808799.17999999982</v>
      </c>
      <c r="C567" s="238">
        <f>BV71</f>
        <v>812878.2899999998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v>113229.84</v>
      </c>
      <c r="C568" s="238">
        <f>BW71</f>
        <v>117688.94999999998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v>512891.04000000004</v>
      </c>
      <c r="C569" s="238">
        <f>BX71</f>
        <v>687518.96999999986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v>247559.00999999998</v>
      </c>
      <c r="C570" s="238">
        <f>BY71</f>
        <v>277944.00999999995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v>0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v>51959.73000000004</v>
      </c>
      <c r="C573" s="238">
        <f>CB71</f>
        <v>28833.599999999991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v>4253339.3490000004</v>
      </c>
      <c r="C574" s="238">
        <f>CC71</f>
        <v>3338249.73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v>0</v>
      </c>
      <c r="C575" s="238">
        <f>CD71</f>
        <v>0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194112</v>
      </c>
      <c r="E612" s="180">
        <f>SUM(C624:D647)+SUM(C668:D713)</f>
        <v>86858227.973785222</v>
      </c>
      <c r="F612" s="180">
        <f>CE64-(AX64+BD64+BE64+BG64+BJ64+BN64+BP64+BQ64+CB64+CC64+CD64)</f>
        <v>22959003.859999999</v>
      </c>
      <c r="G612" s="180">
        <f>CE77-(AX77+AY77+BD77+BE77+BG77+BJ77+BN77+BP77+BQ77+CB77+CC77+CD77)</f>
        <v>28967</v>
      </c>
      <c r="H612" s="197">
        <f>CE60-(AX60+AY60+AZ60+BD60+BE60+BG60+BJ60+BN60+BO60+BP60+BQ60+BR60+CB60+CC60+CD60)</f>
        <v>507.39</v>
      </c>
      <c r="I612" s="180">
        <f>CE78-(AX78+AY78+AZ78+BD78+BE78+BF78+BG78+BJ78+BN78+BO78+BP78+BQ78+BR78+CB78+CC78+CD78)</f>
        <v>125999</v>
      </c>
      <c r="J612" s="180">
        <f>CE79-(AX79+AY79+AZ79+BA79+BD79+BE79+BF79+BG79+BJ79+BN79+BO79+BP79+BQ79+BR79+CB79+CC79+CD79)</f>
        <v>470932</v>
      </c>
      <c r="K612" s="180">
        <f>CE75-(AW75+AX75+AY75+AZ75+BA75+BB75+BC75+BD75+BE75+BF75+BG75+BH75+BI75+BJ75+BK75+BL75+BM75+BN75+BO75+BP75+BQ75+BR75+BS75+BT75+BU75+BV75+BW75+BX75+CB75+CC75+CD75)</f>
        <v>230567911.79000002</v>
      </c>
      <c r="L612" s="197">
        <f>CE80-(AW80+AX80+AY80+AZ80+BA80+BB80+BC80+BD80+BE80+BF80+BG80+BH80+BI80+BJ80+BK80+BL80+BM80+BN80+BO80+BP80+BQ80+BR80+BS80+BT80+BU80+BV80+BW80+BX80+BY80+BZ80+CA80+CB80+CC80+CD80)</f>
        <v>120.33000000000001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2032130.34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0</v>
      </c>
      <c r="D615" s="264">
        <f>SUM(C614:C615)</f>
        <v>2032130.34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225428.19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520689.15</v>
      </c>
      <c r="D617" s="180">
        <f>(D615/D612)*BJ76</f>
        <v>12991.848788019288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2073055.9800000002</v>
      </c>
      <c r="D619" s="180">
        <f>(D615/D612)*BN76</f>
        <v>17032.826734977745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3338249.73</v>
      </c>
      <c r="D620" s="180">
        <f>(D615/D612)*CC76</f>
        <v>465801.22479784867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482936.94</v>
      </c>
      <c r="D621" s="180">
        <f>(D615/D612)*BP76</f>
        <v>1350.4822672477744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28833.599999999991</v>
      </c>
      <c r="D622" s="180">
        <f>(D615/D612)*CB76</f>
        <v>6731.4736266691398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7173101.4462147625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715496.73</v>
      </c>
      <c r="D624" s="180">
        <f>(D615/D612)*BD76</f>
        <v>50156.283274295252</v>
      </c>
      <c r="E624" s="180">
        <f>(E623/E612)*SUM(C624:D624)</f>
        <v>63230.702087016063</v>
      </c>
      <c r="F624" s="180">
        <f>SUM(C624:E624)</f>
        <v>828883.71536131133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1329019.0699999998</v>
      </c>
      <c r="D625" s="180">
        <f>(D615/D612)*AY76</f>
        <v>43990.127806008903</v>
      </c>
      <c r="E625" s="180">
        <f>(E623/E612)*SUM(C625:D625)</f>
        <v>113388.61604937311</v>
      </c>
      <c r="F625" s="180">
        <f>(F624/F612)*AY64</f>
        <v>19422.670073890997</v>
      </c>
      <c r="G625" s="180">
        <f>SUM(C625:F625)</f>
        <v>1505820.4839292727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727798.55999999994</v>
      </c>
      <c r="D626" s="180">
        <f>(D615/D612)*BR76</f>
        <v>12489.343758345698</v>
      </c>
      <c r="E626" s="180">
        <f>(E623/E612)*SUM(C626:D626)</f>
        <v>61135.949430915738</v>
      </c>
      <c r="F626" s="180">
        <f>(F624/F612)*BR64</f>
        <v>221.81471811928995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128113.34999999999</v>
      </c>
      <c r="D627" s="180">
        <f>(D615/D612)*BO76</f>
        <v>0</v>
      </c>
      <c r="E627" s="180">
        <f>(E623/E612)*SUM(C627:D627)</f>
        <v>10580.115178515654</v>
      </c>
      <c r="F627" s="180">
        <f>(F624/F612)*BO64</f>
        <v>1080.9574726766421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941420.09055857302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1953535.9200000002</v>
      </c>
      <c r="D629" s="180">
        <f>(D615/D612)*BF76</f>
        <v>25051.96950018546</v>
      </c>
      <c r="E629" s="180">
        <f>(E623/E612)*SUM(C629:D629)</f>
        <v>163399.73751157214</v>
      </c>
      <c r="F629" s="180">
        <f>(F624/F612)*BF64</f>
        <v>10324.810873523948</v>
      </c>
      <c r="G629" s="180">
        <f>(G625/G612)*BF77</f>
        <v>0</v>
      </c>
      <c r="H629" s="180">
        <f>(H628/H612)*BF60</f>
        <v>54308.058989435012</v>
      </c>
      <c r="I629" s="180">
        <f>SUM(C629:H629)</f>
        <v>2206620.4968747166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276772.47999999998</v>
      </c>
      <c r="D630" s="180">
        <f>(D615/D612)*BA76</f>
        <v>3004.5613232566766</v>
      </c>
      <c r="E630" s="180">
        <f>(E623/E612)*SUM(C630:D630)</f>
        <v>23105.112164379352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5026.2310224925886</v>
      </c>
      <c r="J630" s="180">
        <f>SUM(C630:I630)</f>
        <v>307908.38451012858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1741596.1599999997</v>
      </c>
      <c r="D635" s="180">
        <f>(D615/D612)*BK76</f>
        <v>36033.798169510388</v>
      </c>
      <c r="E635" s="180">
        <f>(E623/E612)*SUM(C635:D635)</f>
        <v>146803.82413084494</v>
      </c>
      <c r="F635" s="180">
        <f>(F624/F612)*BK64</f>
        <v>636.86194963261676</v>
      </c>
      <c r="G635" s="180">
        <f>(G625/G612)*BK77</f>
        <v>0</v>
      </c>
      <c r="H635" s="180">
        <f>(H628/H612)*BK60</f>
        <v>42526.160301942284</v>
      </c>
      <c r="I635" s="180">
        <f>(I629/I612)*BK78</f>
        <v>60279.746269754316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2747781.8600000003</v>
      </c>
      <c r="D636" s="180">
        <f>(D615/D612)*BH76</f>
        <v>18634.561517062313</v>
      </c>
      <c r="E636" s="180">
        <f>(E623/E612)*SUM(C636:D636)</f>
        <v>228461.7830334437</v>
      </c>
      <c r="F636" s="180">
        <f>(F624/F612)*BH64</f>
        <v>938.44682880811365</v>
      </c>
      <c r="G636" s="180">
        <f>(G625/G612)*BH77</f>
        <v>0</v>
      </c>
      <c r="H636" s="180">
        <f>(H628/H612)*BH60</f>
        <v>24472.951761894357</v>
      </c>
      <c r="I636" s="180">
        <f>(I629/I612)*BH78</f>
        <v>31173.140139501069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1738028.4599999997</v>
      </c>
      <c r="D637" s="180">
        <f>(D615/D612)*BL76</f>
        <v>126934.86426650593</v>
      </c>
      <c r="E637" s="180">
        <f>(E623/E612)*SUM(C637:D637)</f>
        <v>154016.16439229067</v>
      </c>
      <c r="F637" s="180">
        <f>(F624/F612)*BL64</f>
        <v>2356.5778506320416</v>
      </c>
      <c r="G637" s="180">
        <f>(G625/G612)*BL77</f>
        <v>0</v>
      </c>
      <c r="H637" s="180">
        <f>(H628/H612)*BL60</f>
        <v>50244.695505087126</v>
      </c>
      <c r="I637" s="180">
        <f>(I629/I612)*BL78</f>
        <v>212345.12595025307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78490.989999999991</v>
      </c>
      <c r="D639" s="180">
        <f>(D615/D612)*BS76</f>
        <v>11798.399342544511</v>
      </c>
      <c r="E639" s="180">
        <f>(E623/E612)*SUM(C639:D639)</f>
        <v>7456.4605378125279</v>
      </c>
      <c r="F639" s="180">
        <f>(F624/F612)*BS64</f>
        <v>44.531687987037813</v>
      </c>
      <c r="G639" s="180">
        <f>(G625/G612)*BS77</f>
        <v>0</v>
      </c>
      <c r="H639" s="180">
        <f>(H628/H612)*BS60</f>
        <v>1873.9712873019942</v>
      </c>
      <c r="I639" s="180">
        <f>(I629/I612)*BS78</f>
        <v>19737.151088324554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10739.15</v>
      </c>
      <c r="D640" s="180">
        <f>(D615/D612)*BT76</f>
        <v>4093.3222208827892</v>
      </c>
      <c r="E640" s="180">
        <f>(E623/E612)*SUM(C640:D640)</f>
        <v>1224.9251501039805</v>
      </c>
      <c r="F640" s="180">
        <f>(F624/F612)*BT64</f>
        <v>5.2923055623727153</v>
      </c>
      <c r="G640" s="180">
        <f>(G625/G612)*BT77</f>
        <v>0</v>
      </c>
      <c r="H640" s="180">
        <f>(H628/H612)*BT60</f>
        <v>241.20422509827648</v>
      </c>
      <c r="I640" s="180">
        <f>(I629/I612)*BT78</f>
        <v>6847.5830306432126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25685.51</v>
      </c>
      <c r="D641" s="180">
        <f>(D615/D612)*BU76</f>
        <v>5841.6209699554893</v>
      </c>
      <c r="E641" s="180">
        <f>(E623/E612)*SUM(C641:D641)</f>
        <v>2603.6371456235984</v>
      </c>
      <c r="F641" s="180">
        <f>(F624/F612)*BU64</f>
        <v>4.6933605505727061E-3</v>
      </c>
      <c r="G641" s="180">
        <f>(G625/G612)*BU77</f>
        <v>0</v>
      </c>
      <c r="H641" s="180">
        <f>(H628/H612)*BU60</f>
        <v>667.95016181061169</v>
      </c>
      <c r="I641" s="180">
        <f>(I629/I612)*BU78</f>
        <v>9772.2540437312346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812878.2899999998</v>
      </c>
      <c r="D642" s="180">
        <f>(D615/D612)*BV76</f>
        <v>14928.586923219586</v>
      </c>
      <c r="E642" s="180">
        <f>(E623/E612)*SUM(C642:D642)</f>
        <v>68363.61786976138</v>
      </c>
      <c r="F642" s="180">
        <f>(F624/F612)*BV64</f>
        <v>517.00362994756028</v>
      </c>
      <c r="G642" s="180">
        <f>(G625/G612)*BV77</f>
        <v>0</v>
      </c>
      <c r="H642" s="180">
        <f>(H628/H612)*BV60</f>
        <v>18554.17116140588</v>
      </c>
      <c r="I642" s="180">
        <f>(I629/I612)*BV78</f>
        <v>24973.5381117576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117688.94999999998</v>
      </c>
      <c r="D643" s="180">
        <f>(D615/D612)*BW76</f>
        <v>2575.3382770771514</v>
      </c>
      <c r="E643" s="180">
        <f>(E623/E612)*SUM(C643:D643)</f>
        <v>9931.9081253724635</v>
      </c>
      <c r="F643" s="180">
        <f>(F624/F612)*BW64</f>
        <v>80.970578273949656</v>
      </c>
      <c r="G643" s="180">
        <f>(G625/G612)*BW77</f>
        <v>0</v>
      </c>
      <c r="H643" s="180">
        <f>(H628/H612)*BW60</f>
        <v>1855.4171161405882</v>
      </c>
      <c r="I643" s="180">
        <f>(I629/I612)*BW78</f>
        <v>4308.1980192793617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687518.96999999986</v>
      </c>
      <c r="D644" s="180">
        <f>(D615/D612)*BX76</f>
        <v>2093.7709569732938</v>
      </c>
      <c r="E644" s="180">
        <f>(E623/E612)*SUM(C644:D644)</f>
        <v>56950.990883437647</v>
      </c>
      <c r="F644" s="180">
        <f>(F624/F612)*BX64</f>
        <v>125.5152632594352</v>
      </c>
      <c r="G644" s="180">
        <f>(G625/G612)*BX77</f>
        <v>0</v>
      </c>
      <c r="H644" s="180">
        <f>(H628/H612)*BX60</f>
        <v>11243.827723811964</v>
      </c>
      <c r="I644" s="180">
        <f>(I629/I612)*BX78</f>
        <v>3502.6000156742775</v>
      </c>
      <c r="J644" s="180">
        <f>(J630/J612)*BX79</f>
        <v>0</v>
      </c>
      <c r="K644" s="180">
        <f>SUM(C631:J644)</f>
        <v>9388480.8046132959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277944.00999999995</v>
      </c>
      <c r="D645" s="180">
        <f>(D615/D612)*BY76</f>
        <v>0</v>
      </c>
      <c r="E645" s="180">
        <f>(E623/E612)*SUM(C645:D645)</f>
        <v>22953.733072927269</v>
      </c>
      <c r="F645" s="180">
        <f>(F624/F612)*BY64</f>
        <v>332.92677990448681</v>
      </c>
      <c r="G645" s="180">
        <f>(G625/G612)*BY77</f>
        <v>0</v>
      </c>
      <c r="H645" s="180">
        <f>(H628/H612)*BY60</f>
        <v>4100.4718266706996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305331.14167950238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22070412.390000001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1736154.3</v>
      </c>
      <c r="D668" s="180">
        <f>(D615/D612)*C76</f>
        <v>38651.011865727007</v>
      </c>
      <c r="E668" s="180">
        <f>(E623/E612)*SUM(C668:D668)</f>
        <v>146570.55349017718</v>
      </c>
      <c r="F668" s="180">
        <f>(F624/F612)*C64</f>
        <v>1904.3382639495685</v>
      </c>
      <c r="G668" s="180">
        <f>(G625/G612)*C77</f>
        <v>170611.48300672742</v>
      </c>
      <c r="H668" s="180">
        <f>(H628/H612)*C60</f>
        <v>27478.727490042111</v>
      </c>
      <c r="I668" s="180">
        <f>(I629/I612)*C78</f>
        <v>64657.99628934716</v>
      </c>
      <c r="J668" s="180">
        <f>(J630/J612)*C79</f>
        <v>31840.382283386094</v>
      </c>
      <c r="K668" s="180">
        <f>(K644/K612)*C75</f>
        <v>72057.782304271372</v>
      </c>
      <c r="L668" s="180">
        <f>(L647/L612)*C80</f>
        <v>26490.959188348745</v>
      </c>
      <c r="M668" s="180">
        <f t="shared" ref="M668:M713" si="20">ROUND(SUM(D668:L668),0)</f>
        <v>580263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6858539.3899999997</v>
      </c>
      <c r="D670" s="180">
        <f>(D615/D612)*E76</f>
        <v>242469.1456722923</v>
      </c>
      <c r="E670" s="180">
        <f>(E623/E612)*SUM(C670:D670)</f>
        <v>586429.8154020299</v>
      </c>
      <c r="F670" s="180">
        <f>(F624/F612)*E64</f>
        <v>8148.5107780831577</v>
      </c>
      <c r="G670" s="180">
        <f>(G625/G612)*E77</f>
        <v>1175098.2856084928</v>
      </c>
      <c r="H670" s="180">
        <f>(H628/H612)*E60</f>
        <v>112289.84386882841</v>
      </c>
      <c r="I670" s="180">
        <f>(I629/I612)*E78</f>
        <v>405618.59481515968</v>
      </c>
      <c r="J670" s="180">
        <f>(J630/J612)*E79</f>
        <v>257617.63847466934</v>
      </c>
      <c r="K670" s="180">
        <f>(K644/K612)*E75</f>
        <v>474494.11825897504</v>
      </c>
      <c r="L670" s="180">
        <f>(L647/L612)*E80</f>
        <v>78051.906574100329</v>
      </c>
      <c r="M670" s="180">
        <f t="shared" si="20"/>
        <v>3340218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14532.55</v>
      </c>
      <c r="D675" s="180">
        <f>(D615/D612)*J76</f>
        <v>0</v>
      </c>
      <c r="E675" s="180">
        <f>(E623/E612)*SUM(C675:D675)</f>
        <v>1200.1563680720055</v>
      </c>
      <c r="F675" s="180">
        <f>(F624/F612)*J64</f>
        <v>524.66536053250286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33753.924013466843</v>
      </c>
      <c r="L675" s="180">
        <f>(L647/L612)*J80</f>
        <v>0</v>
      </c>
      <c r="M675" s="180">
        <f t="shared" si="20"/>
        <v>35479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2351115.4599999995</v>
      </c>
      <c r="D680" s="180">
        <f>(D615/D612)*O76</f>
        <v>55621.025471995548</v>
      </c>
      <c r="E680" s="180">
        <f>(E623/E612)*SUM(C680:D680)</f>
        <v>198757.96878802776</v>
      </c>
      <c r="F680" s="180">
        <f>(F624/F612)*O64</f>
        <v>4271.8559769972608</v>
      </c>
      <c r="G680" s="180">
        <f>(G625/G612)*O77</f>
        <v>160110.71531405253</v>
      </c>
      <c r="H680" s="180">
        <f>(H628/H612)*O60</f>
        <v>25326.443635319029</v>
      </c>
      <c r="I680" s="180">
        <f>(I629/I612)*O78</f>
        <v>93046.569416387181</v>
      </c>
      <c r="J680" s="180">
        <f>(J630/J612)*O79</f>
        <v>1540.4180516632186</v>
      </c>
      <c r="K680" s="180">
        <f>(K644/K612)*O75</f>
        <v>137721.42885138674</v>
      </c>
      <c r="L680" s="180">
        <f>(L647/L612)*O80</f>
        <v>31032.991462979422</v>
      </c>
      <c r="M680" s="180">
        <f t="shared" si="20"/>
        <v>707429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15518665.739999998</v>
      </c>
      <c r="D681" s="180">
        <f>(D615/D612)*P76</f>
        <v>121480.59092359051</v>
      </c>
      <c r="E681" s="180">
        <f>(E623/E612)*SUM(C681:D681)</f>
        <v>1291626.1231948943</v>
      </c>
      <c r="F681" s="180">
        <f>(F624/F612)*P64</f>
        <v>387637.06975306617</v>
      </c>
      <c r="G681" s="180">
        <f>(G625/G612)*P77</f>
        <v>0</v>
      </c>
      <c r="H681" s="180">
        <f>(H628/H612)*P60</f>
        <v>54326.613160596426</v>
      </c>
      <c r="I681" s="180">
        <f>(I629/I612)*P78</f>
        <v>203220.85290942158</v>
      </c>
      <c r="J681" s="180">
        <f>(J630/J612)*P79</f>
        <v>16909.945700409942</v>
      </c>
      <c r="K681" s="180">
        <f>(K644/K612)*P75</f>
        <v>1954153.5978251908</v>
      </c>
      <c r="L681" s="180">
        <f>(L647/L612)*P80</f>
        <v>28343.296372974663</v>
      </c>
      <c r="M681" s="180">
        <f t="shared" si="20"/>
        <v>4057698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1385717.17</v>
      </c>
      <c r="D682" s="180">
        <f>(D615/D612)*Q76</f>
        <v>0</v>
      </c>
      <c r="E682" s="180">
        <f>(E623/E612)*SUM(C682:D682)</f>
        <v>114438.09145141204</v>
      </c>
      <c r="F682" s="180">
        <f>(F624/F612)*Q64</f>
        <v>918.35383023564259</v>
      </c>
      <c r="G682" s="180">
        <f>(G625/G612)*Q77</f>
        <v>0</v>
      </c>
      <c r="H682" s="180">
        <f>(H628/H612)*Q60</f>
        <v>19277.783836700713</v>
      </c>
      <c r="I682" s="180">
        <f>(I629/I612)*Q78</f>
        <v>0</v>
      </c>
      <c r="J682" s="180">
        <f>(J630/J612)*Q79</f>
        <v>0</v>
      </c>
      <c r="K682" s="180">
        <f>(K644/K612)*Q75</f>
        <v>212145.79590775105</v>
      </c>
      <c r="L682" s="180">
        <f>(L647/L612)*Q80</f>
        <v>25552.103355045198</v>
      </c>
      <c r="M682" s="180">
        <f t="shared" si="20"/>
        <v>372332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428897.43</v>
      </c>
      <c r="D683" s="180">
        <f>(D615/D612)*R76</f>
        <v>5234.4273924332347</v>
      </c>
      <c r="E683" s="180">
        <f>(E623/E612)*SUM(C683:D683)</f>
        <v>35852.353044197785</v>
      </c>
      <c r="F683" s="180">
        <f>(F624/F612)*R64</f>
        <v>7807.4276595972451</v>
      </c>
      <c r="G683" s="180">
        <f>(G625/G612)*R77</f>
        <v>0</v>
      </c>
      <c r="H683" s="180">
        <f>(H628/H612)*R60</f>
        <v>2746.0173318880707</v>
      </c>
      <c r="I683" s="180">
        <f>(I629/I612)*R78</f>
        <v>8756.5000391856938</v>
      </c>
      <c r="J683" s="180">
        <f>(J630/J612)*R79</f>
        <v>0</v>
      </c>
      <c r="K683" s="180">
        <f>(K644/K612)*R75</f>
        <v>359455.06908237957</v>
      </c>
      <c r="L683" s="180">
        <f>(L647/L612)*R80</f>
        <v>3501.6785134024203</v>
      </c>
      <c r="M683" s="180">
        <f t="shared" si="20"/>
        <v>423353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655686.31000000006</v>
      </c>
      <c r="D684" s="180">
        <f>(D615/D612)*S76</f>
        <v>31731.098852930267</v>
      </c>
      <c r="E684" s="180">
        <f>(E623/E612)*SUM(C684:D684)</f>
        <v>56769.691537851359</v>
      </c>
      <c r="F684" s="180">
        <f>(F624/F612)*S64</f>
        <v>4730.8586962331083</v>
      </c>
      <c r="G684" s="180">
        <f>(G625/G612)*S77</f>
        <v>0</v>
      </c>
      <c r="H684" s="180">
        <f>(H628/H612)*S60</f>
        <v>14249.603451959716</v>
      </c>
      <c r="I684" s="180">
        <f>(I629/I612)*S78</f>
        <v>53081.903237543673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160563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4759189.24</v>
      </c>
      <c r="D686" s="180">
        <f>(D615/D612)*U76</f>
        <v>41247.287852373891</v>
      </c>
      <c r="E686" s="180">
        <f>(E623/E612)*SUM(C686:D686)</f>
        <v>396439.33572755603</v>
      </c>
      <c r="F686" s="180">
        <f>(F624/F612)*U64</f>
        <v>65060.806618866547</v>
      </c>
      <c r="G686" s="180">
        <f>(G625/G612)*U77</f>
        <v>0</v>
      </c>
      <c r="H686" s="180">
        <f>(H628/H612)*U60</f>
        <v>43880.614796724905</v>
      </c>
      <c r="I686" s="180">
        <f>(I629/I612)*U78</f>
        <v>69001.22030878326</v>
      </c>
      <c r="J686" s="180">
        <f>(J630/J612)*U79</f>
        <v>0</v>
      </c>
      <c r="K686" s="180">
        <f>(K644/K612)*U75</f>
        <v>911820.84545175498</v>
      </c>
      <c r="L686" s="180">
        <f>(L647/L612)*U80</f>
        <v>0</v>
      </c>
      <c r="M686" s="180">
        <f t="shared" si="20"/>
        <v>1527450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62657.58</v>
      </c>
      <c r="D687" s="180">
        <f>(D615/D612)*V76</f>
        <v>104.68854784866468</v>
      </c>
      <c r="E687" s="180">
        <f>(E623/E612)*SUM(C687:D687)</f>
        <v>5183.1603037557707</v>
      </c>
      <c r="F687" s="180">
        <f>(F624/F612)*V64</f>
        <v>76.55484805133004</v>
      </c>
      <c r="G687" s="180">
        <f>(G625/G612)*V77</f>
        <v>0</v>
      </c>
      <c r="H687" s="180">
        <f>(H628/H612)*V60</f>
        <v>983.37107155451179</v>
      </c>
      <c r="I687" s="180">
        <f>(I629/I612)*V78</f>
        <v>175.13000078371388</v>
      </c>
      <c r="J687" s="180">
        <f>(J630/J612)*V79</f>
        <v>0</v>
      </c>
      <c r="K687" s="180">
        <f>(K644/K612)*V75</f>
        <v>29017.479077803699</v>
      </c>
      <c r="L687" s="180">
        <f>(L647/L612)*V80</f>
        <v>0</v>
      </c>
      <c r="M687" s="180">
        <f t="shared" si="20"/>
        <v>35540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401911.07</v>
      </c>
      <c r="D688" s="180">
        <f>(D615/D612)*W76</f>
        <v>0</v>
      </c>
      <c r="E688" s="180">
        <f>(E623/E612)*SUM(C688:D688)</f>
        <v>33191.430964224011</v>
      </c>
      <c r="F688" s="180">
        <f>(F624/F612)*W64</f>
        <v>1538.388277155783</v>
      </c>
      <c r="G688" s="180">
        <f>(G625/G612)*W77</f>
        <v>0</v>
      </c>
      <c r="H688" s="180">
        <f>(H628/H612)*W60</f>
        <v>3785.0509169267998</v>
      </c>
      <c r="I688" s="180">
        <f>(I629/I612)*W78</f>
        <v>0</v>
      </c>
      <c r="J688" s="180">
        <f>(J630/J612)*W79</f>
        <v>0</v>
      </c>
      <c r="K688" s="180">
        <f>(K644/K612)*W75</f>
        <v>408928.86536397267</v>
      </c>
      <c r="L688" s="180">
        <f>(L647/L612)*W80</f>
        <v>0</v>
      </c>
      <c r="M688" s="180">
        <f t="shared" si="20"/>
        <v>447444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608156.40999999992</v>
      </c>
      <c r="D689" s="180">
        <f>(D615/D612)*X76</f>
        <v>0</v>
      </c>
      <c r="E689" s="180">
        <f>(E623/E612)*SUM(C689:D689)</f>
        <v>50223.999796684649</v>
      </c>
      <c r="F689" s="180">
        <f>(F624/F612)*X64</f>
        <v>5818.2901182476635</v>
      </c>
      <c r="G689" s="180">
        <f>(G625/G612)*X77</f>
        <v>0</v>
      </c>
      <c r="H689" s="180">
        <f>(H628/H612)*X60</f>
        <v>6067.2139697797238</v>
      </c>
      <c r="I689" s="180">
        <f>(I629/I612)*X78</f>
        <v>0</v>
      </c>
      <c r="J689" s="180">
        <f>(J630/J612)*X79</f>
        <v>0</v>
      </c>
      <c r="K689" s="180">
        <f>(K644/K612)*X75</f>
        <v>704961.20382491639</v>
      </c>
      <c r="L689" s="180">
        <f>(L647/L612)*X80</f>
        <v>0</v>
      </c>
      <c r="M689" s="180">
        <f t="shared" si="20"/>
        <v>767071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3539169.6300000004</v>
      </c>
      <c r="D690" s="180">
        <f>(D615/D612)*Y76</f>
        <v>114372.23852466617</v>
      </c>
      <c r="E690" s="180">
        <f>(E623/E612)*SUM(C690:D690)</f>
        <v>301724.16675171064</v>
      </c>
      <c r="F690" s="180">
        <f>(F624/F612)*Y64</f>
        <v>7339.5079163430437</v>
      </c>
      <c r="G690" s="180">
        <f>(G625/G612)*Y77</f>
        <v>0</v>
      </c>
      <c r="H690" s="180">
        <f>(H628/H612)*Y60</f>
        <v>44158.927364145995</v>
      </c>
      <c r="I690" s="180">
        <f>(I629/I612)*Y78</f>
        <v>191329.52585620742</v>
      </c>
      <c r="J690" s="180">
        <f>(J630/J612)*Y79</f>
        <v>0</v>
      </c>
      <c r="K690" s="180">
        <f>(K644/K612)*Y75</f>
        <v>573286.44339877099</v>
      </c>
      <c r="L690" s="180">
        <f>(L647/L612)*Y80</f>
        <v>3577.8019593459512</v>
      </c>
      <c r="M690" s="180">
        <f t="shared" si="20"/>
        <v>1235789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1937698.79</v>
      </c>
      <c r="D691" s="180">
        <f>(D615/D612)*Z76</f>
        <v>80610.181843471815</v>
      </c>
      <c r="E691" s="180">
        <f>(E623/E612)*SUM(C691:D691)</f>
        <v>166680.06408337181</v>
      </c>
      <c r="F691" s="180">
        <f>(F624/F612)*Z64</f>
        <v>3453.770379508584</v>
      </c>
      <c r="G691" s="180">
        <f>(G625/G612)*Z77</f>
        <v>0</v>
      </c>
      <c r="H691" s="180">
        <f>(H628/H612)*Z60</f>
        <v>23582.351546146878</v>
      </c>
      <c r="I691" s="180">
        <f>(I629/I612)*Z78</f>
        <v>134850.10060345969</v>
      </c>
      <c r="J691" s="180">
        <f>(J630/J612)*Z79</f>
        <v>0</v>
      </c>
      <c r="K691" s="180">
        <f>(K644/K612)*Z75</f>
        <v>182226.14597487834</v>
      </c>
      <c r="L691" s="180">
        <f>(L647/L612)*Z80</f>
        <v>11240.895517661393</v>
      </c>
      <c r="M691" s="180">
        <f t="shared" si="20"/>
        <v>602644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396761.97</v>
      </c>
      <c r="D692" s="180">
        <f>(D615/D612)*AA76</f>
        <v>0</v>
      </c>
      <c r="E692" s="180">
        <f>(E623/E612)*SUM(C692:D692)</f>
        <v>32766.197598101782</v>
      </c>
      <c r="F692" s="180">
        <f>(F624/F612)*AA64</f>
        <v>3878.618069906976</v>
      </c>
      <c r="G692" s="180">
        <f>(G625/G612)*AA77</f>
        <v>0</v>
      </c>
      <c r="H692" s="180">
        <f>(H628/H612)*AA60</f>
        <v>2968.6673858249414</v>
      </c>
      <c r="I692" s="180">
        <f>(I629/I612)*AA78</f>
        <v>0</v>
      </c>
      <c r="J692" s="180">
        <f>(J630/J612)*AA79</f>
        <v>0</v>
      </c>
      <c r="K692" s="180">
        <f>(K644/K612)*AA75</f>
        <v>82085.554047706071</v>
      </c>
      <c r="L692" s="180">
        <f>(L647/L612)*AA80</f>
        <v>0</v>
      </c>
      <c r="M692" s="180">
        <f t="shared" si="20"/>
        <v>121699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8555873.6699999999</v>
      </c>
      <c r="D693" s="180">
        <f>(D615/D612)*AB76</f>
        <v>19848.948672106824</v>
      </c>
      <c r="E693" s="180">
        <f>(E623/E612)*SUM(C693:D693)</f>
        <v>708217.62950194324</v>
      </c>
      <c r="F693" s="180">
        <f>(F624/F612)*AB64</f>
        <v>240794.2223165537</v>
      </c>
      <c r="G693" s="180">
        <f>(G625/G612)*AB77</f>
        <v>0</v>
      </c>
      <c r="H693" s="180">
        <f>(H628/H612)*AB60</f>
        <v>23415.36400569422</v>
      </c>
      <c r="I693" s="180">
        <f>(I629/I612)*AB78</f>
        <v>33204.648148592154</v>
      </c>
      <c r="J693" s="180">
        <f>(J630/J612)*AB79</f>
        <v>0</v>
      </c>
      <c r="K693" s="180">
        <f>(K644/K612)*AB75</f>
        <v>1076790.7394225439</v>
      </c>
      <c r="L693" s="180">
        <f>(L647/L612)*AB80</f>
        <v>0</v>
      </c>
      <c r="M693" s="180">
        <f t="shared" si="20"/>
        <v>2102272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1099820.8</v>
      </c>
      <c r="D694" s="180">
        <f>(D615/D612)*AC76</f>
        <v>43414.340792841249</v>
      </c>
      <c r="E694" s="180">
        <f>(E623/E612)*SUM(C694:D694)</f>
        <v>94412.951231974046</v>
      </c>
      <c r="F694" s="180">
        <f>(F624/F612)*AC64</f>
        <v>4040.3740192269947</v>
      </c>
      <c r="G694" s="180">
        <f>(G625/G612)*AC77</f>
        <v>0</v>
      </c>
      <c r="H694" s="180">
        <f>(H628/H612)*AC60</f>
        <v>18665.496188374316</v>
      </c>
      <c r="I694" s="180">
        <f>(I629/I612)*AC78</f>
        <v>72626.411325006149</v>
      </c>
      <c r="J694" s="180">
        <f>(J630/J612)*AC79</f>
        <v>0</v>
      </c>
      <c r="K694" s="180">
        <f>(K644/K612)*AC75</f>
        <v>121452.8994154028</v>
      </c>
      <c r="L694" s="180">
        <f>(L647/L612)*AC80</f>
        <v>2156.8309684000415</v>
      </c>
      <c r="M694" s="180">
        <f t="shared" si="20"/>
        <v>356769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1973885.96</v>
      </c>
      <c r="D696" s="180">
        <f>(D615/D612)*AE76</f>
        <v>77469.525408011876</v>
      </c>
      <c r="E696" s="180">
        <f>(E623/E612)*SUM(C696:D696)</f>
        <v>169409.17794825172</v>
      </c>
      <c r="F696" s="180">
        <f>(F624/F612)*AE64</f>
        <v>897.80377055109273</v>
      </c>
      <c r="G696" s="180">
        <f>(G625/G612)*AE77</f>
        <v>0</v>
      </c>
      <c r="H696" s="180">
        <f>(H628/H612)*AE60</f>
        <v>36032.200395450229</v>
      </c>
      <c r="I696" s="180">
        <f>(I629/I612)*AE78</f>
        <v>0</v>
      </c>
      <c r="J696" s="180">
        <f>(J630/J612)*AE79</f>
        <v>0</v>
      </c>
      <c r="K696" s="180">
        <f>(K644/K612)*AE75</f>
        <v>234916.85206698073</v>
      </c>
      <c r="L696" s="180">
        <f>(L647/L612)*AE80</f>
        <v>0</v>
      </c>
      <c r="M696" s="180">
        <f t="shared" si="20"/>
        <v>518726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3434075.7500000005</v>
      </c>
      <c r="D698" s="180">
        <f>(D615/D612)*AG76</f>
        <v>74328.868972551936</v>
      </c>
      <c r="E698" s="180">
        <f>(E623/E612)*SUM(C698:D698)</f>
        <v>289738.14954933216</v>
      </c>
      <c r="F698" s="180">
        <f>(F624/F612)*AG64</f>
        <v>11019.683120589378</v>
      </c>
      <c r="G698" s="180">
        <f>(G625/G612)*AG77</f>
        <v>0</v>
      </c>
      <c r="H698" s="180">
        <f>(H628/H612)*AG60</f>
        <v>49075.782721918556</v>
      </c>
      <c r="I698" s="180">
        <f>(I629/I612)*AG78</f>
        <v>124342.30055643685</v>
      </c>
      <c r="J698" s="180">
        <f>(J630/J612)*AG79</f>
        <v>0</v>
      </c>
      <c r="K698" s="180">
        <f>(K644/K612)*AG75</f>
        <v>876720.64987893752</v>
      </c>
      <c r="L698" s="180">
        <f>(L647/L612)*AG80</f>
        <v>42629.129728377295</v>
      </c>
      <c r="M698" s="180">
        <f t="shared" si="20"/>
        <v>1467855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171424.32</v>
      </c>
      <c r="D699" s="180">
        <f>(D615/D612)*AH76</f>
        <v>0</v>
      </c>
      <c r="E699" s="180">
        <f>(E623/E612)*SUM(C699:D699)</f>
        <v>14156.909096504969</v>
      </c>
      <c r="F699" s="180">
        <f>(F624/F612)*AH64</f>
        <v>11.56877272942706</v>
      </c>
      <c r="G699" s="180">
        <f>(G625/G612)*AH77</f>
        <v>0</v>
      </c>
      <c r="H699" s="180">
        <f>(H628/H612)*AH60</f>
        <v>1966.7421431090236</v>
      </c>
      <c r="I699" s="180">
        <f>(I629/I612)*AH78</f>
        <v>0</v>
      </c>
      <c r="J699" s="180">
        <f>(J630/J612)*AH79</f>
        <v>0</v>
      </c>
      <c r="K699" s="180">
        <f>(K644/K612)*AH75</f>
        <v>7784.2396259051611</v>
      </c>
      <c r="L699" s="180">
        <f>(L647/L612)*AH80</f>
        <v>0</v>
      </c>
      <c r="M699" s="180">
        <f t="shared" si="20"/>
        <v>23919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1040031.79</v>
      </c>
      <c r="D700" s="180">
        <f>(D615/D612)*AI76</f>
        <v>0</v>
      </c>
      <c r="E700" s="180">
        <f>(E623/E612)*SUM(C700:D700)</f>
        <v>85890.003871710534</v>
      </c>
      <c r="F700" s="180">
        <f>(F624/F612)*AI64</f>
        <v>818.73183713371714</v>
      </c>
      <c r="G700" s="180">
        <f>(G625/G612)*AI77</f>
        <v>0</v>
      </c>
      <c r="H700" s="180">
        <f>(H628/H612)*AI60</f>
        <v>13340.449065050831</v>
      </c>
      <c r="I700" s="180">
        <f>(I629/I612)*AI78</f>
        <v>0</v>
      </c>
      <c r="J700" s="180">
        <f>(J630/J612)*AI79</f>
        <v>0</v>
      </c>
      <c r="K700" s="180">
        <f>(K644/K612)*AI75</f>
        <v>92572.174488047429</v>
      </c>
      <c r="L700" s="180">
        <f>(L647/L612)*AI80</f>
        <v>0</v>
      </c>
      <c r="M700" s="180">
        <f t="shared" si="20"/>
        <v>192621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13673075.219999997</v>
      </c>
      <c r="D701" s="180">
        <f>(D615/D612)*AJ76</f>
        <v>199044.33602466618</v>
      </c>
      <c r="E701" s="180">
        <f>(E623/E612)*SUM(C701:D701)</f>
        <v>1145615.3685223311</v>
      </c>
      <c r="F701" s="180">
        <f>(F624/F612)*AJ64</f>
        <v>30848.900389008879</v>
      </c>
      <c r="G701" s="180">
        <f>(G625/G612)*AJ77</f>
        <v>0</v>
      </c>
      <c r="H701" s="180">
        <f>(H628/H612)*AJ60</f>
        <v>184502.67802902005</v>
      </c>
      <c r="I701" s="180">
        <f>(I629/I612)*AJ78</f>
        <v>332974.67049007519</v>
      </c>
      <c r="J701" s="180">
        <f>(J630/J612)*AJ79</f>
        <v>0</v>
      </c>
      <c r="K701" s="180">
        <f>(K644/K612)*AJ75</f>
        <v>759673.96520866745</v>
      </c>
      <c r="L701" s="180">
        <f>(L647/L612)*AJ80</f>
        <v>36818.37335468777</v>
      </c>
      <c r="M701" s="180">
        <f t="shared" si="20"/>
        <v>2689478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269294.51999999996</v>
      </c>
      <c r="D703" s="180">
        <f>(D615/D612)*AL76</f>
        <v>0</v>
      </c>
      <c r="E703" s="180">
        <f>(E623/E612)*SUM(C703:D703)</f>
        <v>22239.423436691704</v>
      </c>
      <c r="F703" s="180">
        <f>(F624/F612)*AL64</f>
        <v>33.415283009139024</v>
      </c>
      <c r="G703" s="180">
        <f>(G625/G612)*AL77</f>
        <v>0</v>
      </c>
      <c r="H703" s="180">
        <f>(H628/H612)*AL60</f>
        <v>5733.2388888744172</v>
      </c>
      <c r="I703" s="180">
        <f>(I629/I612)*AL78</f>
        <v>0</v>
      </c>
      <c r="J703" s="180">
        <f>(J630/J612)*AL79</f>
        <v>0</v>
      </c>
      <c r="K703" s="180">
        <f>(K644/K612)*AL75</f>
        <v>32189.895710529723</v>
      </c>
      <c r="L703" s="180">
        <f>(L647/L612)*AL80</f>
        <v>0</v>
      </c>
      <c r="M703" s="180">
        <f t="shared" si="20"/>
        <v>60196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10685.099999999999</v>
      </c>
      <c r="D707" s="180">
        <f>(D615/D612)*AP76</f>
        <v>11819.337052114244</v>
      </c>
      <c r="E707" s="180">
        <f>(E623/E612)*SUM(C707:D707)</f>
        <v>1858.5068303890578</v>
      </c>
      <c r="F707" s="180">
        <f>(F624/F612)*AP64</f>
        <v>461.74039254777068</v>
      </c>
      <c r="G707" s="180">
        <f>(G625/G612)*AP77</f>
        <v>0</v>
      </c>
      <c r="H707" s="180">
        <f>(H628/H612)*AP60</f>
        <v>352.52925206671176</v>
      </c>
      <c r="I707" s="180">
        <f>(I629/I612)*AP78</f>
        <v>19772.177088481298</v>
      </c>
      <c r="J707" s="180">
        <f>(J630/J612)*AP79</f>
        <v>0</v>
      </c>
      <c r="K707" s="180">
        <f>(K644/K612)*AP75</f>
        <v>2728.5354035271166</v>
      </c>
      <c r="L707" s="180">
        <f>(L647/L612)*AP80</f>
        <v>329.86826575530046</v>
      </c>
      <c r="M707" s="180">
        <f t="shared" si="20"/>
        <v>37323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1198294.52</v>
      </c>
      <c r="D709" s="180">
        <f>(D615/D612)*AR76</f>
        <v>13148.881609792285</v>
      </c>
      <c r="E709" s="180">
        <f>(E623/E612)*SUM(C709:D709)</f>
        <v>100045.86345829221</v>
      </c>
      <c r="F709" s="180">
        <f>(F624/F612)*AR64</f>
        <v>759.87420760765804</v>
      </c>
      <c r="G709" s="180">
        <f>(G625/G612)*AR77</f>
        <v>0</v>
      </c>
      <c r="H709" s="180">
        <f>(H628/H612)*AR60</f>
        <v>17125.499981977631</v>
      </c>
      <c r="I709" s="180">
        <f>(I629/I612)*AR78</f>
        <v>21996.328098434464</v>
      </c>
      <c r="J709" s="180">
        <f>(J630/J612)*AR79</f>
        <v>0</v>
      </c>
      <c r="K709" s="180">
        <f>(K644/K612)*AR75</f>
        <v>43287.145101206399</v>
      </c>
      <c r="L709" s="180">
        <f>(L647/L612)*AR80</f>
        <v>15605.30641842383</v>
      </c>
      <c r="M709" s="180">
        <f t="shared" si="20"/>
        <v>211969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-120397.66</v>
      </c>
      <c r="D713" s="180">
        <f>(D615/D612)*AV76</f>
        <v>0</v>
      </c>
      <c r="E713" s="180">
        <f>(E623/E612)*SUM(C713:D713)</f>
        <v>-9942.9224981141087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4255.4549083229404</v>
      </c>
      <c r="L713" s="180">
        <f>(L647/L612)*AV80</f>
        <v>0</v>
      </c>
      <c r="M713" s="180">
        <f t="shared" si="20"/>
        <v>-5687</v>
      </c>
      <c r="N713" s="199" t="s">
        <v>741</v>
      </c>
    </row>
    <row r="715" spans="1:83" ht="12.6" customHeight="1" x14ac:dyDescent="0.25">
      <c r="C715" s="180">
        <f>SUM(C614:C647)+SUM(C668:C713)</f>
        <v>94031329.419999972</v>
      </c>
      <c r="D715" s="180">
        <f>SUM(D616:D647)+SUM(D668:D713)</f>
        <v>2032130.34</v>
      </c>
      <c r="E715" s="180">
        <f>SUM(E624:E647)+SUM(E668:E713)</f>
        <v>7173101.4462147634</v>
      </c>
      <c r="F715" s="180">
        <f>SUM(F625:F648)+SUM(F668:F713)</f>
        <v>828883.71536131157</v>
      </c>
      <c r="G715" s="180">
        <f>SUM(G626:G647)+SUM(G668:G713)</f>
        <v>1505820.4839292727</v>
      </c>
      <c r="H715" s="180">
        <f>SUM(H629:H647)+SUM(H668:H713)</f>
        <v>941420.09055857302</v>
      </c>
      <c r="I715" s="180">
        <f>SUM(I630:I647)+SUM(I668:I713)</f>
        <v>2206620.4968747161</v>
      </c>
      <c r="J715" s="180">
        <f>SUM(J631:J647)+SUM(J668:J713)</f>
        <v>307908.38451012858</v>
      </c>
      <c r="K715" s="180">
        <f>SUM(K668:K713)</f>
        <v>9388480.8046132959</v>
      </c>
      <c r="L715" s="180">
        <f>SUM(L668:L713)</f>
        <v>305331.14167950238</v>
      </c>
      <c r="M715" s="180">
        <f>SUM(M668:M713)</f>
        <v>22070413</v>
      </c>
      <c r="N715" s="198" t="s">
        <v>742</v>
      </c>
    </row>
    <row r="716" spans="1:83" ht="12.6" customHeight="1" x14ac:dyDescent="0.25">
      <c r="C716" s="180">
        <f>CE71</f>
        <v>94031329.420000002</v>
      </c>
      <c r="D716" s="180">
        <f>D615</f>
        <v>2032130.34</v>
      </c>
      <c r="E716" s="180">
        <f>E623</f>
        <v>7173101.4462147625</v>
      </c>
      <c r="F716" s="180">
        <f>F624</f>
        <v>828883.71536131133</v>
      </c>
      <c r="G716" s="180">
        <f>G625</f>
        <v>1505820.4839292727</v>
      </c>
      <c r="H716" s="180">
        <f>H628</f>
        <v>941420.09055857302</v>
      </c>
      <c r="I716" s="180">
        <f>I629</f>
        <v>2206620.4968747166</v>
      </c>
      <c r="J716" s="180">
        <f>J630</f>
        <v>307908.38451012858</v>
      </c>
      <c r="K716" s="180">
        <f>K644</f>
        <v>9388480.8046132959</v>
      </c>
      <c r="L716" s="180">
        <f>L647</f>
        <v>305331.14167950238</v>
      </c>
      <c r="M716" s="180">
        <f>C648</f>
        <v>22070412.390000001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134*2017*A</v>
      </c>
      <c r="B722" s="273">
        <f>ROUND(C165,0)</f>
        <v>2996730</v>
      </c>
      <c r="C722" s="273">
        <f>ROUND(C166,0)</f>
        <v>139515</v>
      </c>
      <c r="D722" s="273">
        <f>ROUND(C167,0)</f>
        <v>545107</v>
      </c>
      <c r="E722" s="273">
        <f>ROUND(C168,0)</f>
        <v>4902671</v>
      </c>
      <c r="F722" s="273">
        <f>ROUND(C169,0)</f>
        <v>21177</v>
      </c>
      <c r="G722" s="273">
        <f>ROUND(C170,0)</f>
        <v>1538041</v>
      </c>
      <c r="H722" s="273">
        <f>ROUND(C171+C172,0)</f>
        <v>183577</v>
      </c>
      <c r="I722" s="273">
        <f>ROUND(C175,0)</f>
        <v>596161</v>
      </c>
      <c r="J722" s="273">
        <f>ROUND(C176,0)</f>
        <v>160588</v>
      </c>
      <c r="K722" s="273">
        <f>ROUND(C179,0)</f>
        <v>556546</v>
      </c>
      <c r="L722" s="273">
        <f>ROUND(C180,0)</f>
        <v>207267</v>
      </c>
      <c r="M722" s="273">
        <f>ROUND(C183,0)</f>
        <v>74823</v>
      </c>
      <c r="N722" s="273">
        <f>ROUND(C184,0)</f>
        <v>577752</v>
      </c>
      <c r="O722" s="273">
        <f>ROUND(C185,0)</f>
        <v>0</v>
      </c>
      <c r="P722" s="273">
        <f>ROUND(C188,0)</f>
        <v>1823911</v>
      </c>
      <c r="Q722" s="273">
        <f>ROUND(C189,0)</f>
        <v>0</v>
      </c>
      <c r="R722" s="273">
        <f>ROUND(B195,0)</f>
        <v>4708577</v>
      </c>
      <c r="S722" s="273">
        <f>ROUND(C195,0)</f>
        <v>0</v>
      </c>
      <c r="T722" s="273">
        <f>ROUND(D195,0)</f>
        <v>0</v>
      </c>
      <c r="U722" s="273">
        <f>ROUND(B196,0)</f>
        <v>2130330</v>
      </c>
      <c r="V722" s="273">
        <f>ROUND(C196,0)</f>
        <v>0</v>
      </c>
      <c r="W722" s="273">
        <f>ROUND(D196,0)</f>
        <v>0</v>
      </c>
      <c r="X722" s="273">
        <f>ROUND(B197,0)</f>
        <v>69959097</v>
      </c>
      <c r="Y722" s="273">
        <f>ROUND(C197,0)</f>
        <v>393214</v>
      </c>
      <c r="Z722" s="273">
        <f>ROUND(D197,0)</f>
        <v>0</v>
      </c>
      <c r="AA722" s="273">
        <f>ROUND(B198,0)</f>
        <v>8707358</v>
      </c>
      <c r="AB722" s="273">
        <f>ROUND(C198,0)</f>
        <v>146381</v>
      </c>
      <c r="AC722" s="273">
        <f>ROUND(D198,0)</f>
        <v>0</v>
      </c>
      <c r="AD722" s="273">
        <f>ROUND(B199,0)</f>
        <v>0</v>
      </c>
      <c r="AE722" s="273">
        <f>ROUND(C199,0)</f>
        <v>0</v>
      </c>
      <c r="AF722" s="273">
        <f>ROUND(D199,0)</f>
        <v>0</v>
      </c>
      <c r="AG722" s="273">
        <f>ROUND(B200,0)</f>
        <v>28658116</v>
      </c>
      <c r="AH722" s="273">
        <f>ROUND(C200,0)</f>
        <v>999295</v>
      </c>
      <c r="AI722" s="273">
        <f>ROUND(D200,0)</f>
        <v>661818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0</v>
      </c>
      <c r="AN722" s="273">
        <f>ROUND(C202,0)</f>
        <v>0</v>
      </c>
      <c r="AO722" s="273">
        <f>ROUND(D202,0)</f>
        <v>0</v>
      </c>
      <c r="AP722" s="273">
        <f>ROUND(B203,0)</f>
        <v>1156418</v>
      </c>
      <c r="AQ722" s="273">
        <f>ROUND(C203,0)</f>
        <v>5444432</v>
      </c>
      <c r="AR722" s="273">
        <f>ROUND(D203,0)</f>
        <v>732186</v>
      </c>
      <c r="AS722" s="273"/>
      <c r="AT722" s="273"/>
      <c r="AU722" s="273"/>
      <c r="AV722" s="273">
        <f>ROUND(B209,0)</f>
        <v>1501355</v>
      </c>
      <c r="AW722" s="273">
        <f>ROUND(C209,0)</f>
        <v>82177</v>
      </c>
      <c r="AX722" s="273">
        <f>ROUND(D209,0)</f>
        <v>0</v>
      </c>
      <c r="AY722" s="273">
        <f>ROUND(B210,0)</f>
        <v>21985527</v>
      </c>
      <c r="AZ722" s="273">
        <f>ROUND(C210,0)</f>
        <v>1555527</v>
      </c>
      <c r="BA722" s="273">
        <f>ROUND(D210,0)</f>
        <v>0</v>
      </c>
      <c r="BB722" s="273">
        <f>ROUND(B211,0)</f>
        <v>6356192</v>
      </c>
      <c r="BC722" s="273">
        <f>ROUND(C211,0)</f>
        <v>412895</v>
      </c>
      <c r="BD722" s="273">
        <f>ROUND(D211,0)</f>
        <v>0</v>
      </c>
      <c r="BE722" s="273">
        <f>ROUND(B212,0)</f>
        <v>0</v>
      </c>
      <c r="BF722" s="273">
        <f>ROUND(C212,0)</f>
        <v>0</v>
      </c>
      <c r="BG722" s="273">
        <f>ROUND(D212,0)</f>
        <v>0</v>
      </c>
      <c r="BH722" s="273">
        <f>ROUND(B213,0)</f>
        <v>21864141</v>
      </c>
      <c r="BI722" s="273">
        <f>ROUND(C213,0)</f>
        <v>2050625</v>
      </c>
      <c r="BJ722" s="273">
        <f>ROUND(D213,0)</f>
        <v>641056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0</v>
      </c>
      <c r="BO722" s="273">
        <f>ROUND(C215,0)</f>
        <v>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77580400</v>
      </c>
      <c r="BU722" s="273">
        <f>ROUND(C224,0)</f>
        <v>17405942</v>
      </c>
      <c r="BV722" s="273">
        <f>ROUND(C225,0)</f>
        <v>2601164</v>
      </c>
      <c r="BW722" s="273">
        <f>ROUND(C226,0)</f>
        <v>12115483</v>
      </c>
      <c r="BX722" s="273">
        <f>ROUND(C227,0)</f>
        <v>1598033</v>
      </c>
      <c r="BY722" s="273">
        <f>ROUND(C228,0)</f>
        <v>23230787</v>
      </c>
      <c r="BZ722" s="273">
        <f>ROUND(C231,0)</f>
        <v>711</v>
      </c>
      <c r="CA722" s="273">
        <f>ROUND(C233,0)</f>
        <v>197279</v>
      </c>
      <c r="CB722" s="273">
        <f>ROUND(C234,0)</f>
        <v>430998</v>
      </c>
      <c r="CC722" s="273">
        <f>ROUND(C238+C239,0)</f>
        <v>0</v>
      </c>
      <c r="CD722" s="273">
        <f>D221</f>
        <v>1621023</v>
      </c>
      <c r="CE722" s="273"/>
    </row>
    <row r="723" spans="1:84" ht="12.6" customHeight="1" x14ac:dyDescent="0.2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134*2017*A</v>
      </c>
      <c r="B726" s="273">
        <f>ROUND(C111,0)</f>
        <v>3011</v>
      </c>
      <c r="C726" s="273">
        <f>ROUND(C112,0)</f>
        <v>0</v>
      </c>
      <c r="D726" s="273">
        <f>ROUND(C113,0)</f>
        <v>0</v>
      </c>
      <c r="E726" s="273">
        <f>ROUND(C114,0)</f>
        <v>479</v>
      </c>
      <c r="F726" s="273">
        <f>ROUND(D111,0)</f>
        <v>9214</v>
      </c>
      <c r="G726" s="273">
        <f>ROUND(D112,0)</f>
        <v>0</v>
      </c>
      <c r="H726" s="273">
        <f>ROUND(D113,0)</f>
        <v>0</v>
      </c>
      <c r="I726" s="273">
        <f>ROUND(D114,0)</f>
        <v>839</v>
      </c>
      <c r="J726" s="273">
        <f>ROUND(C116,0)</f>
        <v>6</v>
      </c>
      <c r="K726" s="273">
        <f>ROUND(C117,0)</f>
        <v>0</v>
      </c>
      <c r="L726" s="273">
        <f>ROUND(C118,0)</f>
        <v>32</v>
      </c>
      <c r="M726" s="273">
        <f>ROUND(C119,0)</f>
        <v>1</v>
      </c>
      <c r="N726" s="273">
        <f>ROUND(C120,0)</f>
        <v>4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43</v>
      </c>
      <c r="W726" s="273">
        <f>ROUND(C129,0)</f>
        <v>6</v>
      </c>
      <c r="X726" s="273">
        <f>ROUND(B138,0)</f>
        <v>1722</v>
      </c>
      <c r="Y726" s="273">
        <f>ROUND(B139,0)</f>
        <v>5702</v>
      </c>
      <c r="Z726" s="273">
        <f>ROUND(B140,0)</f>
        <v>0</v>
      </c>
      <c r="AA726" s="273">
        <f>ROUND(B141,0)</f>
        <v>45473259</v>
      </c>
      <c r="AB726" s="273">
        <f>ROUND(B142,0)</f>
        <v>46024737</v>
      </c>
      <c r="AC726" s="273">
        <f>ROUND(C138,0)</f>
        <v>594</v>
      </c>
      <c r="AD726" s="273">
        <f>ROUND(C139,0)</f>
        <v>1388</v>
      </c>
      <c r="AE726" s="273">
        <f>ROUND(C140,0)</f>
        <v>0</v>
      </c>
      <c r="AF726" s="273">
        <f>ROUND(C141,0)</f>
        <v>6122892</v>
      </c>
      <c r="AG726" s="273">
        <f>ROUND(C142,0)</f>
        <v>7222543</v>
      </c>
      <c r="AH726" s="273">
        <f>ROUND(D138,0)</f>
        <v>695</v>
      </c>
      <c r="AI726" s="273">
        <f>ROUND(D139,0)</f>
        <v>2124</v>
      </c>
      <c r="AJ726" s="273">
        <f>ROUND(D140,0)</f>
        <v>0</v>
      </c>
      <c r="AK726" s="273">
        <f>ROUND(D141,0)</f>
        <v>20723142</v>
      </c>
      <c r="AL726" s="273">
        <f>ROUND(D142,0)</f>
        <v>105001339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134*2017*A</v>
      </c>
      <c r="B730" s="273">
        <f>ROUND(C250,0)</f>
        <v>28119486</v>
      </c>
      <c r="C730" s="273">
        <f>ROUND(C251,0)</f>
        <v>0</v>
      </c>
      <c r="D730" s="273">
        <f>ROUND(C252,0)</f>
        <v>13306467</v>
      </c>
      <c r="E730" s="273">
        <f>ROUND(C253,0)</f>
        <v>4573103</v>
      </c>
      <c r="F730" s="273">
        <f>ROUND(C254,0)</f>
        <v>0</v>
      </c>
      <c r="G730" s="273">
        <f>ROUND(C255,0)</f>
        <v>241840</v>
      </c>
      <c r="H730" s="273">
        <f>ROUND(C256,0)</f>
        <v>0</v>
      </c>
      <c r="I730" s="273">
        <f>ROUND(C257,0)</f>
        <v>1649419</v>
      </c>
      <c r="J730" s="273">
        <f>ROUND(C258,0)</f>
        <v>826373</v>
      </c>
      <c r="K730" s="273">
        <f>ROUND(C259,0)</f>
        <v>289805</v>
      </c>
      <c r="L730" s="273">
        <f>ROUND(C262,0)</f>
        <v>5379456</v>
      </c>
      <c r="M730" s="273">
        <f>ROUND(C263,0)</f>
        <v>0</v>
      </c>
      <c r="N730" s="273">
        <f>ROUND(C264,0)</f>
        <v>451556</v>
      </c>
      <c r="O730" s="273">
        <f>ROUND(C267,0)</f>
        <v>4708577</v>
      </c>
      <c r="P730" s="273">
        <f>ROUND(C268,0)</f>
        <v>2130330</v>
      </c>
      <c r="Q730" s="273">
        <f>ROUND(C269,0)</f>
        <v>70352371</v>
      </c>
      <c r="R730" s="273">
        <f>ROUND(C270,0)</f>
        <v>8853738</v>
      </c>
      <c r="S730" s="273">
        <f>ROUND(C271,0)</f>
        <v>0</v>
      </c>
      <c r="T730" s="273">
        <f>ROUND(C272,0)</f>
        <v>28995534</v>
      </c>
      <c r="U730" s="273">
        <f>ROUND(C273,0)</f>
        <v>0</v>
      </c>
      <c r="V730" s="273">
        <f>ROUND(C274,0)</f>
        <v>5868664</v>
      </c>
      <c r="W730" s="273">
        <f>ROUND(C275,0)</f>
        <v>0</v>
      </c>
      <c r="X730" s="273">
        <f>ROUND(C276,0)</f>
        <v>55167383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512499</v>
      </c>
      <c r="AC730" s="273">
        <f>ROUND(C286,0)</f>
        <v>598703</v>
      </c>
      <c r="AD730" s="273">
        <f>ROUND(C287,0)</f>
        <v>0</v>
      </c>
      <c r="AE730" s="273">
        <f>ROUND(C288,0)</f>
        <v>1518647</v>
      </c>
      <c r="AF730" s="273">
        <f>ROUND(C289,0)</f>
        <v>0</v>
      </c>
      <c r="AG730" s="273">
        <f>ROUND(C304,0)</f>
        <v>0</v>
      </c>
      <c r="AH730" s="273">
        <f>ROUND(C305,0)</f>
        <v>5254923</v>
      </c>
      <c r="AI730" s="273">
        <f>ROUND(C306,0)</f>
        <v>4117727</v>
      </c>
      <c r="AJ730" s="273">
        <f>ROUND(C307,0)</f>
        <v>125660</v>
      </c>
      <c r="AK730" s="273">
        <f>ROUND(C308,0)</f>
        <v>0</v>
      </c>
      <c r="AL730" s="273">
        <f>ROUND(C309,0)</f>
        <v>1209540</v>
      </c>
      <c r="AM730" s="273">
        <f>ROUND(C310,0)</f>
        <v>0</v>
      </c>
      <c r="AN730" s="273">
        <f>ROUND(C311,0)</f>
        <v>0</v>
      </c>
      <c r="AO730" s="273">
        <f>ROUND(C312,0)</f>
        <v>174959</v>
      </c>
      <c r="AP730" s="273">
        <f>ROUND(C313,0)</f>
        <v>11857824</v>
      </c>
      <c r="AQ730" s="273">
        <f>ROUND(C316,0)</f>
        <v>0</v>
      </c>
      <c r="AR730" s="273">
        <f>ROUND(C317,0)</f>
        <v>0</v>
      </c>
      <c r="AS730" s="273">
        <f>ROUND(C318,0)</f>
        <v>0</v>
      </c>
      <c r="AT730" s="273">
        <f>ROUND(C321,0)</f>
        <v>0</v>
      </c>
      <c r="AU730" s="273">
        <f>ROUND(C322,0)</f>
        <v>9994000</v>
      </c>
      <c r="AV730" s="273">
        <f>ROUND(C323,0)</f>
        <v>0</v>
      </c>
      <c r="AW730" s="273">
        <f>ROUND(C324,0)</f>
        <v>165903</v>
      </c>
      <c r="AX730" s="273">
        <f>ROUND(C325,0)</f>
        <v>35589297</v>
      </c>
      <c r="AY730" s="273">
        <f>ROUND(C326,0)</f>
        <v>0</v>
      </c>
      <c r="AZ730" s="273">
        <f>ROUND(C327,0)</f>
        <v>904032</v>
      </c>
      <c r="BA730" s="273">
        <f>ROUND(C328,0)</f>
        <v>0</v>
      </c>
      <c r="BB730" s="273">
        <f>ROUND(C332,0)</f>
        <v>56526938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568.4</v>
      </c>
      <c r="BJ730" s="273">
        <f>ROUND(C359,0)</f>
        <v>72319293</v>
      </c>
      <c r="BK730" s="273">
        <f>ROUND(C360,0)</f>
        <v>158248619</v>
      </c>
      <c r="BL730" s="273">
        <f>ROUND(C364,0)</f>
        <v>134531809</v>
      </c>
      <c r="BM730" s="273">
        <f>ROUND(C365,0)</f>
        <v>628278</v>
      </c>
      <c r="BN730" s="273">
        <f>ROUND(C366,0)</f>
        <v>0</v>
      </c>
      <c r="BO730" s="273">
        <f>ROUND(C370,0)</f>
        <v>926274</v>
      </c>
      <c r="BP730" s="273">
        <f>ROUND(C371,0)</f>
        <v>3450270</v>
      </c>
      <c r="BQ730" s="273">
        <f>ROUND(C378,0)</f>
        <v>42566968</v>
      </c>
      <c r="BR730" s="273">
        <f>ROUND(C379,0)</f>
        <v>10326817</v>
      </c>
      <c r="BS730" s="273">
        <f>ROUND(C380,0)</f>
        <v>3832988</v>
      </c>
      <c r="BT730" s="273">
        <f>ROUND(C381,0)</f>
        <v>23206226</v>
      </c>
      <c r="BU730" s="273">
        <f>ROUND(C382,0)</f>
        <v>1021482</v>
      </c>
      <c r="BV730" s="273">
        <f>ROUND(C383,0)</f>
        <v>7414433</v>
      </c>
      <c r="BW730" s="273">
        <f>ROUND(C384,0)</f>
        <v>4101224</v>
      </c>
      <c r="BX730" s="273">
        <f>ROUND(C385,0)</f>
        <v>756749</v>
      </c>
      <c r="BY730" s="273">
        <f>ROUND(C386,0)</f>
        <v>763813</v>
      </c>
      <c r="BZ730" s="273">
        <f>ROUND(C387,0)</f>
        <v>652574</v>
      </c>
      <c r="CA730" s="273">
        <f>ROUND(C388,0)</f>
        <v>0</v>
      </c>
      <c r="CB730" s="273">
        <f>C363</f>
        <v>1621023</v>
      </c>
      <c r="CC730" s="273">
        <f>ROUND(C389,0)</f>
        <v>730961</v>
      </c>
      <c r="CD730" s="273">
        <f>ROUND(C392,0)</f>
        <v>-300229</v>
      </c>
      <c r="CE730" s="273">
        <f>ROUND(C394,0)</f>
        <v>0</v>
      </c>
      <c r="CF730" s="201">
        <f>ROUND(C395,0)</f>
        <v>0</v>
      </c>
    </row>
    <row r="731" spans="1:84" ht="12.6" customHeight="1" x14ac:dyDescent="0.2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134*2017*6010*A</v>
      </c>
      <c r="B734" s="273">
        <f>ROUND(C59,0)</f>
        <v>902</v>
      </c>
      <c r="C734" s="273">
        <f>ROUND(C60,2)</f>
        <v>14.81</v>
      </c>
      <c r="D734" s="273">
        <f>ROUND(C61,0)</f>
        <v>1253601</v>
      </c>
      <c r="E734" s="273">
        <f>ROUND(C62,0)</f>
        <v>322715</v>
      </c>
      <c r="F734" s="273">
        <f>ROUND(C63,0)</f>
        <v>231</v>
      </c>
      <c r="G734" s="273">
        <f>ROUND(C64,0)</f>
        <v>52748</v>
      </c>
      <c r="H734" s="273">
        <f>ROUND(C65,0)</f>
        <v>0</v>
      </c>
      <c r="I734" s="273">
        <f>ROUND(C66,0)</f>
        <v>2141</v>
      </c>
      <c r="J734" s="273">
        <f>ROUND(C67,0)</f>
        <v>103541</v>
      </c>
      <c r="K734" s="273">
        <f>ROUND(C68,0)</f>
        <v>184</v>
      </c>
      <c r="L734" s="273">
        <f>ROUND(C69,0)</f>
        <v>994</v>
      </c>
      <c r="M734" s="273">
        <f>ROUND(C70,0)</f>
        <v>0</v>
      </c>
      <c r="N734" s="273">
        <f>ROUND(C75,0)</f>
        <v>1769638</v>
      </c>
      <c r="O734" s="273">
        <f>ROUND(C73,0)</f>
        <v>1811884</v>
      </c>
      <c r="P734" s="273">
        <f>IF(C76&gt;0,ROUND(C76,0),0)</f>
        <v>3692</v>
      </c>
      <c r="Q734" s="273">
        <f>IF(C77&gt;0,ROUND(C77,0),0)</f>
        <v>3282</v>
      </c>
      <c r="R734" s="273">
        <f>IF(C78&gt;0,ROUND(C78,0),0)</f>
        <v>3692</v>
      </c>
      <c r="S734" s="273">
        <f>IF(C79&gt;0,ROUND(C79,0),0)</f>
        <v>48698</v>
      </c>
      <c r="T734" s="273">
        <f>IF(C80&gt;0,ROUND(C80,2),0)</f>
        <v>10.44</v>
      </c>
      <c r="U734" s="273"/>
      <c r="V734" s="273"/>
      <c r="W734" s="273"/>
      <c r="X734" s="273"/>
      <c r="Y734" s="273">
        <f>IF(M668&lt;&gt;0,ROUND(M668,0),0)</f>
        <v>580263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5">
      <c r="A735" s="209" t="str">
        <f>RIGHT($C$83,3)&amp;"*"&amp;RIGHT($C$82,4)&amp;"*"&amp;D$55&amp;"*"&amp;"A"</f>
        <v>134*2017*6030*A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5">
      <c r="A736" s="209" t="str">
        <f>RIGHT($C$83,3)&amp;"*"&amp;RIGHT($C$82,4)&amp;"*"&amp;E$55&amp;"*"&amp;"A"</f>
        <v>134*2017*6070*A</v>
      </c>
      <c r="B736" s="273">
        <f>ROUND(E59,0)</f>
        <v>7480</v>
      </c>
      <c r="C736" s="275">
        <f>ROUND(E60,2)</f>
        <v>60.52</v>
      </c>
      <c r="D736" s="273">
        <f>ROUND(E61,0)</f>
        <v>4564974</v>
      </c>
      <c r="E736" s="273">
        <f>ROUND(E62,0)</f>
        <v>1219814</v>
      </c>
      <c r="F736" s="273">
        <f>ROUND(E63,0)</f>
        <v>549246</v>
      </c>
      <c r="G736" s="273">
        <f>ROUND(E64,0)</f>
        <v>225703</v>
      </c>
      <c r="H736" s="273">
        <f>ROUND(E65,0)</f>
        <v>1063</v>
      </c>
      <c r="I736" s="273">
        <f>ROUND(E66,0)</f>
        <v>42165</v>
      </c>
      <c r="J736" s="273">
        <f>ROUND(E67,0)</f>
        <v>249793</v>
      </c>
      <c r="K736" s="273">
        <f>ROUND(E68,0)</f>
        <v>1754</v>
      </c>
      <c r="L736" s="273">
        <f>ROUND(E69,0)</f>
        <v>4628</v>
      </c>
      <c r="M736" s="273">
        <f>ROUND(E70,0)</f>
        <v>600</v>
      </c>
      <c r="N736" s="273">
        <f>ROUND(E75,0)</f>
        <v>11652910</v>
      </c>
      <c r="O736" s="273">
        <f>ROUND(E73,0)</f>
        <v>9940144</v>
      </c>
      <c r="P736" s="273">
        <f>IF(E76&gt;0,ROUND(E76,0),0)</f>
        <v>23161</v>
      </c>
      <c r="Q736" s="273">
        <f>IF(E77&gt;0,ROUND(E77,0),0)</f>
        <v>22605</v>
      </c>
      <c r="R736" s="273">
        <f>IF(E78&gt;0,ROUND(E78,0),0)</f>
        <v>23161</v>
      </c>
      <c r="S736" s="273">
        <f>IF(E79&gt;0,ROUND(E79,0),0)</f>
        <v>394015</v>
      </c>
      <c r="T736" s="275">
        <f>IF(E80&gt;0,ROUND(E80,2),0)</f>
        <v>30.76</v>
      </c>
      <c r="U736" s="273"/>
      <c r="V736" s="274"/>
      <c r="W736" s="273"/>
      <c r="X736" s="273"/>
      <c r="Y736" s="273">
        <f t="shared" si="21"/>
        <v>3340218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5">
      <c r="A737" s="209" t="str">
        <f>RIGHT($C$83,3)&amp;"*"&amp;RIGHT($C$82,4)&amp;"*"&amp;F$55&amp;"*"&amp;"A"</f>
        <v>134*2017*6100*A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5">
      <c r="A738" s="209" t="str">
        <f>RIGHT($C$83,3)&amp;"*"&amp;RIGHT($C$82,4)&amp;"*"&amp;G$55&amp;"*"&amp;"A"</f>
        <v>134*2017*6120*A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5">
      <c r="A739" s="209" t="str">
        <f>RIGHT($C$83,3)&amp;"*"&amp;RIGHT($C$82,4)&amp;"*"&amp;H$55&amp;"*"&amp;"A"</f>
        <v>134*2017*6140*A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5">
      <c r="A740" s="209" t="str">
        <f>RIGHT($C$83,3)&amp;"*"&amp;RIGHT($C$82,4)&amp;"*"&amp;I$55&amp;"*"&amp;"A"</f>
        <v>134*2017*6150*A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5">
      <c r="A741" s="209" t="str">
        <f>RIGHT($C$83,3)&amp;"*"&amp;RIGHT($C$82,4)&amp;"*"&amp;J$55&amp;"*"&amp;"A"</f>
        <v>134*2017*6170*A</v>
      </c>
      <c r="B741" s="273">
        <f>ROUND(J59,0)</f>
        <v>839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14533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828949</v>
      </c>
      <c r="O741" s="273">
        <f>ROUND(J73,0)</f>
        <v>829939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35479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5">
      <c r="A742" s="209" t="str">
        <f>RIGHT($C$83,3)&amp;"*"&amp;RIGHT($C$82,4)&amp;"*"&amp;K$55&amp;"*"&amp;"A"</f>
        <v>134*2017*6200*A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5">
      <c r="A743" s="209" t="str">
        <f>RIGHT($C$83,3)&amp;"*"&amp;RIGHT($C$82,4)&amp;"*"&amp;L$55&amp;"*"&amp;"A"</f>
        <v>134*2017*6210*A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5">
      <c r="A744" s="209" t="str">
        <f>RIGHT($C$83,3)&amp;"*"&amp;RIGHT($C$82,4)&amp;"*"&amp;M$55&amp;"*"&amp;"A"</f>
        <v>134*2017*6330*A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5">
      <c r="A745" s="209" t="str">
        <f>RIGHT($C$83,3)&amp;"*"&amp;RIGHT($C$82,4)&amp;"*"&amp;N$55&amp;"*"&amp;"A"</f>
        <v>134*2017*6400*A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5">
      <c r="A746" s="209" t="str">
        <f>RIGHT($C$83,3)&amp;"*"&amp;RIGHT($C$82,4)&amp;"*"&amp;O$55&amp;"*"&amp;"A"</f>
        <v>134*2017*7010*A</v>
      </c>
      <c r="B746" s="273">
        <f>ROUND(O59,0)</f>
        <v>2263</v>
      </c>
      <c r="C746" s="275">
        <f>ROUND(O60,2)</f>
        <v>13.65</v>
      </c>
      <c r="D746" s="273">
        <f>ROUND(O61,0)</f>
        <v>1389208</v>
      </c>
      <c r="E746" s="273">
        <f>ROUND(O62,0)</f>
        <v>306406</v>
      </c>
      <c r="F746" s="273">
        <f>ROUND(O63,0)</f>
        <v>398250</v>
      </c>
      <c r="G746" s="273">
        <f>ROUND(O64,0)</f>
        <v>118325</v>
      </c>
      <c r="H746" s="273">
        <f>ROUND(O65,0)</f>
        <v>856</v>
      </c>
      <c r="I746" s="273">
        <f>ROUND(O66,0)</f>
        <v>66657</v>
      </c>
      <c r="J746" s="273">
        <f>ROUND(O67,0)</f>
        <v>72517</v>
      </c>
      <c r="K746" s="273">
        <f>ROUND(O68,0)</f>
        <v>0</v>
      </c>
      <c r="L746" s="273">
        <f>ROUND(O69,0)</f>
        <v>5906</v>
      </c>
      <c r="M746" s="273">
        <f>ROUND(O70,0)</f>
        <v>7010</v>
      </c>
      <c r="N746" s="273">
        <f>ROUND(O75,0)</f>
        <v>3382245</v>
      </c>
      <c r="O746" s="273">
        <f>ROUND(O73,0)</f>
        <v>2865388</v>
      </c>
      <c r="P746" s="273">
        <f>IF(O76&gt;0,ROUND(O76,0),0)</f>
        <v>5313</v>
      </c>
      <c r="Q746" s="273">
        <f>IF(O77&gt;0,ROUND(O77,0),0)</f>
        <v>3080</v>
      </c>
      <c r="R746" s="273">
        <f>IF(O78&gt;0,ROUND(O78,0),0)</f>
        <v>5313</v>
      </c>
      <c r="S746" s="273">
        <f>IF(O79&gt;0,ROUND(O79,0),0)</f>
        <v>2356</v>
      </c>
      <c r="T746" s="275">
        <f>IF(O80&gt;0,ROUND(O80,2),0)</f>
        <v>12.23</v>
      </c>
      <c r="U746" s="273"/>
      <c r="V746" s="274"/>
      <c r="W746" s="273"/>
      <c r="X746" s="273"/>
      <c r="Y746" s="273">
        <f t="shared" si="21"/>
        <v>707429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5">
      <c r="A747" s="209" t="str">
        <f>RIGHT($C$83,3)&amp;"*"&amp;RIGHT($C$82,4)&amp;"*"&amp;P$55&amp;"*"&amp;"A"</f>
        <v>134*2017*7020*A</v>
      </c>
      <c r="B747" s="273">
        <f>ROUND(P59,0)</f>
        <v>350652</v>
      </c>
      <c r="C747" s="275">
        <f>ROUND(P60,2)</f>
        <v>29.28</v>
      </c>
      <c r="D747" s="273">
        <f>ROUND(P61,0)</f>
        <v>3000820</v>
      </c>
      <c r="E747" s="273">
        <f>ROUND(P62,0)</f>
        <v>612065</v>
      </c>
      <c r="F747" s="273">
        <f>ROUND(P63,0)</f>
        <v>301263</v>
      </c>
      <c r="G747" s="273">
        <f>ROUND(P64,0)</f>
        <v>10737044</v>
      </c>
      <c r="H747" s="273">
        <f>ROUND(P65,0)</f>
        <v>5105</v>
      </c>
      <c r="I747" s="273">
        <f>ROUND(P66,0)</f>
        <v>307681</v>
      </c>
      <c r="J747" s="273">
        <f>ROUND(P67,0)</f>
        <v>434379</v>
      </c>
      <c r="K747" s="273">
        <f>ROUND(P68,0)</f>
        <v>90445</v>
      </c>
      <c r="L747" s="273">
        <f>ROUND(P69,0)</f>
        <v>32939</v>
      </c>
      <c r="M747" s="273">
        <f>ROUND(P70,0)</f>
        <v>3077</v>
      </c>
      <c r="N747" s="273">
        <f>ROUND(P75,0)</f>
        <v>47991270</v>
      </c>
      <c r="O747" s="273">
        <f>ROUND(P73,0)</f>
        <v>26987702</v>
      </c>
      <c r="P747" s="273">
        <f>IF(P76&gt;0,ROUND(P76,0),0)</f>
        <v>11604</v>
      </c>
      <c r="Q747" s="273">
        <f>IF(P77&gt;0,ROUND(P77,0),0)</f>
        <v>0</v>
      </c>
      <c r="R747" s="273">
        <f>IF(P78&gt;0,ROUND(P78,0),0)</f>
        <v>11604</v>
      </c>
      <c r="S747" s="273">
        <f>IF(P79&gt;0,ROUND(P79,0),0)</f>
        <v>25863</v>
      </c>
      <c r="T747" s="275">
        <f>IF(P80&gt;0,ROUND(P80,2),0)</f>
        <v>11.17</v>
      </c>
      <c r="U747" s="273"/>
      <c r="V747" s="274"/>
      <c r="W747" s="273"/>
      <c r="X747" s="273"/>
      <c r="Y747" s="273">
        <f t="shared" si="21"/>
        <v>4057698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5">
      <c r="A748" s="209" t="str">
        <f>RIGHT($C$83,3)&amp;"*"&amp;RIGHT($C$82,4)&amp;"*"&amp;Q$55&amp;"*"&amp;"A"</f>
        <v>134*2017*7030*A</v>
      </c>
      <c r="B748" s="273">
        <f>ROUND(Q59,0)</f>
        <v>238166</v>
      </c>
      <c r="C748" s="275">
        <f>ROUND(Q60,2)</f>
        <v>10.39</v>
      </c>
      <c r="D748" s="273">
        <f>ROUND(Q61,0)</f>
        <v>1091864</v>
      </c>
      <c r="E748" s="273">
        <f>ROUND(Q62,0)</f>
        <v>212512</v>
      </c>
      <c r="F748" s="273">
        <f>ROUND(Q63,0)</f>
        <v>0</v>
      </c>
      <c r="G748" s="273">
        <f>ROUND(Q64,0)</f>
        <v>25437</v>
      </c>
      <c r="H748" s="273">
        <f>ROUND(Q65,0)</f>
        <v>0</v>
      </c>
      <c r="I748" s="273">
        <f>ROUND(Q66,0)</f>
        <v>48711</v>
      </c>
      <c r="J748" s="273">
        <f>ROUND(Q67,0)</f>
        <v>7160</v>
      </c>
      <c r="K748" s="273">
        <f>ROUND(Q68,0)</f>
        <v>0</v>
      </c>
      <c r="L748" s="273">
        <f>ROUND(Q69,0)</f>
        <v>34</v>
      </c>
      <c r="M748" s="273">
        <f>ROUND(Q70,0)</f>
        <v>0</v>
      </c>
      <c r="N748" s="273">
        <f>ROUND(Q75,0)</f>
        <v>5210003</v>
      </c>
      <c r="O748" s="273">
        <f>ROUND(Q73,0)</f>
        <v>1994570</v>
      </c>
      <c r="P748" s="273">
        <f>IF(Q76&gt;0,ROUND(Q76,0),0)</f>
        <v>0</v>
      </c>
      <c r="Q748" s="273">
        <f>IF(Q77&gt;0,ROUND(Q77,0),0)</f>
        <v>0</v>
      </c>
      <c r="R748" s="273">
        <f>IF(Q78&gt;0,ROUND(Q78,0),0)</f>
        <v>0</v>
      </c>
      <c r="S748" s="273">
        <f>IF(Q79&gt;0,ROUND(Q79,0),0)</f>
        <v>0</v>
      </c>
      <c r="T748" s="275">
        <f>IF(Q80&gt;0,ROUND(Q80,2),0)</f>
        <v>10.07</v>
      </c>
      <c r="U748" s="273"/>
      <c r="V748" s="274"/>
      <c r="W748" s="273"/>
      <c r="X748" s="273"/>
      <c r="Y748" s="273">
        <f t="shared" si="21"/>
        <v>372332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5">
      <c r="A749" s="209" t="str">
        <f>RIGHT($C$83,3)&amp;"*"&amp;RIGHT($C$82,4)&amp;"*"&amp;R$55&amp;"*"&amp;"A"</f>
        <v>134*2017*7040*A</v>
      </c>
      <c r="B749" s="273">
        <f>ROUND(R59,0)</f>
        <v>350652</v>
      </c>
      <c r="C749" s="275">
        <f>ROUND(R60,2)</f>
        <v>1.48</v>
      </c>
      <c r="D749" s="273">
        <f>ROUND(R61,0)</f>
        <v>134165</v>
      </c>
      <c r="E749" s="273">
        <f>ROUND(R62,0)</f>
        <v>34974</v>
      </c>
      <c r="F749" s="273">
        <f>ROUND(R63,0)</f>
        <v>0</v>
      </c>
      <c r="G749" s="273">
        <f>ROUND(R64,0)</f>
        <v>216256</v>
      </c>
      <c r="H749" s="273">
        <f>ROUND(R65,0)</f>
        <v>0</v>
      </c>
      <c r="I749" s="273">
        <f>ROUND(R66,0)</f>
        <v>1283</v>
      </c>
      <c r="J749" s="273">
        <f>ROUND(R67,0)</f>
        <v>42220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8827712</v>
      </c>
      <c r="O749" s="273">
        <f>ROUND(R73,0)</f>
        <v>5288767</v>
      </c>
      <c r="P749" s="273">
        <f>IF(R76&gt;0,ROUND(R76,0),0)</f>
        <v>500</v>
      </c>
      <c r="Q749" s="273">
        <f>IF(R77&gt;0,ROUND(R77,0),0)</f>
        <v>0</v>
      </c>
      <c r="R749" s="273">
        <f>IF(R78&gt;0,ROUND(R78,0),0)</f>
        <v>500</v>
      </c>
      <c r="S749" s="273">
        <f>IF(R79&gt;0,ROUND(R79,0),0)</f>
        <v>0</v>
      </c>
      <c r="T749" s="275">
        <f>IF(R80&gt;0,ROUND(R80,2),0)</f>
        <v>1.38</v>
      </c>
      <c r="U749" s="273"/>
      <c r="V749" s="274"/>
      <c r="W749" s="273"/>
      <c r="X749" s="273"/>
      <c r="Y749" s="273">
        <f t="shared" si="21"/>
        <v>423353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5">
      <c r="A750" s="209" t="str">
        <f>RIGHT($C$83,3)&amp;"*"&amp;RIGHT($C$82,4)&amp;"*"&amp;S$55&amp;"*"&amp;"A"</f>
        <v>134*2017*7050*A</v>
      </c>
      <c r="B750" s="273"/>
      <c r="C750" s="275">
        <f>ROUND(S60,2)</f>
        <v>7.68</v>
      </c>
      <c r="D750" s="273">
        <f>ROUND(S61,0)</f>
        <v>345683</v>
      </c>
      <c r="E750" s="273">
        <f>ROUND(S62,0)</f>
        <v>95210</v>
      </c>
      <c r="F750" s="273">
        <f>ROUND(S63,0)</f>
        <v>0</v>
      </c>
      <c r="G750" s="273">
        <f>ROUND(S64,0)</f>
        <v>131039</v>
      </c>
      <c r="H750" s="273">
        <f>ROUND(S65,0)</f>
        <v>64</v>
      </c>
      <c r="I750" s="273">
        <f>ROUND(S66,0)</f>
        <v>19740</v>
      </c>
      <c r="J750" s="273">
        <f>ROUND(S67,0)</f>
        <v>61802</v>
      </c>
      <c r="K750" s="273">
        <f>ROUND(S68,0)</f>
        <v>0</v>
      </c>
      <c r="L750" s="273">
        <f>ROUND(S69,0)</f>
        <v>2149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3031</v>
      </c>
      <c r="Q750" s="273">
        <f>IF(S77&gt;0,ROUND(S77,0),0)</f>
        <v>0</v>
      </c>
      <c r="R750" s="273">
        <f>IF(S78&gt;0,ROUND(S78,0),0)</f>
        <v>3031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160563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5">
      <c r="A751" s="209" t="str">
        <f>RIGHT($C$83,3)&amp;"*"&amp;RIGHT($C$82,4)&amp;"*"&amp;T$55&amp;"*"&amp;"A"</f>
        <v>134*2017*7060*A</v>
      </c>
      <c r="B751" s="273"/>
      <c r="C751" s="275">
        <f>ROUND(T60,2)</f>
        <v>0</v>
      </c>
      <c r="D751" s="273">
        <f>ROUND(T61,0)</f>
        <v>0</v>
      </c>
      <c r="E751" s="273">
        <f>ROUND(T62,0)</f>
        <v>0</v>
      </c>
      <c r="F751" s="273">
        <f>ROUND(T63,0)</f>
        <v>0</v>
      </c>
      <c r="G751" s="273">
        <f>ROUND(T64,0)</f>
        <v>0</v>
      </c>
      <c r="H751" s="273">
        <f>ROUND(T65,0)</f>
        <v>0</v>
      </c>
      <c r="I751" s="273">
        <f>ROUND(T66,0)</f>
        <v>0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0</v>
      </c>
      <c r="O751" s="273">
        <f>ROUND(T73,0)</f>
        <v>0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</v>
      </c>
      <c r="U751" s="273"/>
      <c r="V751" s="274"/>
      <c r="W751" s="273"/>
      <c r="X751" s="273"/>
      <c r="Y751" s="273">
        <f t="shared" si="21"/>
        <v>0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5">
      <c r="A752" s="209" t="str">
        <f>RIGHT($C$83,3)&amp;"*"&amp;RIGHT($C$82,4)&amp;"*"&amp;U$55&amp;"*"&amp;"A"</f>
        <v>134*2017*7070*A</v>
      </c>
      <c r="B752" s="273">
        <f>ROUND(U59,0)</f>
        <v>265998</v>
      </c>
      <c r="C752" s="275">
        <f>ROUND(U60,2)</f>
        <v>23.65</v>
      </c>
      <c r="D752" s="273">
        <f>ROUND(U61,0)</f>
        <v>1385442</v>
      </c>
      <c r="E752" s="273">
        <f>ROUND(U62,0)</f>
        <v>389306</v>
      </c>
      <c r="F752" s="273">
        <f>ROUND(U63,0)</f>
        <v>187084</v>
      </c>
      <c r="G752" s="273">
        <f>ROUND(U64,0)</f>
        <v>1802100</v>
      </c>
      <c r="H752" s="273">
        <f>ROUND(U65,0)</f>
        <v>3572</v>
      </c>
      <c r="I752" s="273">
        <f>ROUND(U66,0)</f>
        <v>770843</v>
      </c>
      <c r="J752" s="273">
        <f>ROUND(U67,0)</f>
        <v>89650</v>
      </c>
      <c r="K752" s="273">
        <f>ROUND(U68,0)</f>
        <v>125009</v>
      </c>
      <c r="L752" s="273">
        <f>ROUND(U69,0)</f>
        <v>6284</v>
      </c>
      <c r="M752" s="273">
        <f>ROUND(U70,0)</f>
        <v>100</v>
      </c>
      <c r="N752" s="273">
        <f>ROUND(U75,0)</f>
        <v>22393040</v>
      </c>
      <c r="O752" s="273">
        <f>ROUND(U73,0)</f>
        <v>3395045</v>
      </c>
      <c r="P752" s="273">
        <f>IF(U76&gt;0,ROUND(U76,0),0)</f>
        <v>3940</v>
      </c>
      <c r="Q752" s="273">
        <f>IF(U77&gt;0,ROUND(U77,0),0)</f>
        <v>0</v>
      </c>
      <c r="R752" s="273">
        <f>IF(U78&gt;0,ROUND(U78,0),0)</f>
        <v>3940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1527450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5">
      <c r="A753" s="209" t="str">
        <f>RIGHT($C$83,3)&amp;"*"&amp;RIGHT($C$82,4)&amp;"*"&amp;V$55&amp;"*"&amp;"A"</f>
        <v>134*2017*7110*A</v>
      </c>
      <c r="B753" s="273">
        <f>ROUND(V59,0)</f>
        <v>6573</v>
      </c>
      <c r="C753" s="275">
        <f>ROUND(V60,2)</f>
        <v>0.53</v>
      </c>
      <c r="D753" s="273">
        <f>ROUND(V61,0)</f>
        <v>47299</v>
      </c>
      <c r="E753" s="273">
        <f>ROUND(V62,0)</f>
        <v>10862</v>
      </c>
      <c r="F753" s="273">
        <f>ROUND(V63,0)</f>
        <v>0</v>
      </c>
      <c r="G753" s="273">
        <f>ROUND(V64,0)</f>
        <v>2120</v>
      </c>
      <c r="H753" s="273">
        <f>ROUND(V65,0)</f>
        <v>0</v>
      </c>
      <c r="I753" s="273">
        <f>ROUND(V66,0)</f>
        <v>130</v>
      </c>
      <c r="J753" s="273">
        <f>ROUND(V67,0)</f>
        <v>2246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712629</v>
      </c>
      <c r="O753" s="273">
        <f>ROUND(V73,0)</f>
        <v>136772</v>
      </c>
      <c r="P753" s="273">
        <f>IF(V76&gt;0,ROUND(V76,0),0)</f>
        <v>10</v>
      </c>
      <c r="Q753" s="273">
        <f>IF(V77&gt;0,ROUND(V77,0),0)</f>
        <v>0</v>
      </c>
      <c r="R753" s="273">
        <f>IF(V78&gt;0,ROUND(V78,0),0)</f>
        <v>10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1"/>
        <v>35540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5">
      <c r="A754" s="209" t="str">
        <f>RIGHT($C$83,3)&amp;"*"&amp;RIGHT($C$82,4)&amp;"*"&amp;W$55&amp;"*"&amp;"A"</f>
        <v>134*2017*7120*A</v>
      </c>
      <c r="B754" s="273">
        <f>ROUND(W59,0)</f>
        <v>4492</v>
      </c>
      <c r="C754" s="275">
        <f>ROUND(W60,2)</f>
        <v>2.04</v>
      </c>
      <c r="D754" s="273">
        <f>ROUND(W61,0)</f>
        <v>191434</v>
      </c>
      <c r="E754" s="273">
        <f>ROUND(W62,0)</f>
        <v>40006</v>
      </c>
      <c r="F754" s="273">
        <f>ROUND(W63,0)</f>
        <v>0</v>
      </c>
      <c r="G754" s="273">
        <f>ROUND(W64,0)</f>
        <v>42611</v>
      </c>
      <c r="H754" s="273">
        <f>ROUND(W65,0)</f>
        <v>0</v>
      </c>
      <c r="I754" s="273">
        <f>ROUND(W66,0)</f>
        <v>125492</v>
      </c>
      <c r="J754" s="273">
        <f>ROUND(W67,0)</f>
        <v>2368</v>
      </c>
      <c r="K754" s="273">
        <f>ROUND(W68,0)</f>
        <v>0</v>
      </c>
      <c r="L754" s="273">
        <f>ROUND(W69,0)</f>
        <v>0</v>
      </c>
      <c r="M754" s="273">
        <f>ROUND(W70,0)</f>
        <v>0</v>
      </c>
      <c r="N754" s="273">
        <f>ROUND(W75,0)</f>
        <v>10042719</v>
      </c>
      <c r="O754" s="273">
        <f>ROUND(W73,0)</f>
        <v>663589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447444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5">
      <c r="A755" s="209" t="str">
        <f>RIGHT($C$83,3)&amp;"*"&amp;RIGHT($C$82,4)&amp;"*"&amp;X$55&amp;"*"&amp;"A"</f>
        <v>134*2017*7130*A</v>
      </c>
      <c r="B755" s="273">
        <f>ROUND(X59,0)</f>
        <v>10003</v>
      </c>
      <c r="C755" s="275">
        <f>ROUND(X60,2)</f>
        <v>3.27</v>
      </c>
      <c r="D755" s="273">
        <f>ROUND(X61,0)</f>
        <v>243492</v>
      </c>
      <c r="E755" s="273">
        <f>ROUND(X62,0)</f>
        <v>64194</v>
      </c>
      <c r="F755" s="273">
        <f>ROUND(X63,0)</f>
        <v>0</v>
      </c>
      <c r="G755" s="273">
        <f>ROUND(X64,0)</f>
        <v>161159</v>
      </c>
      <c r="H755" s="273">
        <f>ROUND(X65,0)</f>
        <v>593</v>
      </c>
      <c r="I755" s="273">
        <f>ROUND(X66,0)</f>
        <v>21470</v>
      </c>
      <c r="J755" s="273">
        <f>ROUND(X67,0)</f>
        <v>117248</v>
      </c>
      <c r="K755" s="273">
        <f>ROUND(X68,0)</f>
        <v>0</v>
      </c>
      <c r="L755" s="273">
        <f>ROUND(X69,0)</f>
        <v>0</v>
      </c>
      <c r="M755" s="273">
        <f>ROUND(X70,0)</f>
        <v>0</v>
      </c>
      <c r="N755" s="273">
        <f>ROUND(X75,0)</f>
        <v>17312858</v>
      </c>
      <c r="O755" s="273">
        <f>ROUND(X73,0)</f>
        <v>2374476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767071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5">
      <c r="A756" s="209" t="str">
        <f>RIGHT($C$83,3)&amp;"*"&amp;RIGHT($C$82,4)&amp;"*"&amp;Y$55&amp;"*"&amp;"A"</f>
        <v>134*2017*7140*A</v>
      </c>
      <c r="B756" s="273">
        <f>ROUND(Y59,0)</f>
        <v>33623</v>
      </c>
      <c r="C756" s="275">
        <f>ROUND(Y60,2)</f>
        <v>23.8</v>
      </c>
      <c r="D756" s="273">
        <f>ROUND(Y61,0)</f>
        <v>1771599</v>
      </c>
      <c r="E756" s="273">
        <f>ROUND(Y62,0)</f>
        <v>447782</v>
      </c>
      <c r="F756" s="273">
        <f>ROUND(Y63,0)</f>
        <v>10166</v>
      </c>
      <c r="G756" s="273">
        <f>ROUND(Y64,0)</f>
        <v>203295</v>
      </c>
      <c r="H756" s="273">
        <f>ROUND(Y65,0)</f>
        <v>1381</v>
      </c>
      <c r="I756" s="273">
        <f>ROUND(Y66,0)</f>
        <v>872183</v>
      </c>
      <c r="J756" s="273">
        <f>ROUND(Y67,0)</f>
        <v>218949</v>
      </c>
      <c r="K756" s="273">
        <f>ROUND(Y68,0)</f>
        <v>0</v>
      </c>
      <c r="L756" s="273">
        <f>ROUND(Y69,0)</f>
        <v>14163</v>
      </c>
      <c r="M756" s="273">
        <f>ROUND(Y70,0)</f>
        <v>348</v>
      </c>
      <c r="N756" s="273">
        <f>ROUND(Y75,0)</f>
        <v>14079110</v>
      </c>
      <c r="O756" s="273">
        <f>ROUND(Y73,0)</f>
        <v>1972606</v>
      </c>
      <c r="P756" s="273">
        <f>IF(Y76&gt;0,ROUND(Y76,0),0)</f>
        <v>10925</v>
      </c>
      <c r="Q756" s="273">
        <f>IF(Y77&gt;0,ROUND(Y77,0),0)</f>
        <v>0</v>
      </c>
      <c r="R756" s="273">
        <f>IF(Y78&gt;0,ROUND(Y78,0),0)</f>
        <v>10925</v>
      </c>
      <c r="S756" s="273">
        <f>IF(Y79&gt;0,ROUND(Y79,0),0)</f>
        <v>0</v>
      </c>
      <c r="T756" s="275">
        <f>IF(Y80&gt;0,ROUND(Y80,2),0)</f>
        <v>1.41</v>
      </c>
      <c r="U756" s="273"/>
      <c r="V756" s="274"/>
      <c r="W756" s="273"/>
      <c r="X756" s="273"/>
      <c r="Y756" s="273">
        <f t="shared" si="21"/>
        <v>1235789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5">
      <c r="A757" s="209" t="str">
        <f>RIGHT($C$83,3)&amp;"*"&amp;RIGHT($C$82,4)&amp;"*"&amp;Z$55&amp;"*"&amp;"A"</f>
        <v>134*2017*7150*A</v>
      </c>
      <c r="B757" s="273">
        <f>ROUND(Z59,0)</f>
        <v>13182</v>
      </c>
      <c r="C757" s="275">
        <f>ROUND(Z60,2)</f>
        <v>12.71</v>
      </c>
      <c r="D757" s="273">
        <f>ROUND(Z61,0)</f>
        <v>806240</v>
      </c>
      <c r="E757" s="273">
        <f>ROUND(Z62,0)</f>
        <v>239537</v>
      </c>
      <c r="F757" s="273">
        <f>ROUND(Z63,0)</f>
        <v>734451</v>
      </c>
      <c r="G757" s="273">
        <f>ROUND(Z64,0)</f>
        <v>95665</v>
      </c>
      <c r="H757" s="273">
        <f>ROUND(Z65,0)</f>
        <v>-50</v>
      </c>
      <c r="I757" s="273">
        <f>ROUND(Z66,0)</f>
        <v>15509</v>
      </c>
      <c r="J757" s="273">
        <f>ROUND(Z67,0)</f>
        <v>68825</v>
      </c>
      <c r="K757" s="273">
        <f>ROUND(Z68,0)</f>
        <v>0</v>
      </c>
      <c r="L757" s="273">
        <f>ROUND(Z69,0)</f>
        <v>6451</v>
      </c>
      <c r="M757" s="273">
        <f>ROUND(Z70,0)</f>
        <v>28929</v>
      </c>
      <c r="N757" s="273">
        <f>ROUND(Z75,0)</f>
        <v>4475218</v>
      </c>
      <c r="O757" s="273">
        <f>ROUND(Z73,0)</f>
        <v>43415</v>
      </c>
      <c r="P757" s="273">
        <f>IF(Z76&gt;0,ROUND(Z76,0),0)</f>
        <v>7700</v>
      </c>
      <c r="Q757" s="273">
        <f>IF(Z77&gt;0,ROUND(Z77,0),0)</f>
        <v>0</v>
      </c>
      <c r="R757" s="273">
        <f>IF(Z78&gt;0,ROUND(Z78,0),0)</f>
        <v>7700</v>
      </c>
      <c r="S757" s="273">
        <f>IF(Z79&gt;0,ROUND(Z79,0),0)</f>
        <v>0</v>
      </c>
      <c r="T757" s="275">
        <f>IF(Z80&gt;0,ROUND(Z80,2),0)</f>
        <v>4.43</v>
      </c>
      <c r="U757" s="273"/>
      <c r="V757" s="274"/>
      <c r="W757" s="273"/>
      <c r="X757" s="273"/>
      <c r="Y757" s="273">
        <f t="shared" si="21"/>
        <v>602644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5">
      <c r="A758" s="209" t="str">
        <f>RIGHT($C$83,3)&amp;"*"&amp;RIGHT($C$82,4)&amp;"*"&amp;AA$55&amp;"*"&amp;"A"</f>
        <v>134*2017*7160*A</v>
      </c>
      <c r="B758" s="273">
        <f>ROUND(AA59,0)</f>
        <v>1067</v>
      </c>
      <c r="C758" s="275">
        <f>ROUND(AA60,2)</f>
        <v>1.6</v>
      </c>
      <c r="D758" s="273">
        <f>ROUND(AA61,0)</f>
        <v>171227</v>
      </c>
      <c r="E758" s="273">
        <f>ROUND(AA62,0)</f>
        <v>40112</v>
      </c>
      <c r="F758" s="273">
        <f>ROUND(AA63,0)</f>
        <v>32400</v>
      </c>
      <c r="G758" s="273">
        <f>ROUND(AA64,0)</f>
        <v>107433</v>
      </c>
      <c r="H758" s="273">
        <f>ROUND(AA65,0)</f>
        <v>291</v>
      </c>
      <c r="I758" s="273">
        <f>ROUND(AA66,0)</f>
        <v>41250</v>
      </c>
      <c r="J758" s="273">
        <f>ROUND(AA67,0)</f>
        <v>4424</v>
      </c>
      <c r="K758" s="273">
        <f>ROUND(AA68,0)</f>
        <v>0</v>
      </c>
      <c r="L758" s="273">
        <f>ROUND(AA69,0)</f>
        <v>0</v>
      </c>
      <c r="M758" s="273">
        <f>ROUND(AA70,0)</f>
        <v>375</v>
      </c>
      <c r="N758" s="273">
        <f>ROUND(AA75,0)</f>
        <v>2015906</v>
      </c>
      <c r="O758" s="273">
        <f>ROUND(AA73,0)</f>
        <v>57893</v>
      </c>
      <c r="P758" s="273">
        <f>IF(AA76&gt;0,ROUND(AA76,0),0)</f>
        <v>0</v>
      </c>
      <c r="Q758" s="273">
        <f>IF(AA77&gt;0,ROUND(AA77,0),0)</f>
        <v>0</v>
      </c>
      <c r="R758" s="273">
        <f>IF(AA78&gt;0,ROUND(AA78,0),0)</f>
        <v>0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121699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5">
      <c r="A759" s="209" t="str">
        <f>RIGHT($C$83,3)&amp;"*"&amp;RIGHT($C$82,4)&amp;"*"&amp;AB$55&amp;"*"&amp;"A"</f>
        <v>134*2017*7170*A</v>
      </c>
      <c r="B759" s="273"/>
      <c r="C759" s="275">
        <f>ROUND(AB60,2)</f>
        <v>12.62</v>
      </c>
      <c r="D759" s="273">
        <f>ROUND(AB61,0)</f>
        <v>1182482</v>
      </c>
      <c r="E759" s="273">
        <f>ROUND(AB62,0)</f>
        <v>242537</v>
      </c>
      <c r="F759" s="273">
        <f>ROUND(AB63,0)</f>
        <v>0</v>
      </c>
      <c r="G759" s="273">
        <f>ROUND(AB64,0)</f>
        <v>6669688</v>
      </c>
      <c r="H759" s="273">
        <f>ROUND(AB65,0)</f>
        <v>849</v>
      </c>
      <c r="I759" s="273">
        <f>ROUND(AB66,0)</f>
        <v>250048</v>
      </c>
      <c r="J759" s="273">
        <f>ROUND(AB67,0)</f>
        <v>199649</v>
      </c>
      <c r="K759" s="273">
        <f>ROUND(AB68,0)</f>
        <v>0</v>
      </c>
      <c r="L759" s="273">
        <f>ROUND(AB69,0)</f>
        <v>14313</v>
      </c>
      <c r="M759" s="273">
        <f>ROUND(AB70,0)</f>
        <v>3692</v>
      </c>
      <c r="N759" s="273">
        <f>ROUND(AB75,0)</f>
        <v>26444469</v>
      </c>
      <c r="O759" s="273">
        <f>ROUND(AB73,0)</f>
        <v>7314926</v>
      </c>
      <c r="P759" s="273">
        <f>IF(AB76&gt;0,ROUND(AB76,0),0)</f>
        <v>1896</v>
      </c>
      <c r="Q759" s="273">
        <f>IF(AB77&gt;0,ROUND(AB77,0),0)</f>
        <v>0</v>
      </c>
      <c r="R759" s="273">
        <f>IF(AB78&gt;0,ROUND(AB78,0),0)</f>
        <v>1896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2102272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5">
      <c r="A760" s="209" t="str">
        <f>RIGHT($C$83,3)&amp;"*"&amp;RIGHT($C$82,4)&amp;"*"&amp;AC$55&amp;"*"&amp;"A"</f>
        <v>134*2017*7180*A</v>
      </c>
      <c r="B760" s="273">
        <f>ROUND(AC59,0)</f>
        <v>11543</v>
      </c>
      <c r="C760" s="275">
        <f>ROUND(AC60,2)</f>
        <v>10.06</v>
      </c>
      <c r="D760" s="273">
        <f>ROUND(AC61,0)</f>
        <v>741988</v>
      </c>
      <c r="E760" s="273">
        <f>ROUND(AC62,0)</f>
        <v>185493</v>
      </c>
      <c r="F760" s="273">
        <f>ROUND(AC63,0)</f>
        <v>0</v>
      </c>
      <c r="G760" s="273">
        <f>ROUND(AC64,0)</f>
        <v>111913</v>
      </c>
      <c r="H760" s="273">
        <f>ROUND(AC65,0)</f>
        <v>501</v>
      </c>
      <c r="I760" s="273">
        <f>ROUND(AC66,0)</f>
        <v>21787</v>
      </c>
      <c r="J760" s="273">
        <f>ROUND(AC67,0)</f>
        <v>47895</v>
      </c>
      <c r="K760" s="273">
        <f>ROUND(AC68,0)</f>
        <v>269</v>
      </c>
      <c r="L760" s="273">
        <f>ROUND(AC69,0)</f>
        <v>3151</v>
      </c>
      <c r="M760" s="273">
        <f>ROUND(AC70,0)</f>
        <v>13176</v>
      </c>
      <c r="N760" s="273">
        <f>ROUND(AC75,0)</f>
        <v>2982713</v>
      </c>
      <c r="O760" s="273">
        <f>ROUND(AC73,0)</f>
        <v>1605044</v>
      </c>
      <c r="P760" s="273">
        <f>IF(AC76&gt;0,ROUND(AC76,0),0)</f>
        <v>4147</v>
      </c>
      <c r="Q760" s="273">
        <f>IF(AC77&gt;0,ROUND(AC77,0),0)</f>
        <v>0</v>
      </c>
      <c r="R760" s="273">
        <f>IF(AC78&gt;0,ROUND(AC78,0),0)</f>
        <v>4147</v>
      </c>
      <c r="S760" s="273">
        <f>IF(AC79&gt;0,ROUND(AC79,0),0)</f>
        <v>0</v>
      </c>
      <c r="T760" s="275">
        <f>IF(AC80&gt;0,ROUND(AC80,2),0)</f>
        <v>0.85</v>
      </c>
      <c r="U760" s="273"/>
      <c r="V760" s="274"/>
      <c r="W760" s="273"/>
      <c r="X760" s="273"/>
      <c r="Y760" s="273">
        <f t="shared" si="21"/>
        <v>356769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5">
      <c r="A761" s="209" t="str">
        <f>RIGHT($C$83,3)&amp;"*"&amp;RIGHT($C$82,4)&amp;"*"&amp;AD$55&amp;"*"&amp;"A"</f>
        <v>134*2017*7190*A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0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5">
      <c r="A762" s="209" t="str">
        <f>RIGHT($C$83,3)&amp;"*"&amp;RIGHT($C$82,4)&amp;"*"&amp;AE$55&amp;"*"&amp;"A"</f>
        <v>134*2017*7200*A</v>
      </c>
      <c r="B762" s="273">
        <f>ROUND(AE59,0)</f>
        <v>19062</v>
      </c>
      <c r="C762" s="275">
        <f>ROUND(AE60,2)</f>
        <v>19.420000000000002</v>
      </c>
      <c r="D762" s="273">
        <f>ROUND(AE61,0)</f>
        <v>1462613</v>
      </c>
      <c r="E762" s="273">
        <f>ROUND(AE62,0)</f>
        <v>346501</v>
      </c>
      <c r="F762" s="273">
        <f>ROUND(AE63,0)</f>
        <v>22950</v>
      </c>
      <c r="G762" s="273">
        <f>ROUND(AE64,0)</f>
        <v>24868</v>
      </c>
      <c r="H762" s="273">
        <f>ROUND(AE65,0)</f>
        <v>472</v>
      </c>
      <c r="I762" s="273">
        <f>ROUND(AE66,0)</f>
        <v>31684</v>
      </c>
      <c r="J762" s="273">
        <f>ROUND(AE67,0)</f>
        <v>60917</v>
      </c>
      <c r="K762" s="273">
        <f>ROUND(AE68,0)</f>
        <v>16563</v>
      </c>
      <c r="L762" s="273">
        <f>ROUND(AE69,0)</f>
        <v>7804</v>
      </c>
      <c r="M762" s="273">
        <f>ROUND(AE70,0)</f>
        <v>485</v>
      </c>
      <c r="N762" s="273">
        <f>ROUND(AE75,0)</f>
        <v>5769228</v>
      </c>
      <c r="O762" s="273">
        <f>ROUND(AE73,0)</f>
        <v>1639897</v>
      </c>
      <c r="P762" s="273">
        <f>IF(AE76&gt;0,ROUND(AE76,0),0)</f>
        <v>7400</v>
      </c>
      <c r="Q762" s="273">
        <f>IF(AE77&gt;0,ROUND(AE77,0),0)</f>
        <v>0</v>
      </c>
      <c r="R762" s="273">
        <f>IF(AE78&gt;0,ROUND(AE78,0),0)</f>
        <v>0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518726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5">
      <c r="A763" s="209" t="str">
        <f>RIGHT($C$83,3)&amp;"*"&amp;RIGHT($C$82,4)&amp;"*"&amp;AF$55&amp;"*"&amp;"A"</f>
        <v>134*2017*7220*A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5">
      <c r="A764" s="209" t="str">
        <f>RIGHT($C$83,3)&amp;"*"&amp;RIGHT($C$82,4)&amp;"*"&amp;AG$55&amp;"*"&amp;"A"</f>
        <v>134*2017*7230*A</v>
      </c>
      <c r="B764" s="273">
        <f>ROUND(AG59,0)</f>
        <v>17631</v>
      </c>
      <c r="C764" s="275">
        <f>ROUND(AG60,2)</f>
        <v>26.45</v>
      </c>
      <c r="D764" s="273">
        <f>ROUND(AG61,0)</f>
        <v>2246979</v>
      </c>
      <c r="E764" s="273">
        <f>ROUND(AG62,0)</f>
        <v>488476</v>
      </c>
      <c r="F764" s="273">
        <f>ROUND(AG63,0)</f>
        <v>228513</v>
      </c>
      <c r="G764" s="273">
        <f>ROUND(AG64,0)</f>
        <v>305231</v>
      </c>
      <c r="H764" s="273">
        <f>ROUND(AG65,0)</f>
        <v>219</v>
      </c>
      <c r="I764" s="273">
        <f>ROUND(AG66,0)</f>
        <v>74266</v>
      </c>
      <c r="J764" s="273">
        <f>ROUND(AG67,0)</f>
        <v>80792</v>
      </c>
      <c r="K764" s="273">
        <f>ROUND(AG68,0)</f>
        <v>271</v>
      </c>
      <c r="L764" s="273">
        <f>ROUND(AG69,0)</f>
        <v>14273</v>
      </c>
      <c r="M764" s="273">
        <f>ROUND(AG70,0)</f>
        <v>4945</v>
      </c>
      <c r="N764" s="273">
        <f>ROUND(AG75,0)</f>
        <v>21531029</v>
      </c>
      <c r="O764" s="273">
        <f>ROUND(AG73,0)</f>
        <v>3270326</v>
      </c>
      <c r="P764" s="273">
        <f>IF(AG76&gt;0,ROUND(AG76,0),0)</f>
        <v>7100</v>
      </c>
      <c r="Q764" s="273">
        <f>IF(AG77&gt;0,ROUND(AG77,0),0)</f>
        <v>0</v>
      </c>
      <c r="R764" s="273">
        <f>IF(AG78&gt;0,ROUND(AG78,0),0)</f>
        <v>7100</v>
      </c>
      <c r="S764" s="273">
        <f>IF(AG79&gt;0,ROUND(AG79,0),0)</f>
        <v>0</v>
      </c>
      <c r="T764" s="275">
        <f>IF(AG80&gt;0,ROUND(AG80,2),0)</f>
        <v>16.8</v>
      </c>
      <c r="U764" s="273"/>
      <c r="V764" s="274"/>
      <c r="W764" s="273"/>
      <c r="X764" s="273"/>
      <c r="Y764" s="273">
        <f t="shared" si="21"/>
        <v>1467855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5">
      <c r="A765" s="209" t="str">
        <f>RIGHT($C$83,3)&amp;"*"&amp;RIGHT($C$82,4)&amp;"*"&amp;AH$55&amp;"*"&amp;"A"</f>
        <v>134*2017*7240*A</v>
      </c>
      <c r="B765" s="273">
        <f>ROUND(AH59,0)</f>
        <v>0</v>
      </c>
      <c r="C765" s="275">
        <f>ROUND(AH60,2)</f>
        <v>1.06</v>
      </c>
      <c r="D765" s="273">
        <f>ROUND(AH61,0)</f>
        <v>133455</v>
      </c>
      <c r="E765" s="273">
        <f>ROUND(AH62,0)</f>
        <v>12394</v>
      </c>
      <c r="F765" s="273">
        <f>ROUND(AH63,0)</f>
        <v>0</v>
      </c>
      <c r="G765" s="273">
        <f>ROUND(AH64,0)</f>
        <v>320</v>
      </c>
      <c r="H765" s="273">
        <f>ROUND(AH65,0)</f>
        <v>5247</v>
      </c>
      <c r="I765" s="273">
        <f>ROUND(AH66,0)</f>
        <v>14348</v>
      </c>
      <c r="J765" s="273">
        <f>ROUND(AH67,0)</f>
        <v>636</v>
      </c>
      <c r="K765" s="273">
        <f>ROUND(AH68,0)</f>
        <v>0</v>
      </c>
      <c r="L765" s="273">
        <f>ROUND(AH69,0)</f>
        <v>5025</v>
      </c>
      <c r="M765" s="273">
        <f>ROUND(AH70,0)</f>
        <v>0</v>
      </c>
      <c r="N765" s="273">
        <f>ROUND(AH75,0)</f>
        <v>191170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23919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5">
      <c r="A766" s="209" t="str">
        <f>RIGHT($C$83,3)&amp;"*"&amp;RIGHT($C$82,4)&amp;"*"&amp;AI$55&amp;"*"&amp;"A"</f>
        <v>134*2017*7250*A</v>
      </c>
      <c r="B766" s="273">
        <f>ROUND(AI59,0)</f>
        <v>440</v>
      </c>
      <c r="C766" s="275">
        <f>ROUND(AI60,2)</f>
        <v>7.19</v>
      </c>
      <c r="D766" s="273">
        <f>ROUND(AI61,0)</f>
        <v>664491</v>
      </c>
      <c r="E766" s="273">
        <f>ROUND(AI62,0)</f>
        <v>123971</v>
      </c>
      <c r="F766" s="273">
        <f>ROUND(AI63,0)</f>
        <v>60</v>
      </c>
      <c r="G766" s="273">
        <f>ROUND(AI64,0)</f>
        <v>22678</v>
      </c>
      <c r="H766" s="273">
        <f>ROUND(AI65,0)</f>
        <v>11761</v>
      </c>
      <c r="I766" s="273">
        <f>ROUND(AI66,0)</f>
        <v>86493</v>
      </c>
      <c r="J766" s="273">
        <f>ROUND(AI67,0)</f>
        <v>20100</v>
      </c>
      <c r="K766" s="273">
        <f>ROUND(AI68,0)</f>
        <v>117800</v>
      </c>
      <c r="L766" s="273">
        <f>ROUND(AI69,0)</f>
        <v>10147</v>
      </c>
      <c r="M766" s="273">
        <f>ROUND(AI70,0)</f>
        <v>17470</v>
      </c>
      <c r="N766" s="273">
        <f>ROUND(AI75,0)</f>
        <v>2273443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192621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5">
      <c r="A767" s="209" t="str">
        <f>RIGHT($C$83,3)&amp;"*"&amp;RIGHT($C$82,4)&amp;"*"&amp;AJ$55&amp;"*"&amp;"A"</f>
        <v>134*2017*7260*A</v>
      </c>
      <c r="B767" s="273">
        <f>ROUND(AJ59,0)</f>
        <v>66110</v>
      </c>
      <c r="C767" s="275">
        <f>ROUND(AJ60,2)</f>
        <v>99.44</v>
      </c>
      <c r="D767" s="273">
        <f>ROUND(AJ61,0)</f>
        <v>8974718</v>
      </c>
      <c r="E767" s="273">
        <f>ROUND(AJ62,0)</f>
        <v>1884957</v>
      </c>
      <c r="F767" s="273">
        <f>ROUND(AJ63,0)</f>
        <v>228532</v>
      </c>
      <c r="G767" s="273">
        <f>ROUND(AJ64,0)</f>
        <v>854475</v>
      </c>
      <c r="H767" s="273">
        <f>ROUND(AJ65,0)</f>
        <v>64464</v>
      </c>
      <c r="I767" s="273">
        <f>ROUND(AJ66,0)</f>
        <v>990810</v>
      </c>
      <c r="J767" s="273">
        <f>ROUND(AJ67,0)</f>
        <v>192896</v>
      </c>
      <c r="K767" s="273">
        <f>ROUND(AJ68,0)</f>
        <v>392558</v>
      </c>
      <c r="L767" s="273">
        <f>ROUND(AJ69,0)</f>
        <v>277582</v>
      </c>
      <c r="M767" s="273">
        <f>ROUND(AJ70,0)</f>
        <v>187914</v>
      </c>
      <c r="N767" s="273">
        <f>ROUND(AJ75,0)</f>
        <v>18656526</v>
      </c>
      <c r="O767" s="273">
        <f>ROUND(AJ73,0)</f>
        <v>11247</v>
      </c>
      <c r="P767" s="273">
        <f>IF(AJ76&gt;0,ROUND(AJ76,0),0)</f>
        <v>19013</v>
      </c>
      <c r="Q767" s="273">
        <f>IF(AJ77&gt;0,ROUND(AJ77,0),0)</f>
        <v>0</v>
      </c>
      <c r="R767" s="273">
        <f>IF(AJ78&gt;0,ROUND(AJ78,0),0)</f>
        <v>19013</v>
      </c>
      <c r="S767" s="273">
        <f>IF(AJ79&gt;0,ROUND(AJ79,0),0)</f>
        <v>0</v>
      </c>
      <c r="T767" s="275">
        <f>IF(AJ80&gt;0,ROUND(AJ80,2),0)</f>
        <v>14.51</v>
      </c>
      <c r="U767" s="273"/>
      <c r="V767" s="274"/>
      <c r="W767" s="273"/>
      <c r="X767" s="273"/>
      <c r="Y767" s="273">
        <f t="shared" si="21"/>
        <v>2689478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5">
      <c r="A768" s="209" t="str">
        <f>RIGHT($C$83,3)&amp;"*"&amp;RIGHT($C$82,4)&amp;"*"&amp;AK$55&amp;"*"&amp;"A"</f>
        <v>134*2017*7310*A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5">
      <c r="A769" s="209" t="str">
        <f>RIGHT($C$83,3)&amp;"*"&amp;RIGHT($C$82,4)&amp;"*"&amp;AL$55&amp;"*"&amp;"A"</f>
        <v>134*2017*7320*A</v>
      </c>
      <c r="B769" s="273">
        <f>ROUND(AL59,0)</f>
        <v>2783</v>
      </c>
      <c r="C769" s="275">
        <f>ROUND(AL60,2)</f>
        <v>3.09</v>
      </c>
      <c r="D769" s="273">
        <f>ROUND(AL61,0)</f>
        <v>226022</v>
      </c>
      <c r="E769" s="273">
        <f>ROUND(AL62,0)</f>
        <v>41495</v>
      </c>
      <c r="F769" s="273">
        <f>ROUND(AL63,0)</f>
        <v>0</v>
      </c>
      <c r="G769" s="273">
        <f>ROUND(AL64,0)</f>
        <v>926</v>
      </c>
      <c r="H769" s="273">
        <f>ROUND(AL65,0)</f>
        <v>0</v>
      </c>
      <c r="I769" s="273">
        <f>ROUND(AL66,0)</f>
        <v>0</v>
      </c>
      <c r="J769" s="273">
        <f>ROUND(AL67,0)</f>
        <v>252</v>
      </c>
      <c r="K769" s="273">
        <f>ROUND(AL68,0)</f>
        <v>0</v>
      </c>
      <c r="L769" s="273">
        <f>ROUND(AL69,0)</f>
        <v>600</v>
      </c>
      <c r="M769" s="273">
        <f>ROUND(AL70,0)</f>
        <v>0</v>
      </c>
      <c r="N769" s="273">
        <f>ROUND(AL75,0)</f>
        <v>790539</v>
      </c>
      <c r="O769" s="273">
        <f>ROUND(AL73,0)</f>
        <v>115663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60196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5">
      <c r="A770" s="209" t="str">
        <f>RIGHT($C$83,3)&amp;"*"&amp;RIGHT($C$82,4)&amp;"*"&amp;AM$55&amp;"*"&amp;"A"</f>
        <v>134*2017*7330*A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5">
      <c r="A771" s="209" t="str">
        <f>RIGHT($C$83,3)&amp;"*"&amp;RIGHT($C$82,4)&amp;"*"&amp;AN$55&amp;"*"&amp;"A"</f>
        <v>134*2017*7340*A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5">
      <c r="A772" s="209" t="str">
        <f>RIGHT($C$83,3)&amp;"*"&amp;RIGHT($C$82,4)&amp;"*"&amp;AO$55&amp;"*"&amp;"A"</f>
        <v>134*2017*7350*A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5">
      <c r="A773" s="209" t="str">
        <f>RIGHT($C$83,3)&amp;"*"&amp;RIGHT($C$82,4)&amp;"*"&amp;AP$55&amp;"*"&amp;"A"</f>
        <v>134*2017*7380*A</v>
      </c>
      <c r="B773" s="273">
        <f>ROUND(AP59,0)</f>
        <v>512</v>
      </c>
      <c r="C773" s="275">
        <f>ROUND(AP60,2)</f>
        <v>0.19</v>
      </c>
      <c r="D773" s="273">
        <f>ROUND(AP61,0)</f>
        <v>10544</v>
      </c>
      <c r="E773" s="273">
        <f>ROUND(AP62,0)</f>
        <v>1379</v>
      </c>
      <c r="F773" s="273">
        <f>ROUND(AP63,0)</f>
        <v>0</v>
      </c>
      <c r="G773" s="273">
        <f>ROUND(AP64,0)</f>
        <v>12790</v>
      </c>
      <c r="H773" s="273">
        <f>ROUND(AP65,0)</f>
        <v>321</v>
      </c>
      <c r="I773" s="273">
        <f>ROUND(AP66,0)</f>
        <v>86</v>
      </c>
      <c r="J773" s="273">
        <f>ROUND(AP67,0)</f>
        <v>8355</v>
      </c>
      <c r="K773" s="273">
        <f>ROUND(AP68,0)</f>
        <v>0</v>
      </c>
      <c r="L773" s="273">
        <f>ROUND(AP69,0)</f>
        <v>471</v>
      </c>
      <c r="M773" s="273">
        <f>ROUND(AP70,0)</f>
        <v>23260</v>
      </c>
      <c r="N773" s="273">
        <f>ROUND(AP75,0)</f>
        <v>67009</v>
      </c>
      <c r="O773" s="273">
        <f>ROUND(AP73,0)</f>
        <v>0</v>
      </c>
      <c r="P773" s="273">
        <f>IF(AP76&gt;0,ROUND(AP76,0),0)</f>
        <v>1129</v>
      </c>
      <c r="Q773" s="273">
        <f>IF(AP77&gt;0,ROUND(AP77,0),0)</f>
        <v>0</v>
      </c>
      <c r="R773" s="273">
        <f>IF(AP78&gt;0,ROUND(AP78,0),0)</f>
        <v>1129</v>
      </c>
      <c r="S773" s="273">
        <f>IF(AP79&gt;0,ROUND(AP79,0),0)</f>
        <v>0</v>
      </c>
      <c r="T773" s="275">
        <f>IF(AP80&gt;0,ROUND(AP80,2),0)</f>
        <v>0.13</v>
      </c>
      <c r="U773" s="273"/>
      <c r="V773" s="274"/>
      <c r="W773" s="273"/>
      <c r="X773" s="273"/>
      <c r="Y773" s="273">
        <f t="shared" si="21"/>
        <v>37323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5">
      <c r="A774" s="209" t="str">
        <f>RIGHT($C$83,3)&amp;"*"&amp;RIGHT($C$82,4)&amp;"*"&amp;AQ$55&amp;"*"&amp;"A"</f>
        <v>134*2017*7390*A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5">
      <c r="A775" s="209" t="str">
        <f>RIGHT($C$83,3)&amp;"*"&amp;RIGHT($C$82,4)&amp;"*"&amp;AR$55&amp;"*"&amp;"A"</f>
        <v>134*2017*7400*A</v>
      </c>
      <c r="B775" s="273">
        <f>ROUND(AR59,0)</f>
        <v>4781</v>
      </c>
      <c r="C775" s="275">
        <f>ROUND(AR60,2)</f>
        <v>9.23</v>
      </c>
      <c r="D775" s="273">
        <f>ROUND(AR61,0)</f>
        <v>842980</v>
      </c>
      <c r="E775" s="273">
        <f>ROUND(AR62,0)</f>
        <v>187986</v>
      </c>
      <c r="F775" s="273">
        <f>ROUND(AR63,0)</f>
        <v>3924</v>
      </c>
      <c r="G775" s="273">
        <f>ROUND(AR64,0)</f>
        <v>21048</v>
      </c>
      <c r="H775" s="273">
        <f>ROUND(AR65,0)</f>
        <v>5596</v>
      </c>
      <c r="I775" s="273">
        <f>ROUND(AR66,0)</f>
        <v>96280</v>
      </c>
      <c r="J775" s="273">
        <f>ROUND(AR67,0)</f>
        <v>10339</v>
      </c>
      <c r="K775" s="273">
        <f>ROUND(AR68,0)</f>
        <v>0</v>
      </c>
      <c r="L775" s="273">
        <f>ROUND(AR69,0)</f>
        <v>31571</v>
      </c>
      <c r="M775" s="273">
        <f>ROUND(AR70,0)</f>
        <v>1428</v>
      </c>
      <c r="N775" s="273">
        <f>ROUND(AR75,0)</f>
        <v>1063072</v>
      </c>
      <c r="O775" s="273">
        <f>ROUND(AR73,0)</f>
        <v>0</v>
      </c>
      <c r="P775" s="273">
        <f>IF(AR76&gt;0,ROUND(AR76,0),0)</f>
        <v>1256</v>
      </c>
      <c r="Q775" s="273">
        <f>IF(AR77&gt;0,ROUND(AR77,0),0)</f>
        <v>0</v>
      </c>
      <c r="R775" s="273">
        <f>IF(AR78&gt;0,ROUND(AR78,0),0)</f>
        <v>1256</v>
      </c>
      <c r="S775" s="273">
        <f>IF(AR79&gt;0,ROUND(AR79,0),0)</f>
        <v>0</v>
      </c>
      <c r="T775" s="275">
        <f>IF(AR80&gt;0,ROUND(AR80,2),0)</f>
        <v>6.15</v>
      </c>
      <c r="U775" s="273"/>
      <c r="V775" s="274"/>
      <c r="W775" s="273"/>
      <c r="X775" s="273"/>
      <c r="Y775" s="273">
        <f t="shared" si="21"/>
        <v>211969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5">
      <c r="A776" s="209" t="str">
        <f>RIGHT($C$83,3)&amp;"*"&amp;RIGHT($C$82,4)&amp;"*"&amp;AS$55&amp;"*"&amp;"A"</f>
        <v>134*2017*7410*A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5">
      <c r="A777" s="209" t="str">
        <f>RIGHT($C$83,3)&amp;"*"&amp;RIGHT($C$82,4)&amp;"*"&amp;AT$55&amp;"*"&amp;"A"</f>
        <v>134*2017*7420*A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5">
      <c r="A778" s="209" t="str">
        <f>RIGHT($C$83,3)&amp;"*"&amp;RIGHT($C$82,4)&amp;"*"&amp;AU$55&amp;"*"&amp;"A"</f>
        <v>134*2017*7430*A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5">
      <c r="A779" s="209" t="str">
        <f>RIGHT($C$83,3)&amp;"*"&amp;RIGHT($C$82,4)&amp;"*"&amp;AV$55&amp;"*"&amp;"A"</f>
        <v>134*2017*7490*A</v>
      </c>
      <c r="B779" s="273"/>
      <c r="C779" s="275">
        <f>ROUND(AV60,2)</f>
        <v>0</v>
      </c>
      <c r="D779" s="273">
        <f>ROUND(AV61,0)</f>
        <v>0</v>
      </c>
      <c r="E779" s="273">
        <f>ROUND(AV62,0)</f>
        <v>0</v>
      </c>
      <c r="F779" s="273">
        <f>ROUND(AV63,0)</f>
        <v>0</v>
      </c>
      <c r="G779" s="273">
        <f>ROUND(AV64,0)</f>
        <v>0</v>
      </c>
      <c r="H779" s="273">
        <f>ROUND(AV65,0)</f>
        <v>0</v>
      </c>
      <c r="I779" s="273">
        <f>ROUND(AV66,0)</f>
        <v>0</v>
      </c>
      <c r="J779" s="273">
        <f>ROUND(AV67,0)</f>
        <v>0</v>
      </c>
      <c r="K779" s="273">
        <f>ROUND(AV68,0)</f>
        <v>0</v>
      </c>
      <c r="L779" s="273">
        <f>ROUND(AV69,0)</f>
        <v>0</v>
      </c>
      <c r="M779" s="273">
        <f>ROUND(AV70,0)</f>
        <v>120398</v>
      </c>
      <c r="N779" s="273">
        <f>ROUND(AV75,0)</f>
        <v>104508</v>
      </c>
      <c r="O779" s="273">
        <f>ROUND(AV73,0)</f>
        <v>0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0</v>
      </c>
      <c r="T779" s="275">
        <f>IF(AV80&gt;0,ROUND(AV80,2),0)</f>
        <v>0</v>
      </c>
      <c r="U779" s="273"/>
      <c r="V779" s="274"/>
      <c r="W779" s="273"/>
      <c r="X779" s="273"/>
      <c r="Y779" s="273">
        <f t="shared" si="21"/>
        <v>-5687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5">
      <c r="A780" s="209" t="str">
        <f>RIGHT($C$83,3)&amp;"*"&amp;RIGHT($C$82,4)&amp;"*"&amp;AW$55&amp;"*"&amp;"A"</f>
        <v>134*2017*8200*A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5">
      <c r="A781" s="209" t="str">
        <f>RIGHT($C$83,3)&amp;"*"&amp;RIGHT($C$82,4)&amp;"*"&amp;AX$55&amp;"*"&amp;"A"</f>
        <v>134*2017*8310*A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225428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5">
      <c r="A782" s="209" t="str">
        <f>RIGHT($C$83,3)&amp;"*"&amp;RIGHT($C$82,4)&amp;"*"&amp;AY$55&amp;"*"&amp;"A"</f>
        <v>134*2017*8320*A</v>
      </c>
      <c r="B782" s="273">
        <f>ROUND(AY59,0)</f>
        <v>206545</v>
      </c>
      <c r="C782" s="275">
        <f>ROUND(AY60,2)</f>
        <v>16.829999999999998</v>
      </c>
      <c r="D782" s="273">
        <f>ROUND(AY61,0)</f>
        <v>728861</v>
      </c>
      <c r="E782" s="273">
        <f>ROUND(AY62,0)</f>
        <v>226117</v>
      </c>
      <c r="F782" s="273">
        <f>ROUND(AY63,0)</f>
        <v>92124</v>
      </c>
      <c r="G782" s="273">
        <f>ROUND(AY64,0)</f>
        <v>537983</v>
      </c>
      <c r="H782" s="273">
        <f>ROUND(AY65,0)</f>
        <v>214</v>
      </c>
      <c r="I782" s="273">
        <f>ROUND(AY66,0)</f>
        <v>108832</v>
      </c>
      <c r="J782" s="273">
        <f>ROUND(AY67,0)</f>
        <v>58618</v>
      </c>
      <c r="K782" s="273">
        <f>ROUND(AY68,0)</f>
        <v>1481</v>
      </c>
      <c r="L782" s="273">
        <f>ROUND(AY69,0)</f>
        <v>15277</v>
      </c>
      <c r="M782" s="273">
        <f>ROUND(AY70,0)</f>
        <v>440488</v>
      </c>
      <c r="N782" s="273"/>
      <c r="O782" s="273"/>
      <c r="P782" s="273">
        <f>IF(AY76&gt;0,ROUND(AY76,0),0)</f>
        <v>4202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5">
      <c r="A783" s="209" t="str">
        <f>RIGHT($C$83,3)&amp;"*"&amp;RIGHT($C$82,4)&amp;"*"&amp;AZ$55&amp;"*"&amp;"A"</f>
        <v>134*2017*8330*A</v>
      </c>
      <c r="B783" s="273">
        <f>ROUND(AZ59,0)</f>
        <v>0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5">
      <c r="A784" s="209" t="str">
        <f>RIGHT($C$83,3)&amp;"*"&amp;RIGHT($C$82,4)&amp;"*"&amp;BA$55&amp;"*"&amp;"A"</f>
        <v>134*2017*8350*A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279994</v>
      </c>
      <c r="J784" s="273">
        <f>ROUND(BA67,0)</f>
        <v>2124</v>
      </c>
      <c r="K784" s="273">
        <f>ROUND(BA68,0)</f>
        <v>0</v>
      </c>
      <c r="L784" s="273">
        <f>ROUND(BA69,0)</f>
        <v>0</v>
      </c>
      <c r="M784" s="273">
        <f>ROUND(BA70,0)</f>
        <v>5345</v>
      </c>
      <c r="N784" s="273"/>
      <c r="O784" s="273"/>
      <c r="P784" s="273">
        <f>IF(BA76&gt;0,ROUND(BA76,0),0)</f>
        <v>287</v>
      </c>
      <c r="Q784" s="273">
        <f>IF(BA77&gt;0,ROUND(BA77,0),0)</f>
        <v>0</v>
      </c>
      <c r="R784" s="273">
        <f>IF(BA78&gt;0,ROUND(BA78,0),0)</f>
        <v>287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5">
      <c r="A785" s="209" t="str">
        <f>RIGHT($C$83,3)&amp;"*"&amp;RIGHT($C$82,4)&amp;"*"&amp;BB$55&amp;"*"&amp;"A"</f>
        <v>134*2017*8360*A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5">
      <c r="A786" s="209" t="str">
        <f>RIGHT($C$83,3)&amp;"*"&amp;RIGHT($C$82,4)&amp;"*"&amp;BC$55&amp;"*"&amp;"A"</f>
        <v>134*2017*8370*A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5">
      <c r="A787" s="209" t="str">
        <f>RIGHT($C$83,3)&amp;"*"&amp;RIGHT($C$82,4)&amp;"*"&amp;BD$55&amp;"*"&amp;"A"</f>
        <v>134*2017*8420*A</v>
      </c>
      <c r="B787" s="273"/>
      <c r="C787" s="275">
        <f>ROUND(BD60,2)</f>
        <v>8.8000000000000007</v>
      </c>
      <c r="D787" s="273">
        <f>ROUND(BD61,0)</f>
        <v>468629</v>
      </c>
      <c r="E787" s="273">
        <f>ROUND(BD62,0)</f>
        <v>144247</v>
      </c>
      <c r="F787" s="273">
        <f>ROUND(BD63,0)</f>
        <v>844</v>
      </c>
      <c r="G787" s="273">
        <f>ROUND(BD64,0)</f>
        <v>153025</v>
      </c>
      <c r="H787" s="273">
        <f>ROUND(BD65,0)</f>
        <v>1269</v>
      </c>
      <c r="I787" s="273">
        <f>ROUND(BD66,0)</f>
        <v>188</v>
      </c>
      <c r="J787" s="273">
        <f>ROUND(BD67,0)</f>
        <v>43224</v>
      </c>
      <c r="K787" s="273">
        <f>ROUND(BD68,0)</f>
        <v>0</v>
      </c>
      <c r="L787" s="273">
        <f>ROUND(BD69,0)</f>
        <v>712</v>
      </c>
      <c r="M787" s="273">
        <f>ROUND(BD70,0)</f>
        <v>96642</v>
      </c>
      <c r="N787" s="273"/>
      <c r="O787" s="273"/>
      <c r="P787" s="273">
        <f>IF(BD76&gt;0,ROUND(BD76,0),0)</f>
        <v>4791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5">
      <c r="A788" s="209" t="str">
        <f>RIGHT($C$83,3)&amp;"*"&amp;RIGHT($C$82,4)&amp;"*"&amp;BE$55&amp;"*"&amp;"A"</f>
        <v>134*2017*8430*A</v>
      </c>
      <c r="B788" s="273">
        <f>ROUND(BE59,0)</f>
        <v>205925</v>
      </c>
      <c r="C788" s="275">
        <f>ROUND(BE60,2)</f>
        <v>8.0500000000000007</v>
      </c>
      <c r="D788" s="273">
        <f>ROUND(BE61,0)</f>
        <v>509946</v>
      </c>
      <c r="E788" s="273">
        <f>ROUND(BE62,0)</f>
        <v>140598</v>
      </c>
      <c r="F788" s="273">
        <f>ROUND(BE63,0)</f>
        <v>0</v>
      </c>
      <c r="G788" s="273">
        <f>ROUND(BE64,0)</f>
        <v>19168</v>
      </c>
      <c r="H788" s="273">
        <f>ROUND(BE65,0)</f>
        <v>615967</v>
      </c>
      <c r="I788" s="273">
        <f>ROUND(BE66,0)</f>
        <v>552268</v>
      </c>
      <c r="J788" s="273">
        <f>ROUND(BE67,0)</f>
        <v>208355</v>
      </c>
      <c r="K788" s="273">
        <f>ROUND(BE68,0)</f>
        <v>1807</v>
      </c>
      <c r="L788" s="273">
        <f>ROUND(BE69,0)</f>
        <v>959</v>
      </c>
      <c r="M788" s="273">
        <f>ROUND(BE70,0)</f>
        <v>16937</v>
      </c>
      <c r="N788" s="273"/>
      <c r="O788" s="273"/>
      <c r="P788" s="273">
        <f>IF(BE76&gt;0,ROUND(BE76,0),0)</f>
        <v>11813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5">
      <c r="A789" s="209" t="str">
        <f>RIGHT($C$83,3)&amp;"*"&amp;RIGHT($C$82,4)&amp;"*"&amp;BF$55&amp;"*"&amp;"A"</f>
        <v>134*2017*8460*A</v>
      </c>
      <c r="B789" s="273"/>
      <c r="C789" s="275">
        <f>ROUND(BF60,2)</f>
        <v>29.27</v>
      </c>
      <c r="D789" s="273">
        <f>ROUND(BF61,0)</f>
        <v>1086833</v>
      </c>
      <c r="E789" s="273">
        <f>ROUND(BF62,0)</f>
        <v>365999</v>
      </c>
      <c r="F789" s="273">
        <f>ROUND(BF63,0)</f>
        <v>0</v>
      </c>
      <c r="G789" s="273">
        <f>ROUND(BF64,0)</f>
        <v>285984</v>
      </c>
      <c r="H789" s="273">
        <f>ROUND(BF65,0)</f>
        <v>62132</v>
      </c>
      <c r="I789" s="273">
        <f>ROUND(BF66,0)</f>
        <v>127193</v>
      </c>
      <c r="J789" s="273">
        <f>ROUND(BF67,0)</f>
        <v>23547</v>
      </c>
      <c r="K789" s="273">
        <f>ROUND(BF68,0)</f>
        <v>0</v>
      </c>
      <c r="L789" s="273">
        <f>ROUND(BF69,0)</f>
        <v>4249</v>
      </c>
      <c r="M789" s="273">
        <f>ROUND(BF70,0)</f>
        <v>2400</v>
      </c>
      <c r="N789" s="273"/>
      <c r="O789" s="273"/>
      <c r="P789" s="273">
        <f>IF(BF76&gt;0,ROUND(BF76,0),0)</f>
        <v>2393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5">
      <c r="A790" s="209" t="str">
        <f>RIGHT($C$83,3)&amp;"*"&amp;RIGHT($C$82,4)&amp;"*"&amp;BG$55&amp;"*"&amp;"A"</f>
        <v>134*2017*8470*A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5">
      <c r="A791" s="209" t="str">
        <f>RIGHT($C$83,3)&amp;"*"&amp;RIGHT($C$82,4)&amp;"*"&amp;BH$55&amp;"*"&amp;"A"</f>
        <v>134*2017*8480*A</v>
      </c>
      <c r="B791" s="273"/>
      <c r="C791" s="275">
        <f>ROUND(BH60,2)</f>
        <v>13.19</v>
      </c>
      <c r="D791" s="273">
        <f>ROUND(BH61,0)</f>
        <v>1066800</v>
      </c>
      <c r="E791" s="273">
        <f>ROUND(BH62,0)</f>
        <v>264616</v>
      </c>
      <c r="F791" s="273">
        <f>ROUND(BH63,0)</f>
        <v>13320</v>
      </c>
      <c r="G791" s="273">
        <f>ROUND(BH64,0)</f>
        <v>25994</v>
      </c>
      <c r="H791" s="273">
        <f>ROUND(BH65,0)</f>
        <v>113138</v>
      </c>
      <c r="I791" s="273">
        <f>ROUND(BH66,0)</f>
        <v>575675</v>
      </c>
      <c r="J791" s="273">
        <f>ROUND(BH67,0)</f>
        <v>677502</v>
      </c>
      <c r="K791" s="273">
        <f>ROUND(BH68,0)</f>
        <v>7809</v>
      </c>
      <c r="L791" s="273">
        <f>ROUND(BH69,0)</f>
        <v>2928</v>
      </c>
      <c r="M791" s="273">
        <f>ROUND(BH70,0)</f>
        <v>0</v>
      </c>
      <c r="N791" s="273"/>
      <c r="O791" s="273"/>
      <c r="P791" s="273">
        <f>IF(BH76&gt;0,ROUND(BH76,0),0)</f>
        <v>1780</v>
      </c>
      <c r="Q791" s="273">
        <f>IF(BH77&gt;0,ROUND(BH77,0),0)</f>
        <v>0</v>
      </c>
      <c r="R791" s="273">
        <f>IF(BH78&gt;0,ROUND(BH78,0),0)</f>
        <v>1780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5">
      <c r="A792" s="209" t="str">
        <f>RIGHT($C$83,3)&amp;"*"&amp;RIGHT($C$82,4)&amp;"*"&amp;BI$55&amp;"*"&amp;"A"</f>
        <v>134*2017*8490*A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5">
      <c r="A793" s="209" t="str">
        <f>RIGHT($C$83,3)&amp;"*"&amp;RIGHT($C$82,4)&amp;"*"&amp;BJ$55&amp;"*"&amp;"A"</f>
        <v>134*2017*8510*A</v>
      </c>
      <c r="B793" s="273"/>
      <c r="C793" s="275">
        <f>ROUND(BJ60,2)</f>
        <v>4.03</v>
      </c>
      <c r="D793" s="273">
        <f>ROUND(BJ61,0)</f>
        <v>272943</v>
      </c>
      <c r="E793" s="273">
        <f>ROUND(BJ62,0)</f>
        <v>76620</v>
      </c>
      <c r="F793" s="273">
        <f>ROUND(BJ63,0)</f>
        <v>72276</v>
      </c>
      <c r="G793" s="273">
        <f>ROUND(BJ64,0)</f>
        <v>5264</v>
      </c>
      <c r="H793" s="273">
        <f>ROUND(BJ65,0)</f>
        <v>286</v>
      </c>
      <c r="I793" s="273">
        <f>ROUND(BJ66,0)</f>
        <v>76823</v>
      </c>
      <c r="J793" s="273">
        <f>ROUND(BJ67,0)</f>
        <v>18281</v>
      </c>
      <c r="K793" s="273">
        <f>ROUND(BJ68,0)</f>
        <v>0</v>
      </c>
      <c r="L793" s="273">
        <f>ROUND(BJ69,0)</f>
        <v>3196</v>
      </c>
      <c r="M793" s="273">
        <f>ROUND(BJ70,0)</f>
        <v>5000</v>
      </c>
      <c r="N793" s="273"/>
      <c r="O793" s="273"/>
      <c r="P793" s="273">
        <f>IF(BJ76&gt;0,ROUND(BJ76,0),0)</f>
        <v>1241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5">
      <c r="A794" s="209" t="str">
        <f>RIGHT($C$83,3)&amp;"*"&amp;RIGHT($C$82,4)&amp;"*"&amp;BK$55&amp;"*"&amp;"A"</f>
        <v>134*2017*8530*A</v>
      </c>
      <c r="B794" s="273"/>
      <c r="C794" s="275">
        <f>ROUND(BK60,2)</f>
        <v>22.92</v>
      </c>
      <c r="D794" s="273">
        <f>ROUND(BK61,0)</f>
        <v>1007860</v>
      </c>
      <c r="E794" s="273">
        <f>ROUND(BK62,0)</f>
        <v>334481</v>
      </c>
      <c r="F794" s="273">
        <f>ROUND(BK63,0)</f>
        <v>106091</v>
      </c>
      <c r="G794" s="273">
        <f>ROUND(BK64,0)</f>
        <v>17640</v>
      </c>
      <c r="H794" s="273">
        <f>ROUND(BK65,0)</f>
        <v>1073</v>
      </c>
      <c r="I794" s="273">
        <f>ROUND(BK66,0)</f>
        <v>244728</v>
      </c>
      <c r="J794" s="273">
        <f>ROUND(BK67,0)</f>
        <v>28717</v>
      </c>
      <c r="K794" s="273">
        <f>ROUND(BK68,0)</f>
        <v>0</v>
      </c>
      <c r="L794" s="273">
        <f>ROUND(BK69,0)</f>
        <v>1736</v>
      </c>
      <c r="M794" s="273">
        <f>ROUND(BK70,0)</f>
        <v>731</v>
      </c>
      <c r="N794" s="273"/>
      <c r="O794" s="273"/>
      <c r="P794" s="273">
        <f>IF(BK76&gt;0,ROUND(BK76,0),0)</f>
        <v>3442</v>
      </c>
      <c r="Q794" s="273">
        <f>IF(BK77&gt;0,ROUND(BK77,0),0)</f>
        <v>0</v>
      </c>
      <c r="R794" s="273">
        <f>IF(BK78&gt;0,ROUND(BK78,0),0)</f>
        <v>3442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5">
      <c r="A795" s="209" t="str">
        <f>RIGHT($C$83,3)&amp;"*"&amp;RIGHT($C$82,4)&amp;"*"&amp;BL$55&amp;"*"&amp;"A"</f>
        <v>134*2017*8560*A</v>
      </c>
      <c r="B795" s="273"/>
      <c r="C795" s="275">
        <f>ROUND(BL60,2)</f>
        <v>27.08</v>
      </c>
      <c r="D795" s="273">
        <f>ROUND(BL61,0)</f>
        <v>1131387</v>
      </c>
      <c r="E795" s="273">
        <f>ROUND(BL62,0)</f>
        <v>352329</v>
      </c>
      <c r="F795" s="273">
        <f>ROUND(BL63,0)</f>
        <v>0</v>
      </c>
      <c r="G795" s="273">
        <f>ROUND(BL64,0)</f>
        <v>65274</v>
      </c>
      <c r="H795" s="273">
        <f>ROUND(BL65,0)</f>
        <v>798</v>
      </c>
      <c r="I795" s="273">
        <f>ROUND(BL66,0)</f>
        <v>56085</v>
      </c>
      <c r="J795" s="273">
        <f>ROUND(BL67,0)</f>
        <v>125956</v>
      </c>
      <c r="K795" s="273">
        <f>ROUND(BL68,0)</f>
        <v>0</v>
      </c>
      <c r="L795" s="273">
        <f>ROUND(BL69,0)</f>
        <v>14100</v>
      </c>
      <c r="M795" s="273">
        <f>ROUND(BL70,0)</f>
        <v>7900</v>
      </c>
      <c r="N795" s="273"/>
      <c r="O795" s="273"/>
      <c r="P795" s="273">
        <f>IF(BL76&gt;0,ROUND(BL76,0),0)</f>
        <v>12125</v>
      </c>
      <c r="Q795" s="273">
        <f>IF(BL77&gt;0,ROUND(BL77,0),0)</f>
        <v>0</v>
      </c>
      <c r="R795" s="273">
        <f>IF(BL78&gt;0,ROUND(BL78,0),0)</f>
        <v>12125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5">
      <c r="A796" s="209" t="str">
        <f>RIGHT($C$83,3)&amp;"*"&amp;RIGHT($C$82,4)&amp;"*"&amp;BM$55&amp;"*"&amp;"A"</f>
        <v>134*2017*8590*A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5">
      <c r="A797" s="209" t="str">
        <f>RIGHT($C$83,3)&amp;"*"&amp;RIGHT($C$82,4)&amp;"*"&amp;BN$55&amp;"*"&amp;"A"</f>
        <v>134*2017*8610*A</v>
      </c>
      <c r="B797" s="273"/>
      <c r="C797" s="275">
        <f>ROUND(BN60,2)</f>
        <v>6.86</v>
      </c>
      <c r="D797" s="273">
        <f>ROUND(BN61,0)</f>
        <v>1140585</v>
      </c>
      <c r="E797" s="273">
        <f>ROUND(BN62,0)</f>
        <v>286388</v>
      </c>
      <c r="F797" s="273">
        <f>ROUND(BN63,0)</f>
        <v>434630</v>
      </c>
      <c r="G797" s="273">
        <f>ROUND(BN64,0)</f>
        <v>8340</v>
      </c>
      <c r="H797" s="273">
        <f>ROUND(BN65,0)</f>
        <v>690</v>
      </c>
      <c r="I797" s="273">
        <f>ROUND(BN66,0)</f>
        <v>16562</v>
      </c>
      <c r="J797" s="273">
        <f>ROUND(BN67,0)</f>
        <v>13360</v>
      </c>
      <c r="K797" s="273">
        <f>ROUND(BN68,0)</f>
        <v>800</v>
      </c>
      <c r="L797" s="273">
        <f>ROUND(BN69,0)</f>
        <v>171702</v>
      </c>
      <c r="M797" s="273">
        <f>ROUND(BN70,0)</f>
        <v>0</v>
      </c>
      <c r="N797" s="273"/>
      <c r="O797" s="273"/>
      <c r="P797" s="273">
        <f>IF(BN76&gt;0,ROUND(BN76,0),0)</f>
        <v>1627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5">
      <c r="A798" s="209" t="str">
        <f>RIGHT($C$83,3)&amp;"*"&amp;RIGHT($C$82,4)&amp;"*"&amp;BO$55&amp;"*"&amp;"A"</f>
        <v>134*2017*8620*A</v>
      </c>
      <c r="B798" s="273"/>
      <c r="C798" s="275">
        <f>ROUND(BO60,2)</f>
        <v>0.68</v>
      </c>
      <c r="D798" s="273">
        <f>ROUND(BO61,0)</f>
        <v>50430</v>
      </c>
      <c r="E798" s="273">
        <f>ROUND(BO62,0)</f>
        <v>12820</v>
      </c>
      <c r="F798" s="273">
        <f>ROUND(BO63,0)</f>
        <v>1050</v>
      </c>
      <c r="G798" s="273">
        <f>ROUND(BO64,0)</f>
        <v>29941</v>
      </c>
      <c r="H798" s="273">
        <f>ROUND(BO65,0)</f>
        <v>0</v>
      </c>
      <c r="I798" s="273">
        <f>ROUND(BO66,0)</f>
        <v>33877</v>
      </c>
      <c r="J798" s="273">
        <f>ROUND(BO67,0)</f>
        <v>0</v>
      </c>
      <c r="K798" s="273">
        <f>ROUND(BO68,0)</f>
        <v>0</v>
      </c>
      <c r="L798" s="273">
        <f>ROUND(BO69,0)</f>
        <v>-4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5">
      <c r="A799" s="209" t="str">
        <f>RIGHT($C$83,3)&amp;"*"&amp;RIGHT($C$82,4)&amp;"*"&amp;BP$55&amp;"*"&amp;"A"</f>
        <v>134*2017*8630*A</v>
      </c>
      <c r="B799" s="273"/>
      <c r="C799" s="275">
        <f>ROUND(BP60,2)</f>
        <v>2</v>
      </c>
      <c r="D799" s="273">
        <f>ROUND(BP61,0)</f>
        <v>156267</v>
      </c>
      <c r="E799" s="273">
        <f>ROUND(BP62,0)</f>
        <v>43612</v>
      </c>
      <c r="F799" s="273">
        <f>ROUND(BP63,0)</f>
        <v>49593</v>
      </c>
      <c r="G799" s="273">
        <f>ROUND(BP64,0)</f>
        <v>51148</v>
      </c>
      <c r="H799" s="273">
        <f>ROUND(BP65,0)</f>
        <v>343</v>
      </c>
      <c r="I799" s="273">
        <f>ROUND(BP66,0)</f>
        <v>180004</v>
      </c>
      <c r="J799" s="273">
        <f>ROUND(BP67,0)</f>
        <v>955</v>
      </c>
      <c r="K799" s="273">
        <f>ROUND(BP68,0)</f>
        <v>0</v>
      </c>
      <c r="L799" s="273">
        <f>ROUND(BP69,0)</f>
        <v>1015</v>
      </c>
      <c r="M799" s="273">
        <f>ROUND(BP70,0)</f>
        <v>0</v>
      </c>
      <c r="N799" s="273"/>
      <c r="O799" s="273"/>
      <c r="P799" s="273">
        <f>IF(BP76&gt;0,ROUND(BP76,0),0)</f>
        <v>129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5">
      <c r="A800" s="209" t="str">
        <f>RIGHT($C$83,3)&amp;"*"&amp;RIGHT($C$82,4)&amp;"*"&amp;BQ$55&amp;"*"&amp;"A"</f>
        <v>134*2017*8640*A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5">
      <c r="A801" s="209" t="str">
        <f>RIGHT($C$83,3)&amp;"*"&amp;RIGHT($C$82,4)&amp;"*"&amp;BR$55&amp;"*"&amp;"A"</f>
        <v>134*2017*8650*A</v>
      </c>
      <c r="B801" s="273"/>
      <c r="C801" s="275">
        <f>ROUND(BR60,2)</f>
        <v>5.47</v>
      </c>
      <c r="D801" s="273">
        <f>ROUND(BR61,0)</f>
        <v>374548</v>
      </c>
      <c r="E801" s="273">
        <f>ROUND(BR62,0)</f>
        <v>147015</v>
      </c>
      <c r="F801" s="273">
        <f>ROUND(BR63,0)</f>
        <v>47596</v>
      </c>
      <c r="G801" s="273">
        <f>ROUND(BR64,0)</f>
        <v>6144</v>
      </c>
      <c r="H801" s="273">
        <f>ROUND(BR65,0)</f>
        <v>113</v>
      </c>
      <c r="I801" s="273">
        <f>ROUND(BR66,0)</f>
        <v>96423</v>
      </c>
      <c r="J801" s="273">
        <f>ROUND(BR67,0)</f>
        <v>9472</v>
      </c>
      <c r="K801" s="273">
        <f>ROUND(BR68,0)</f>
        <v>0</v>
      </c>
      <c r="L801" s="273">
        <f>ROUND(BR69,0)</f>
        <v>46487</v>
      </c>
      <c r="M801" s="273">
        <f>ROUND(BR70,0)</f>
        <v>0</v>
      </c>
      <c r="N801" s="273"/>
      <c r="O801" s="273"/>
      <c r="P801" s="273">
        <f>IF(BR76&gt;0,ROUND(BR76,0),0)</f>
        <v>1193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5">
      <c r="A802" s="209" t="str">
        <f>RIGHT($C$83,3)&amp;"*"&amp;RIGHT($C$82,4)&amp;"*"&amp;BS$55&amp;"*"&amp;"A"</f>
        <v>134*2017*8660*A</v>
      </c>
      <c r="B802" s="273"/>
      <c r="C802" s="275">
        <f>ROUND(BS60,2)</f>
        <v>1.01</v>
      </c>
      <c r="D802" s="273">
        <f>ROUND(BS61,0)</f>
        <v>47654</v>
      </c>
      <c r="E802" s="273">
        <f>ROUND(BS62,0)</f>
        <v>16968</v>
      </c>
      <c r="F802" s="273">
        <f>ROUND(BS63,0)</f>
        <v>119</v>
      </c>
      <c r="G802" s="273">
        <f>ROUND(BS64,0)</f>
        <v>1233</v>
      </c>
      <c r="H802" s="273">
        <f>ROUND(BS65,0)</f>
        <v>61</v>
      </c>
      <c r="I802" s="273">
        <f>ROUND(BS66,0)</f>
        <v>22</v>
      </c>
      <c r="J802" s="273">
        <f>ROUND(BS67,0)</f>
        <v>8340</v>
      </c>
      <c r="K802" s="273">
        <f>ROUND(BS68,0)</f>
        <v>0</v>
      </c>
      <c r="L802" s="273">
        <f>ROUND(BS69,0)</f>
        <v>4092</v>
      </c>
      <c r="M802" s="273">
        <f>ROUND(BS70,0)</f>
        <v>0</v>
      </c>
      <c r="N802" s="273"/>
      <c r="O802" s="273"/>
      <c r="P802" s="273">
        <f>IF(BS76&gt;0,ROUND(BS76,0),0)</f>
        <v>1127</v>
      </c>
      <c r="Q802" s="273">
        <f>IF(BS77&gt;0,ROUND(BS77,0),0)</f>
        <v>0</v>
      </c>
      <c r="R802" s="273">
        <f>IF(BS78&gt;0,ROUND(BS78,0),0)</f>
        <v>1127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5">
      <c r="A803" s="209" t="str">
        <f>RIGHT($C$83,3)&amp;"*"&amp;RIGHT($C$82,4)&amp;"*"&amp;BT$55&amp;"*"&amp;"A"</f>
        <v>134*2017*8670*A</v>
      </c>
      <c r="B803" s="273"/>
      <c r="C803" s="275">
        <f>ROUND(BT60,2)</f>
        <v>0.13</v>
      </c>
      <c r="D803" s="273">
        <f>ROUND(BT61,0)</f>
        <v>6441</v>
      </c>
      <c r="E803" s="273">
        <f>ROUND(BT62,0)</f>
        <v>699</v>
      </c>
      <c r="F803" s="273">
        <f>ROUND(BT63,0)</f>
        <v>0</v>
      </c>
      <c r="G803" s="273">
        <f>ROUND(BT64,0)</f>
        <v>147</v>
      </c>
      <c r="H803" s="273">
        <f>ROUND(BT65,0)</f>
        <v>329</v>
      </c>
      <c r="I803" s="273">
        <f>ROUND(BT66,0)</f>
        <v>0</v>
      </c>
      <c r="J803" s="273">
        <f>ROUND(BT67,0)</f>
        <v>2893</v>
      </c>
      <c r="K803" s="273">
        <f>ROUND(BT68,0)</f>
        <v>0</v>
      </c>
      <c r="L803" s="273">
        <f>ROUND(BT69,0)</f>
        <v>230</v>
      </c>
      <c r="M803" s="273">
        <f>ROUND(BT70,0)</f>
        <v>0</v>
      </c>
      <c r="N803" s="273"/>
      <c r="O803" s="273"/>
      <c r="P803" s="273">
        <f>IF(BT76&gt;0,ROUND(BT76,0),0)</f>
        <v>391</v>
      </c>
      <c r="Q803" s="273">
        <f>IF(BT77&gt;0,ROUND(BT77,0),0)</f>
        <v>0</v>
      </c>
      <c r="R803" s="273">
        <f>IF(BT78&gt;0,ROUND(BT78,0),0)</f>
        <v>391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5">
      <c r="A804" s="209" t="str">
        <f>RIGHT($C$83,3)&amp;"*"&amp;RIGHT($C$82,4)&amp;"*"&amp;BU$55&amp;"*"&amp;"A"</f>
        <v>134*2017*8680*A</v>
      </c>
      <c r="B804" s="273"/>
      <c r="C804" s="275">
        <f>ROUND(BU60,2)</f>
        <v>0.36</v>
      </c>
      <c r="D804" s="273">
        <f>ROUND(BU61,0)</f>
        <v>14353</v>
      </c>
      <c r="E804" s="273">
        <f>ROUND(BU62,0)</f>
        <v>1618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4129</v>
      </c>
      <c r="K804" s="273">
        <f>ROUND(BU68,0)</f>
        <v>0</v>
      </c>
      <c r="L804" s="273">
        <f>ROUND(BU69,0)</f>
        <v>5585</v>
      </c>
      <c r="M804" s="273">
        <f>ROUND(BU70,0)</f>
        <v>0</v>
      </c>
      <c r="N804" s="273"/>
      <c r="O804" s="273"/>
      <c r="P804" s="273">
        <f>IF(BU76&gt;0,ROUND(BU76,0),0)</f>
        <v>558</v>
      </c>
      <c r="Q804" s="273">
        <f>IF(BU77&gt;0,ROUND(BU77,0),0)</f>
        <v>0</v>
      </c>
      <c r="R804" s="273">
        <f>IF(BU78&gt;0,ROUND(BU78,0),0)</f>
        <v>558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5">
      <c r="A805" s="209" t="str">
        <f>RIGHT($C$83,3)&amp;"*"&amp;RIGHT($C$82,4)&amp;"*"&amp;BV$55&amp;"*"&amp;"A"</f>
        <v>134*2017*8690*A</v>
      </c>
      <c r="B805" s="273"/>
      <c r="C805" s="275">
        <f>ROUND(BV60,2)</f>
        <v>10</v>
      </c>
      <c r="D805" s="273">
        <f>ROUND(BV61,0)</f>
        <v>418182</v>
      </c>
      <c r="E805" s="273">
        <f>ROUND(BV62,0)</f>
        <v>136232</v>
      </c>
      <c r="F805" s="273">
        <f>ROUND(BV63,0)</f>
        <v>77199</v>
      </c>
      <c r="G805" s="273">
        <f>ROUND(BV64,0)</f>
        <v>14320</v>
      </c>
      <c r="H805" s="273">
        <f>ROUND(BV65,0)</f>
        <v>59</v>
      </c>
      <c r="I805" s="273">
        <f>ROUND(BV66,0)</f>
        <v>151336</v>
      </c>
      <c r="J805" s="273">
        <f>ROUND(BV67,0)</f>
        <v>11093</v>
      </c>
      <c r="K805" s="273">
        <f>ROUND(BV68,0)</f>
        <v>0</v>
      </c>
      <c r="L805" s="273">
        <f>ROUND(BV69,0)</f>
        <v>7061</v>
      </c>
      <c r="M805" s="273">
        <f>ROUND(BV70,0)</f>
        <v>2604</v>
      </c>
      <c r="N805" s="273"/>
      <c r="O805" s="273"/>
      <c r="P805" s="273">
        <f>IF(BV76&gt;0,ROUND(BV76,0),0)</f>
        <v>1426</v>
      </c>
      <c r="Q805" s="273">
        <f>IF(BV77&gt;0,ROUND(BV77,0),0)</f>
        <v>0</v>
      </c>
      <c r="R805" s="273">
        <f>IF(BV78&gt;0,ROUND(BV78,0),0)</f>
        <v>1426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5">
      <c r="A806" s="209" t="str">
        <f>RIGHT($C$83,3)&amp;"*"&amp;RIGHT($C$82,4)&amp;"*"&amp;BW$55&amp;"*"&amp;"A"</f>
        <v>134*2017*8700*A</v>
      </c>
      <c r="B806" s="273"/>
      <c r="C806" s="275">
        <f>ROUND(BW60,2)</f>
        <v>1</v>
      </c>
      <c r="D806" s="273">
        <f>ROUND(BW61,0)</f>
        <v>84012</v>
      </c>
      <c r="E806" s="273">
        <f>ROUND(BW62,0)</f>
        <v>20776</v>
      </c>
      <c r="F806" s="273">
        <f>ROUND(BW63,0)</f>
        <v>6673</v>
      </c>
      <c r="G806" s="273">
        <f>ROUND(BW64,0)</f>
        <v>2243</v>
      </c>
      <c r="H806" s="273">
        <f>ROUND(BW65,0)</f>
        <v>278</v>
      </c>
      <c r="I806" s="273">
        <f>ROUND(BW66,0)</f>
        <v>0</v>
      </c>
      <c r="J806" s="273">
        <f>ROUND(BW67,0)</f>
        <v>1820</v>
      </c>
      <c r="K806" s="273">
        <f>ROUND(BW68,0)</f>
        <v>0</v>
      </c>
      <c r="L806" s="273">
        <f>ROUND(BW69,0)</f>
        <v>1887</v>
      </c>
      <c r="M806" s="273">
        <f>ROUND(BW70,0)</f>
        <v>0</v>
      </c>
      <c r="N806" s="273"/>
      <c r="O806" s="273"/>
      <c r="P806" s="273">
        <f>IF(BW76&gt;0,ROUND(BW76,0),0)</f>
        <v>246</v>
      </c>
      <c r="Q806" s="273">
        <f>IF(BW77&gt;0,ROUND(BW77,0),0)</f>
        <v>0</v>
      </c>
      <c r="R806" s="273">
        <f>IF(BW78&gt;0,ROUND(BW78,0),0)</f>
        <v>246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5">
      <c r="A807" s="209" t="str">
        <f>RIGHT($C$83,3)&amp;"*"&amp;RIGHT($C$82,4)&amp;"*"&amp;BX$55&amp;"*"&amp;"A"</f>
        <v>134*2017*8710*A</v>
      </c>
      <c r="B807" s="273"/>
      <c r="C807" s="275">
        <f>ROUND(BX60,2)</f>
        <v>6.06</v>
      </c>
      <c r="D807" s="273">
        <f>ROUND(BX61,0)</f>
        <v>478968</v>
      </c>
      <c r="E807" s="273">
        <f>ROUND(BX62,0)</f>
        <v>121756</v>
      </c>
      <c r="F807" s="273">
        <f>ROUND(BX63,0)</f>
        <v>43780</v>
      </c>
      <c r="G807" s="273">
        <f>ROUND(BX64,0)</f>
        <v>3477</v>
      </c>
      <c r="H807" s="273">
        <f>ROUND(BX65,0)</f>
        <v>779</v>
      </c>
      <c r="I807" s="273">
        <f>ROUND(BX66,0)</f>
        <v>28592</v>
      </c>
      <c r="J807" s="273">
        <f>ROUND(BX67,0)</f>
        <v>2639</v>
      </c>
      <c r="K807" s="273">
        <f>ROUND(BX68,0)</f>
        <v>0</v>
      </c>
      <c r="L807" s="273">
        <f>ROUND(BX69,0)</f>
        <v>7528</v>
      </c>
      <c r="M807" s="273">
        <f>ROUND(BX70,0)</f>
        <v>0</v>
      </c>
      <c r="N807" s="273"/>
      <c r="O807" s="273"/>
      <c r="P807" s="273">
        <f>IF(BX76&gt;0,ROUND(BX76,0),0)</f>
        <v>200</v>
      </c>
      <c r="Q807" s="273">
        <f>IF(BX77&gt;0,ROUND(BX77,0),0)</f>
        <v>0</v>
      </c>
      <c r="R807" s="273">
        <f>IF(BX78&gt;0,ROUND(BX78,0),0)</f>
        <v>200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5">
      <c r="A808" s="209" t="str">
        <f>RIGHT($C$83,3)&amp;"*"&amp;RIGHT($C$82,4)&amp;"*"&amp;BY$55&amp;"*"&amp;"A"</f>
        <v>134*2017*8720*A</v>
      </c>
      <c r="B808" s="273"/>
      <c r="C808" s="275">
        <f>ROUND(BY60,2)</f>
        <v>2.21</v>
      </c>
      <c r="D808" s="273">
        <f>ROUND(BY61,0)</f>
        <v>191282</v>
      </c>
      <c r="E808" s="273">
        <f>ROUND(BY62,0)</f>
        <v>36095</v>
      </c>
      <c r="F808" s="273">
        <f>ROUND(BY63,0)</f>
        <v>273</v>
      </c>
      <c r="G808" s="273">
        <f>ROUND(BY64,0)</f>
        <v>9222</v>
      </c>
      <c r="H808" s="273">
        <f>ROUND(BY65,0)</f>
        <v>1424</v>
      </c>
      <c r="I808" s="273">
        <f>ROUND(BY66,0)</f>
        <v>9700</v>
      </c>
      <c r="J808" s="273">
        <f>ROUND(BY67,0)</f>
        <v>492</v>
      </c>
      <c r="K808" s="273">
        <f>ROUND(BY68,0)</f>
        <v>0</v>
      </c>
      <c r="L808" s="273">
        <f>ROUND(BY69,0)</f>
        <v>29457</v>
      </c>
      <c r="M808" s="273">
        <f>ROUND(BY70,0)</f>
        <v>0</v>
      </c>
      <c r="N808" s="273"/>
      <c r="O808" s="273"/>
      <c r="P808" s="273">
        <f>IF(BY76&gt;0,ROUND(BY76,0),0)</f>
        <v>0</v>
      </c>
      <c r="Q808" s="273">
        <f>IF(BY77&gt;0,ROUND(BY77,0),0)</f>
        <v>0</v>
      </c>
      <c r="R808" s="273">
        <f>IF(BY78&gt;0,ROUND(BY78,0),0)</f>
        <v>0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5">
      <c r="A809" s="209" t="str">
        <f>RIGHT($C$83,3)&amp;"*"&amp;RIGHT($C$82,4)&amp;"*"&amp;BZ$55&amp;"*"&amp;"A"</f>
        <v>134*2017*8730*A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5">
      <c r="A810" s="209" t="str">
        <f>RIGHT($C$83,3)&amp;"*"&amp;RIGHT($C$82,4)&amp;"*"&amp;CA$55&amp;"*"&amp;"A"</f>
        <v>134*2017*8740*A</v>
      </c>
      <c r="B810" s="273"/>
      <c r="C810" s="275">
        <f>ROUND(CA60,2)</f>
        <v>0</v>
      </c>
      <c r="D810" s="273">
        <f>ROUND(CA61,0)</f>
        <v>0</v>
      </c>
      <c r="E810" s="273">
        <f>ROUND(CA62,0)</f>
        <v>0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0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5">
      <c r="A811" s="209" t="str">
        <f>RIGHT($C$83,3)&amp;"*"&amp;RIGHT($C$82,4)&amp;"*"&amp;CB$55&amp;"*"&amp;"A"</f>
        <v>134*2017*8770*A</v>
      </c>
      <c r="B811" s="273"/>
      <c r="C811" s="275">
        <f>ROUND(CB60,2)</f>
        <v>0</v>
      </c>
      <c r="D811" s="273">
        <f>ROUND(CB61,0)</f>
        <v>85648</v>
      </c>
      <c r="E811" s="273">
        <f>ROUND(CB62,0)</f>
        <v>29615</v>
      </c>
      <c r="F811" s="273">
        <f>ROUND(CB63,0)</f>
        <v>1661</v>
      </c>
      <c r="G811" s="273">
        <f>ROUND(CB64,0)</f>
        <v>2933</v>
      </c>
      <c r="H811" s="273">
        <f>ROUND(CB65,0)</f>
        <v>0</v>
      </c>
      <c r="I811" s="273">
        <f>ROUND(CB66,0)</f>
        <v>123</v>
      </c>
      <c r="J811" s="273">
        <f>ROUND(CB67,0)</f>
        <v>5280</v>
      </c>
      <c r="K811" s="273">
        <f>ROUND(CB68,0)</f>
        <v>0</v>
      </c>
      <c r="L811" s="273">
        <f>ROUND(CB69,0)</f>
        <v>2217</v>
      </c>
      <c r="M811" s="273">
        <f>ROUND(CB70,0)</f>
        <v>98644</v>
      </c>
      <c r="N811" s="273"/>
      <c r="O811" s="273"/>
      <c r="P811" s="273">
        <f>IF(CB76&gt;0,ROUND(CB76,0),0)</f>
        <v>643</v>
      </c>
      <c r="Q811" s="273">
        <f>IF(CB77&gt;0,ROUND(CB77,0),0)</f>
        <v>0</v>
      </c>
      <c r="R811" s="273">
        <f>IF(CB78&gt;0,ROUND(CB78,0),0)</f>
        <v>643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5">
      <c r="A812" s="209" t="str">
        <f>RIGHT($C$83,3)&amp;"*"&amp;RIGHT($C$82,4)&amp;"*"&amp;CC$55&amp;"*"&amp;"A"</f>
        <v>134*2017*8790*A</v>
      </c>
      <c r="B812" s="273"/>
      <c r="C812" s="275">
        <f>ROUND(CC60,2)</f>
        <v>8.2899999999999991</v>
      </c>
      <c r="D812" s="273">
        <f>ROUND(CC61,0)</f>
        <v>362022</v>
      </c>
      <c r="E812" s="273">
        <f>ROUND(CC62,0)</f>
        <v>17530</v>
      </c>
      <c r="F812" s="273">
        <f>ROUND(CC63,0)</f>
        <v>121347</v>
      </c>
      <c r="G812" s="273">
        <f>ROUND(CC64,0)</f>
        <v>7343</v>
      </c>
      <c r="H812" s="273">
        <f>ROUND(CC65,0)</f>
        <v>120224</v>
      </c>
      <c r="I812" s="273">
        <f>ROUND(CC66,0)</f>
        <v>749524</v>
      </c>
      <c r="J812" s="273">
        <f>ROUND(CC67,0)</f>
        <v>757469</v>
      </c>
      <c r="K812" s="273">
        <f>ROUND(CC68,0)</f>
        <v>0</v>
      </c>
      <c r="L812" s="273">
        <f>ROUND(CC69,0)</f>
        <v>1363133</v>
      </c>
      <c r="M812" s="273">
        <f>ROUND(CC70,0)</f>
        <v>160343</v>
      </c>
      <c r="N812" s="273"/>
      <c r="O812" s="273"/>
      <c r="P812" s="273">
        <f>IF(CC76&gt;0,ROUND(CC76,0),0)</f>
        <v>44494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5">
      <c r="A813" s="209" t="str">
        <f>RIGHT($C$83,3)&amp;"*"&amp;RIGHT($C$82,4)&amp;"*"&amp;"9000"&amp;"*"&amp;"A"</f>
        <v>134*2017*9000*A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0</v>
      </c>
      <c r="V813" s="274">
        <f>ROUND(CD70,0)</f>
        <v>0</v>
      </c>
      <c r="W813" s="273">
        <f>ROUND(CE72,0)</f>
        <v>3450270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5">
      <c r="B815" s="277" t="s">
        <v>1004</v>
      </c>
      <c r="C815" s="278">
        <f t="shared" ref="C815:K815" si="22">SUM(C734:C813)</f>
        <v>568.4</v>
      </c>
      <c r="D815" s="274">
        <f t="shared" si="22"/>
        <v>42566971</v>
      </c>
      <c r="E815" s="274">
        <f t="shared" si="22"/>
        <v>10326815</v>
      </c>
      <c r="F815" s="274">
        <f t="shared" si="22"/>
        <v>3765646</v>
      </c>
      <c r="G815" s="274">
        <f t="shared" si="22"/>
        <v>23206228</v>
      </c>
      <c r="H815" s="274">
        <f t="shared" si="22"/>
        <v>1021482</v>
      </c>
      <c r="I815" s="274">
        <f t="shared" si="22"/>
        <v>7414434</v>
      </c>
      <c r="J815" s="274">
        <f t="shared" si="22"/>
        <v>4101219</v>
      </c>
      <c r="K815" s="274">
        <f t="shared" si="22"/>
        <v>756750</v>
      </c>
      <c r="L815" s="274">
        <f>SUM(L734:L813)+SUM(U734:U813)</f>
        <v>2122032</v>
      </c>
      <c r="M815" s="274">
        <f>SUM(M734:M813)+SUM(V734:V813)</f>
        <v>1250241</v>
      </c>
      <c r="N815" s="274">
        <f t="shared" ref="N815:Y815" si="23">SUM(N734:N813)</f>
        <v>230567913</v>
      </c>
      <c r="O815" s="274">
        <f t="shared" si="23"/>
        <v>72319293</v>
      </c>
      <c r="P815" s="274">
        <f t="shared" si="23"/>
        <v>205925</v>
      </c>
      <c r="Q815" s="274">
        <f t="shared" si="23"/>
        <v>28967</v>
      </c>
      <c r="R815" s="274">
        <f t="shared" si="23"/>
        <v>126642</v>
      </c>
      <c r="S815" s="274">
        <f t="shared" si="23"/>
        <v>470932</v>
      </c>
      <c r="T815" s="278">
        <f t="shared" si="23"/>
        <v>120.33000000000001</v>
      </c>
      <c r="U815" s="274">
        <f t="shared" si="23"/>
        <v>0</v>
      </c>
      <c r="V815" s="274">
        <f t="shared" si="23"/>
        <v>0</v>
      </c>
      <c r="W815" s="274">
        <f t="shared" si="23"/>
        <v>3450270</v>
      </c>
      <c r="X815" s="274">
        <f t="shared" si="23"/>
        <v>0</v>
      </c>
      <c r="Y815" s="274">
        <f t="shared" si="23"/>
        <v>22070413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5">
      <c r="B816" s="274" t="s">
        <v>1005</v>
      </c>
      <c r="C816" s="278">
        <f>CE60</f>
        <v>568.4</v>
      </c>
      <c r="D816" s="274">
        <f>CE61</f>
        <v>42566967.879999988</v>
      </c>
      <c r="E816" s="274">
        <f>CE62</f>
        <v>10326815</v>
      </c>
      <c r="F816" s="274">
        <f>CE63</f>
        <v>3765646.3799999994</v>
      </c>
      <c r="G816" s="274">
        <f>CE64</f>
        <v>23206225.59</v>
      </c>
      <c r="H816" s="277">
        <f>CE65</f>
        <v>1021482.1299999999</v>
      </c>
      <c r="I816" s="277">
        <f>CE66</f>
        <v>7414433.1699999999</v>
      </c>
      <c r="J816" s="277">
        <f>CE67</f>
        <v>4101219</v>
      </c>
      <c r="K816" s="277">
        <f>CE68</f>
        <v>756749.04000000015</v>
      </c>
      <c r="L816" s="277">
        <f>CE69</f>
        <v>2122031.3600000003</v>
      </c>
      <c r="M816" s="277">
        <f>CE70</f>
        <v>1250240.1300000001</v>
      </c>
      <c r="N816" s="274">
        <f>CE75</f>
        <v>230567911.79000002</v>
      </c>
      <c r="O816" s="274">
        <f>CE73</f>
        <v>72319292.539999992</v>
      </c>
      <c r="P816" s="274">
        <f>CE76</f>
        <v>205925</v>
      </c>
      <c r="Q816" s="274">
        <f>CE77</f>
        <v>28967</v>
      </c>
      <c r="R816" s="274">
        <f>CE78</f>
        <v>126642</v>
      </c>
      <c r="S816" s="274">
        <f>CE79</f>
        <v>470932</v>
      </c>
      <c r="T816" s="278">
        <f>CE80</f>
        <v>120.33000000000001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22070412.390000001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42566968</v>
      </c>
      <c r="E817" s="180">
        <f>C379</f>
        <v>10326817</v>
      </c>
      <c r="F817" s="180">
        <f>C380</f>
        <v>3832988</v>
      </c>
      <c r="G817" s="238">
        <f>C381</f>
        <v>23206226</v>
      </c>
      <c r="H817" s="238">
        <f>C382</f>
        <v>1021482</v>
      </c>
      <c r="I817" s="238">
        <f>C383</f>
        <v>7414433</v>
      </c>
      <c r="J817" s="238">
        <f>C384</f>
        <v>4101224</v>
      </c>
      <c r="K817" s="238">
        <f>C385</f>
        <v>756749</v>
      </c>
      <c r="L817" s="238">
        <f>C386+C387+C388+C389</f>
        <v>2147348</v>
      </c>
      <c r="M817" s="238">
        <f>C370</f>
        <v>926274</v>
      </c>
      <c r="N817" s="180">
        <f>D361</f>
        <v>230567912</v>
      </c>
      <c r="O817" s="180">
        <f>C359</f>
        <v>72319293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Island Hospital Year End Report</dc:title>
  <dc:subject>2018 Island Hospital Year End Report</dc:subject>
  <dc:creator>Washington State Dept of Health - HSQA - Community Health Systems</dc:creator>
  <cp:keywords>hospital financial reports</cp:keywords>
  <cp:lastModifiedBy>Huyck, Randall  (DOH)</cp:lastModifiedBy>
  <cp:lastPrinted>2019-04-26T15:44:22Z</cp:lastPrinted>
  <dcterms:created xsi:type="dcterms:W3CDTF">1999-06-02T22:01:56Z</dcterms:created>
  <dcterms:modified xsi:type="dcterms:W3CDTF">2019-04-30T15:38:02Z</dcterms:modified>
</cp:coreProperties>
</file>