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EB74FF9E-B8E9-43E8-ACB9-1739305F18B8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9" i="10" l="1"/>
  <c r="C392" i="1" l="1"/>
  <c r="C253" i="1"/>
  <c r="C325" i="1" l="1"/>
  <c r="C327" i="1"/>
  <c r="C325" i="10"/>
  <c r="C269" i="1"/>
  <c r="C226" i="1" l="1"/>
  <c r="C203" i="1"/>
  <c r="C200" i="1"/>
  <c r="C197" i="1"/>
  <c r="B197" i="1"/>
  <c r="C180" i="1"/>
  <c r="C179" i="1"/>
  <c r="C176" i="1"/>
  <c r="C175" i="1"/>
  <c r="C171" i="1" l="1"/>
  <c r="C168" i="1"/>
  <c r="D142" i="1" l="1"/>
  <c r="D141" i="1"/>
  <c r="AJ80" i="1"/>
  <c r="V80" i="1"/>
  <c r="Y80" i="1"/>
  <c r="P80" i="1"/>
  <c r="CC47" i="1" l="1"/>
  <c r="CC60" i="1"/>
  <c r="CC61" i="1"/>
  <c r="AV64" i="1"/>
  <c r="CC64" i="1"/>
  <c r="AV69" i="1"/>
  <c r="CC69" i="1"/>
  <c r="AV70" i="1"/>
  <c r="CC70" i="1"/>
  <c r="U74" i="1"/>
  <c r="AV74" i="1"/>
  <c r="AJ74" i="1"/>
  <c r="AC74" i="1" l="1"/>
  <c r="AI74" i="1"/>
  <c r="Z74" i="1"/>
  <c r="AB74" i="1"/>
  <c r="Y74" i="1"/>
  <c r="AA74" i="1"/>
  <c r="V74" i="1"/>
  <c r="P74" i="1"/>
  <c r="E74" i="1"/>
  <c r="U73" i="1"/>
  <c r="AJ73" i="1"/>
  <c r="AC73" i="1"/>
  <c r="Z73" i="1"/>
  <c r="AB73" i="1"/>
  <c r="Y73" i="1"/>
  <c r="AA73" i="1"/>
  <c r="V73" i="1"/>
  <c r="O73" i="1"/>
  <c r="P73" i="1"/>
  <c r="E73" i="1"/>
  <c r="AJ70" i="1"/>
  <c r="CB70" i="1"/>
  <c r="BD70" i="1"/>
  <c r="CB69" i="1"/>
  <c r="AJ69" i="1"/>
  <c r="AC69" i="1"/>
  <c r="Y69" i="1"/>
  <c r="P69" i="1"/>
  <c r="AJ68" i="1"/>
  <c r="CC66" i="1" l="1"/>
  <c r="AJ66" i="1"/>
  <c r="AC66" i="1"/>
  <c r="Y66" i="1"/>
  <c r="P66" i="1"/>
  <c r="CC65" i="1"/>
  <c r="AJ65" i="1"/>
  <c r="Y65" i="1"/>
  <c r="U65" i="1"/>
  <c r="P65" i="1"/>
  <c r="AY64" i="1"/>
  <c r="AY61" i="1"/>
  <c r="AY60" i="1"/>
  <c r="AY47" i="1"/>
  <c r="CB64" i="1" l="1"/>
  <c r="AJ64" i="1"/>
  <c r="AC64" i="1"/>
  <c r="Y64" i="1"/>
  <c r="AA64" i="1"/>
  <c r="U64" i="1"/>
  <c r="R64" i="1"/>
  <c r="P64" i="1"/>
  <c r="CC63" i="1"/>
  <c r="AJ63" i="1"/>
  <c r="U63" i="1"/>
  <c r="AG63" i="1"/>
  <c r="AL63" i="1"/>
  <c r="AI63" i="1"/>
  <c r="Z63" i="1"/>
  <c r="Y63" i="1"/>
  <c r="O63" i="1"/>
  <c r="P63" i="1"/>
  <c r="E63" i="1"/>
  <c r="CB61" i="1"/>
  <c r="AJ61" i="1"/>
  <c r="AC61" i="1"/>
  <c r="Y61" i="1"/>
  <c r="P61" i="1"/>
  <c r="AJ47" i="1"/>
  <c r="AP47" i="1"/>
  <c r="BK60" i="1" l="1"/>
  <c r="AJ60" i="1"/>
  <c r="AC60" i="1"/>
  <c r="AI60" i="1"/>
  <c r="Y60" i="1"/>
  <c r="P60" i="1"/>
  <c r="D139" i="1"/>
  <c r="D138" i="1"/>
  <c r="B139" i="1"/>
  <c r="B138" i="1"/>
  <c r="AJ59" i="1"/>
  <c r="AE59" i="1"/>
  <c r="AC59" i="1"/>
  <c r="Y59" i="1"/>
  <c r="O59" i="1"/>
  <c r="E59" i="1"/>
  <c r="CC51" i="1" l="1"/>
  <c r="AJ51" i="1"/>
  <c r="AC51" i="1"/>
  <c r="AI51" i="1"/>
  <c r="Y51" i="1"/>
  <c r="P51" i="1"/>
  <c r="O51" i="1"/>
  <c r="AG47" i="1"/>
  <c r="AC47" i="1"/>
  <c r="AE47" i="1"/>
  <c r="AI47" i="1"/>
  <c r="Y47" i="1"/>
  <c r="P47" i="1"/>
  <c r="C615" i="10" l="1"/>
  <c r="E550" i="10"/>
  <c r="E546" i="10"/>
  <c r="F546" i="10"/>
  <c r="H545" i="10"/>
  <c r="F545" i="10"/>
  <c r="E545" i="10"/>
  <c r="F544" i="10"/>
  <c r="E544" i="10"/>
  <c r="E540" i="10"/>
  <c r="E539" i="10"/>
  <c r="H538" i="10"/>
  <c r="E538" i="10"/>
  <c r="F538" i="10"/>
  <c r="E537" i="10"/>
  <c r="F537" i="10"/>
  <c r="H536" i="10"/>
  <c r="F536" i="10"/>
  <c r="E536" i="10"/>
  <c r="F535" i="10"/>
  <c r="H534" i="10"/>
  <c r="F534" i="10"/>
  <c r="E534" i="10"/>
  <c r="E533" i="10"/>
  <c r="H533" i="10"/>
  <c r="E532" i="10"/>
  <c r="E531" i="10"/>
  <c r="E530" i="10"/>
  <c r="F529" i="10"/>
  <c r="F528" i="10"/>
  <c r="E528" i="10"/>
  <c r="F527" i="10"/>
  <c r="E527" i="10"/>
  <c r="F526" i="10"/>
  <c r="E526" i="10"/>
  <c r="F525" i="10"/>
  <c r="E525" i="10"/>
  <c r="H525" i="10"/>
  <c r="E523" i="10"/>
  <c r="F522" i="10"/>
  <c r="F521" i="10"/>
  <c r="F520" i="10"/>
  <c r="E520" i="10"/>
  <c r="E519" i="10"/>
  <c r="E517" i="10"/>
  <c r="E516" i="10"/>
  <c r="F516" i="10"/>
  <c r="F515" i="10"/>
  <c r="E515" i="10"/>
  <c r="F514" i="10"/>
  <c r="E514" i="10"/>
  <c r="F513" i="10"/>
  <c r="H513" i="10"/>
  <c r="F511" i="10"/>
  <c r="E511" i="10"/>
  <c r="F510" i="10"/>
  <c r="E510" i="10"/>
  <c r="F509" i="10"/>
  <c r="E509" i="10"/>
  <c r="F508" i="10"/>
  <c r="E507" i="10"/>
  <c r="H507" i="10"/>
  <c r="E506" i="10"/>
  <c r="E505" i="10"/>
  <c r="E504" i="10"/>
  <c r="F503" i="10"/>
  <c r="E503" i="10"/>
  <c r="H502" i="10"/>
  <c r="F502" i="10"/>
  <c r="E502" i="10"/>
  <c r="H501" i="10"/>
  <c r="F501" i="10"/>
  <c r="E501" i="10"/>
  <c r="H500" i="10"/>
  <c r="F500" i="10"/>
  <c r="E500" i="10"/>
  <c r="E499" i="10"/>
  <c r="H499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92" i="10"/>
  <c r="C389" i="10"/>
  <c r="D372" i="10"/>
  <c r="C364" i="10"/>
  <c r="C445" i="10" s="1"/>
  <c r="D361" i="10"/>
  <c r="B465" i="10" s="1"/>
  <c r="D329" i="10"/>
  <c r="C327" i="10"/>
  <c r="D328" i="10" s="1"/>
  <c r="D319" i="10"/>
  <c r="D314" i="10"/>
  <c r="C288" i="10"/>
  <c r="D290" i="10" s="1"/>
  <c r="D283" i="10"/>
  <c r="C269" i="10"/>
  <c r="B470" i="10" s="1"/>
  <c r="D265" i="10"/>
  <c r="C253" i="10"/>
  <c r="D260" i="10" s="1"/>
  <c r="D240" i="10"/>
  <c r="B447" i="10" s="1"/>
  <c r="D236" i="10"/>
  <c r="B446" i="10" s="1"/>
  <c r="C226" i="10"/>
  <c r="C224" i="10"/>
  <c r="D229" i="10" s="1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3" i="10"/>
  <c r="E203" i="10" s="1"/>
  <c r="C475" i="10" s="1"/>
  <c r="E202" i="10"/>
  <c r="C474" i="10" s="1"/>
  <c r="E201" i="10"/>
  <c r="C200" i="10"/>
  <c r="E200" i="10" s="1"/>
  <c r="E199" i="10"/>
  <c r="C472" i="10" s="1"/>
  <c r="E198" i="10"/>
  <c r="C471" i="10" s="1"/>
  <c r="C197" i="10"/>
  <c r="B197" i="10"/>
  <c r="B204" i="10" s="1"/>
  <c r="E196" i="10"/>
  <c r="C469" i="10" s="1"/>
  <c r="E195" i="10"/>
  <c r="C468" i="10" s="1"/>
  <c r="C188" i="10"/>
  <c r="D190" i="10" s="1"/>
  <c r="D437" i="10" s="1"/>
  <c r="D186" i="10"/>
  <c r="D436" i="10" s="1"/>
  <c r="C180" i="10"/>
  <c r="C179" i="10"/>
  <c r="D181" i="10" s="1"/>
  <c r="D177" i="10"/>
  <c r="D434" i="10" s="1"/>
  <c r="C176" i="10"/>
  <c r="C175" i="10"/>
  <c r="C171" i="10"/>
  <c r="C170" i="10"/>
  <c r="C169" i="10"/>
  <c r="C168" i="10"/>
  <c r="C167" i="10"/>
  <c r="C166" i="10"/>
  <c r="C165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E142" i="10" s="1"/>
  <c r="D141" i="10"/>
  <c r="E141" i="10" s="1"/>
  <c r="E140" i="10"/>
  <c r="D139" i="10"/>
  <c r="B139" i="10"/>
  <c r="D138" i="10"/>
  <c r="B138" i="10"/>
  <c r="E127" i="10"/>
  <c r="AJ80" i="10"/>
  <c r="AG80" i="10"/>
  <c r="AC80" i="10"/>
  <c r="AA80" i="10"/>
  <c r="Z80" i="10"/>
  <c r="Y80" i="10"/>
  <c r="R80" i="10"/>
  <c r="CF79" i="10"/>
  <c r="CE79" i="10"/>
  <c r="J612" i="10" s="1"/>
  <c r="CE78" i="10"/>
  <c r="I612" i="10" s="1"/>
  <c r="CE77" i="10"/>
  <c r="G612" i="10" s="1"/>
  <c r="CC76" i="10"/>
  <c r="CB76" i="10"/>
  <c r="BS76" i="10"/>
  <c r="BN76" i="10"/>
  <c r="BL76" i="10"/>
  <c r="BH76" i="10"/>
  <c r="BF76" i="10"/>
  <c r="BE76" i="10"/>
  <c r="AP76" i="10"/>
  <c r="AJ76" i="10"/>
  <c r="AC76" i="10"/>
  <c r="AB76" i="10"/>
  <c r="Y76" i="10"/>
  <c r="U76" i="10"/>
  <c r="E76" i="10"/>
  <c r="AU75" i="10"/>
  <c r="AT75" i="10"/>
  <c r="AS75" i="10"/>
  <c r="AR75" i="10"/>
  <c r="AQ75" i="10"/>
  <c r="AO75" i="10"/>
  <c r="AN75" i="10"/>
  <c r="AM75" i="10"/>
  <c r="AK75" i="10"/>
  <c r="AH75" i="10"/>
  <c r="AF75" i="10"/>
  <c r="AD75" i="10"/>
  <c r="T75" i="10"/>
  <c r="S75" i="10"/>
  <c r="N75" i="10"/>
  <c r="M75" i="10"/>
  <c r="L75" i="10"/>
  <c r="K75" i="10"/>
  <c r="J75" i="10"/>
  <c r="I75" i="10"/>
  <c r="H75" i="10"/>
  <c r="G75" i="10"/>
  <c r="F75" i="10"/>
  <c r="D75" i="10"/>
  <c r="AV74" i="10"/>
  <c r="AV75" i="10" s="1"/>
  <c r="AP74" i="10"/>
  <c r="AP75" i="10" s="1"/>
  <c r="AL74" i="10"/>
  <c r="AJ74" i="10"/>
  <c r="AI74" i="10"/>
  <c r="AI75" i="10" s="1"/>
  <c r="AH74" i="10"/>
  <c r="AG74" i="10"/>
  <c r="AE74" i="10"/>
  <c r="AE75" i="10" s="1"/>
  <c r="AC74" i="10"/>
  <c r="AB74" i="10"/>
  <c r="AA74" i="10"/>
  <c r="Z74" i="10"/>
  <c r="Y74" i="10"/>
  <c r="X74" i="10"/>
  <c r="W74" i="10"/>
  <c r="V74" i="10"/>
  <c r="U74" i="10"/>
  <c r="R74" i="10"/>
  <c r="Q74" i="10"/>
  <c r="P74" i="10"/>
  <c r="O74" i="10"/>
  <c r="E74" i="10"/>
  <c r="AL73" i="10"/>
  <c r="AJ73" i="10"/>
  <c r="AJ75" i="10" s="1"/>
  <c r="AG73" i="10"/>
  <c r="AG75" i="10" s="1"/>
  <c r="AC73" i="10"/>
  <c r="AB73" i="10"/>
  <c r="AA73" i="10"/>
  <c r="Z73" i="10"/>
  <c r="Z75" i="10" s="1"/>
  <c r="Y73" i="10"/>
  <c r="Y75" i="10" s="1"/>
  <c r="X73" i="10"/>
  <c r="X75" i="10" s="1"/>
  <c r="W73" i="10"/>
  <c r="V73" i="10"/>
  <c r="U73" i="10"/>
  <c r="U75" i="10" s="1"/>
  <c r="R73" i="10"/>
  <c r="Q73" i="10"/>
  <c r="P73" i="10"/>
  <c r="P75" i="10" s="1"/>
  <c r="O73" i="10"/>
  <c r="E73" i="10"/>
  <c r="C73" i="10"/>
  <c r="C75" i="10" s="1"/>
  <c r="CD71" i="10"/>
  <c r="C575" i="10" s="1"/>
  <c r="CC70" i="10"/>
  <c r="CB70" i="10"/>
  <c r="BY70" i="10"/>
  <c r="BT70" i="10"/>
  <c r="BL70" i="10"/>
  <c r="BK70" i="10"/>
  <c r="BJ70" i="10"/>
  <c r="BF70" i="10"/>
  <c r="BE70" i="10"/>
  <c r="BD70" i="10"/>
  <c r="AY70" i="10"/>
  <c r="AV70" i="10"/>
  <c r="AP70" i="10"/>
  <c r="AJ70" i="10"/>
  <c r="AI70" i="10"/>
  <c r="AG70" i="10"/>
  <c r="AE70" i="10"/>
  <c r="AC70" i="10"/>
  <c r="AB70" i="10"/>
  <c r="AA70" i="10"/>
  <c r="Z70" i="10"/>
  <c r="P70" i="10"/>
  <c r="E70" i="10"/>
  <c r="C70" i="10"/>
  <c r="CC69" i="10"/>
  <c r="CB69" i="10"/>
  <c r="BY69" i="10"/>
  <c r="BX69" i="10"/>
  <c r="BW69" i="10"/>
  <c r="BT69" i="10"/>
  <c r="BS69" i="10"/>
  <c r="BR69" i="10"/>
  <c r="BP69" i="10"/>
  <c r="BN69" i="10"/>
  <c r="BL69" i="10"/>
  <c r="BK69" i="10"/>
  <c r="BJ69" i="10"/>
  <c r="BH69" i="10"/>
  <c r="BF69" i="10"/>
  <c r="BE69" i="10"/>
  <c r="BD69" i="10"/>
  <c r="AY69" i="10"/>
  <c r="AP69" i="10"/>
  <c r="AL69" i="10"/>
  <c r="AJ69" i="10"/>
  <c r="AI69" i="10"/>
  <c r="AH69" i="10"/>
  <c r="AG69" i="10"/>
  <c r="AE69" i="10"/>
  <c r="AC69" i="10"/>
  <c r="AB69" i="10"/>
  <c r="Z69" i="10"/>
  <c r="Y69" i="10"/>
  <c r="U69" i="10"/>
  <c r="S69" i="10"/>
  <c r="Q69" i="10"/>
  <c r="P69" i="10"/>
  <c r="O69" i="10"/>
  <c r="BN68" i="10"/>
  <c r="BH68" i="10"/>
  <c r="BE68" i="10"/>
  <c r="AJ68" i="10"/>
  <c r="AI68" i="10"/>
  <c r="AE68" i="10"/>
  <c r="AC68" i="10"/>
  <c r="U68" i="10"/>
  <c r="P68" i="10"/>
  <c r="E68" i="10"/>
  <c r="CC66" i="10"/>
  <c r="BY66" i="10"/>
  <c r="BX66" i="10"/>
  <c r="BV66" i="10"/>
  <c r="BR66" i="10"/>
  <c r="BP66" i="10"/>
  <c r="BO66" i="10"/>
  <c r="BN66" i="10"/>
  <c r="BL66" i="10"/>
  <c r="BK66" i="10"/>
  <c r="BJ66" i="10"/>
  <c r="BH66" i="10"/>
  <c r="BF66" i="10"/>
  <c r="BE66" i="10"/>
  <c r="BD66" i="10"/>
  <c r="BA66" i="10"/>
  <c r="AY66" i="10"/>
  <c r="AX66" i="10"/>
  <c r="AP66" i="10"/>
  <c r="AJ66" i="10"/>
  <c r="AI66" i="10"/>
  <c r="AH66" i="10"/>
  <c r="AG66" i="10"/>
  <c r="AC66" i="10"/>
  <c r="AB66" i="10"/>
  <c r="AA66" i="10"/>
  <c r="Z66" i="10"/>
  <c r="Y66" i="10"/>
  <c r="X66" i="10"/>
  <c r="W66" i="10"/>
  <c r="V66" i="10"/>
  <c r="U66" i="10"/>
  <c r="S66" i="10"/>
  <c r="R66" i="10"/>
  <c r="Q66" i="10"/>
  <c r="P66" i="10"/>
  <c r="CC65" i="10"/>
  <c r="BY65" i="10"/>
  <c r="BX65" i="10"/>
  <c r="BT65" i="10"/>
  <c r="BN65" i="10"/>
  <c r="BL65" i="10"/>
  <c r="BH65" i="10"/>
  <c r="BF65" i="10"/>
  <c r="BE65" i="10"/>
  <c r="BD65" i="10"/>
  <c r="AY65" i="10"/>
  <c r="AP65" i="10"/>
  <c r="AJ65" i="10"/>
  <c r="AI65" i="10"/>
  <c r="AH65" i="10"/>
  <c r="AG65" i="10"/>
  <c r="AE65" i="10"/>
  <c r="AC65" i="10"/>
  <c r="AB65" i="10"/>
  <c r="Y65" i="10"/>
  <c r="X65" i="10"/>
  <c r="P65" i="10"/>
  <c r="E65" i="10"/>
  <c r="CC64" i="10"/>
  <c r="CB64" i="10"/>
  <c r="BY64" i="10"/>
  <c r="BX64" i="10"/>
  <c r="BW64" i="10"/>
  <c r="BV64" i="10"/>
  <c r="BT64" i="10"/>
  <c r="BS64" i="10"/>
  <c r="BR64" i="10"/>
  <c r="BP64" i="10"/>
  <c r="BO64" i="10"/>
  <c r="BN64" i="10"/>
  <c r="BL64" i="10"/>
  <c r="BK64" i="10"/>
  <c r="BJ64" i="10"/>
  <c r="BH64" i="10"/>
  <c r="BF64" i="10"/>
  <c r="BE64" i="10"/>
  <c r="BD64" i="10"/>
  <c r="AY64" i="10"/>
  <c r="AR64" i="10"/>
  <c r="AP64" i="10"/>
  <c r="AL64" i="10"/>
  <c r="AJ64" i="10"/>
  <c r="AI64" i="10"/>
  <c r="AH64" i="10"/>
  <c r="AG64" i="10"/>
  <c r="AE64" i="10"/>
  <c r="AC64" i="10"/>
  <c r="AB64" i="10"/>
  <c r="AA64" i="10"/>
  <c r="Z64" i="10"/>
  <c r="Y64" i="10"/>
  <c r="W64" i="10"/>
  <c r="V64" i="10"/>
  <c r="U64" i="10"/>
  <c r="S64" i="10"/>
  <c r="R64" i="10"/>
  <c r="Q64" i="10"/>
  <c r="P64" i="10"/>
  <c r="O64" i="10"/>
  <c r="J64" i="10"/>
  <c r="E64" i="10"/>
  <c r="CC63" i="10"/>
  <c r="CB63" i="10"/>
  <c r="BY63" i="10"/>
  <c r="BX63" i="10"/>
  <c r="BR63" i="10"/>
  <c r="BP63" i="10"/>
  <c r="BN63" i="10"/>
  <c r="BL63" i="10"/>
  <c r="BK63" i="10"/>
  <c r="BJ63" i="10"/>
  <c r="AY63" i="10"/>
  <c r="AJ63" i="10"/>
  <c r="AI63" i="10"/>
  <c r="AG63" i="10"/>
  <c r="AE63" i="10"/>
  <c r="AA63" i="10"/>
  <c r="Z63" i="10"/>
  <c r="Y63" i="10"/>
  <c r="U63" i="10"/>
  <c r="P63" i="10"/>
  <c r="O63" i="10"/>
  <c r="E63" i="10"/>
  <c r="CC61" i="10"/>
  <c r="CB61" i="10"/>
  <c r="BY61" i="10"/>
  <c r="BR61" i="10"/>
  <c r="BP61" i="10"/>
  <c r="BO61" i="10"/>
  <c r="BN61" i="10"/>
  <c r="BL61" i="10"/>
  <c r="BK61" i="10"/>
  <c r="BH61" i="10"/>
  <c r="BF61" i="10"/>
  <c r="BE61" i="10"/>
  <c r="AP61" i="10"/>
  <c r="AL61" i="10"/>
  <c r="AJ61" i="10"/>
  <c r="AI61" i="10"/>
  <c r="AH61" i="10"/>
  <c r="AG61" i="10"/>
  <c r="AE61" i="10"/>
  <c r="AC61" i="10"/>
  <c r="AB61" i="10"/>
  <c r="AA61" i="10"/>
  <c r="Z61" i="10"/>
  <c r="Y61" i="10"/>
  <c r="X61" i="10"/>
  <c r="W61" i="10"/>
  <c r="V61" i="10"/>
  <c r="U61" i="10"/>
  <c r="S61" i="10"/>
  <c r="R61" i="10"/>
  <c r="Q61" i="10"/>
  <c r="P61" i="10"/>
  <c r="CC60" i="10"/>
  <c r="BY60" i="10"/>
  <c r="BX60" i="10"/>
  <c r="BU60" i="10"/>
  <c r="BT60" i="10"/>
  <c r="BS60" i="10"/>
  <c r="BR60" i="10"/>
  <c r="BP60" i="10"/>
  <c r="BO60" i="10"/>
  <c r="BL60" i="10"/>
  <c r="BK60" i="10"/>
  <c r="BJ60" i="10"/>
  <c r="BH60" i="10"/>
  <c r="BF60" i="10"/>
  <c r="BE60" i="10"/>
  <c r="BD60" i="10"/>
  <c r="AY60" i="10"/>
  <c r="AP60" i="10"/>
  <c r="AL60" i="10"/>
  <c r="AJ60" i="10"/>
  <c r="AI60" i="10"/>
  <c r="AH60" i="10"/>
  <c r="AG60" i="10"/>
  <c r="AE60" i="10"/>
  <c r="AC60" i="10"/>
  <c r="AA60" i="10"/>
  <c r="Z60" i="10"/>
  <c r="Y60" i="10"/>
  <c r="X60" i="10"/>
  <c r="W60" i="10"/>
  <c r="V60" i="10"/>
  <c r="U60" i="10"/>
  <c r="S60" i="10"/>
  <c r="R60" i="10"/>
  <c r="Q60" i="10"/>
  <c r="P60" i="10"/>
  <c r="O60" i="10"/>
  <c r="AP59" i="10"/>
  <c r="E535" i="10" s="1"/>
  <c r="AJ59" i="10"/>
  <c r="E529" i="10" s="1"/>
  <c r="AE59" i="10"/>
  <c r="E524" i="10" s="1"/>
  <c r="AC59" i="10"/>
  <c r="E522" i="10" s="1"/>
  <c r="Y59" i="10"/>
  <c r="E518" i="10" s="1"/>
  <c r="E508" i="10"/>
  <c r="E59" i="10"/>
  <c r="B53" i="10"/>
  <c r="CC51" i="10"/>
  <c r="BY51" i="10"/>
  <c r="BX51" i="10"/>
  <c r="BV51" i="10"/>
  <c r="BN51" i="10"/>
  <c r="BL51" i="10"/>
  <c r="BK51" i="10"/>
  <c r="BJ51" i="10"/>
  <c r="BH51" i="10"/>
  <c r="BF51" i="10"/>
  <c r="BE51" i="10"/>
  <c r="BD51" i="10"/>
  <c r="AY51" i="10"/>
  <c r="AL51" i="10"/>
  <c r="AJ51" i="10"/>
  <c r="AI51" i="10"/>
  <c r="AH51" i="10"/>
  <c r="AG51" i="10"/>
  <c r="AE51" i="10"/>
  <c r="AC51" i="10"/>
  <c r="AB51" i="10"/>
  <c r="AA51" i="10"/>
  <c r="Z51" i="10"/>
  <c r="Y51" i="10"/>
  <c r="X51" i="10"/>
  <c r="W51" i="10"/>
  <c r="V51" i="10"/>
  <c r="U51" i="10"/>
  <c r="S51" i="10"/>
  <c r="R51" i="10"/>
  <c r="Q51" i="10"/>
  <c r="P51" i="10"/>
  <c r="O51" i="10"/>
  <c r="C51" i="10"/>
  <c r="B49" i="10"/>
  <c r="CC47" i="10"/>
  <c r="CB47" i="10"/>
  <c r="BY47" i="10"/>
  <c r="BX47" i="10"/>
  <c r="BW47" i="10"/>
  <c r="BR47" i="10"/>
  <c r="BP47" i="10"/>
  <c r="BO47" i="10"/>
  <c r="BN47" i="10"/>
  <c r="BL47" i="10"/>
  <c r="BK47" i="10"/>
  <c r="BJ47" i="10"/>
  <c r="BH47" i="10"/>
  <c r="BF47" i="10"/>
  <c r="BE47" i="10"/>
  <c r="BD47" i="10"/>
  <c r="AY47" i="10"/>
  <c r="AP47" i="10"/>
  <c r="AL47" i="10"/>
  <c r="AJ47" i="10"/>
  <c r="AI47" i="10"/>
  <c r="AH47" i="10"/>
  <c r="AG47" i="10"/>
  <c r="AE47" i="10"/>
  <c r="AC47" i="10"/>
  <c r="AB47" i="10"/>
  <c r="AA47" i="10"/>
  <c r="Z47" i="10"/>
  <c r="Y47" i="10"/>
  <c r="X47" i="10"/>
  <c r="W47" i="10"/>
  <c r="V47" i="10"/>
  <c r="R47" i="10"/>
  <c r="Q47" i="10"/>
  <c r="P47" i="10"/>
  <c r="AC75" i="10" l="1"/>
  <c r="D330" i="10"/>
  <c r="AL75" i="10"/>
  <c r="E138" i="10"/>
  <c r="C414" i="10" s="1"/>
  <c r="CE64" i="10"/>
  <c r="Q75" i="10"/>
  <c r="AA75" i="10"/>
  <c r="C439" i="10"/>
  <c r="R75" i="10"/>
  <c r="AB75" i="10"/>
  <c r="C204" i="10"/>
  <c r="CE65" i="10"/>
  <c r="C431" i="10" s="1"/>
  <c r="C473" i="10"/>
  <c r="CE74" i="10"/>
  <c r="C464" i="10" s="1"/>
  <c r="CE60" i="10"/>
  <c r="H612" i="10" s="1"/>
  <c r="O75" i="10"/>
  <c r="W75" i="10"/>
  <c r="D464" i="10"/>
  <c r="D173" i="10"/>
  <c r="D428" i="10" s="1"/>
  <c r="D275" i="10"/>
  <c r="E75" i="10"/>
  <c r="E217" i="10"/>
  <c r="C478" i="10" s="1"/>
  <c r="CE76" i="10"/>
  <c r="D463" i="10"/>
  <c r="D465" i="10" s="1"/>
  <c r="D367" i="10"/>
  <c r="C448" i="10" s="1"/>
  <c r="CE68" i="10"/>
  <c r="C434" i="10" s="1"/>
  <c r="E139" i="10"/>
  <c r="C415" i="10" s="1"/>
  <c r="D242" i="10"/>
  <c r="B448" i="10" s="1"/>
  <c r="D339" i="10"/>
  <c r="C482" i="10" s="1"/>
  <c r="F612" i="10"/>
  <c r="C430" i="10"/>
  <c r="H506" i="10"/>
  <c r="F506" i="10"/>
  <c r="F550" i="10"/>
  <c r="CE69" i="10"/>
  <c r="C440" i="10" s="1"/>
  <c r="V75" i="10"/>
  <c r="F504" i="10"/>
  <c r="H504" i="10"/>
  <c r="H523" i="10"/>
  <c r="F523" i="10"/>
  <c r="H532" i="10"/>
  <c r="F532" i="10"/>
  <c r="CE63" i="10"/>
  <c r="C429" i="10" s="1"/>
  <c r="E197" i="10"/>
  <c r="C470" i="10" s="1"/>
  <c r="B439" i="10"/>
  <c r="D390" i="10"/>
  <c r="B441" i="10" s="1"/>
  <c r="E498" i="10"/>
  <c r="D415" i="10"/>
  <c r="CF77" i="10"/>
  <c r="CE70" i="10"/>
  <c r="D435" i="10"/>
  <c r="D438" i="10"/>
  <c r="F530" i="10"/>
  <c r="H530" i="10"/>
  <c r="CE61" i="10"/>
  <c r="CE66" i="10"/>
  <c r="C432" i="10" s="1"/>
  <c r="CE73" i="10"/>
  <c r="C463" i="10" s="1"/>
  <c r="CE80" i="10"/>
  <c r="L612" i="10" s="1"/>
  <c r="CE47" i="10"/>
  <c r="H539" i="10"/>
  <c r="F539" i="10"/>
  <c r="F498" i="10"/>
  <c r="F517" i="10"/>
  <c r="F531" i="10"/>
  <c r="H505" i="10"/>
  <c r="F505" i="10"/>
  <c r="F524" i="10"/>
  <c r="H540" i="10"/>
  <c r="F540" i="10"/>
  <c r="B440" i="10"/>
  <c r="F512" i="10"/>
  <c r="CE51" i="10"/>
  <c r="D368" i="10"/>
  <c r="D373" i="10" s="1"/>
  <c r="H497" i="10"/>
  <c r="F497" i="10"/>
  <c r="F518" i="10"/>
  <c r="F499" i="10"/>
  <c r="F507" i="10"/>
  <c r="F519" i="10"/>
  <c r="F533" i="10"/>
  <c r="F493" i="1"/>
  <c r="D493" i="1"/>
  <c r="B493" i="1"/>
  <c r="B575" i="1"/>
  <c r="E204" i="10" l="1"/>
  <c r="C476" i="10" s="1"/>
  <c r="CF76" i="10"/>
  <c r="V52" i="10" s="1"/>
  <c r="V67" i="10" s="1"/>
  <c r="BY52" i="10"/>
  <c r="BY67" i="10" s="1"/>
  <c r="BA52" i="10"/>
  <c r="BA67" i="10" s="1"/>
  <c r="BQ52" i="10"/>
  <c r="BQ67" i="10" s="1"/>
  <c r="Q52" i="10"/>
  <c r="Q67" i="10" s="1"/>
  <c r="BM52" i="10"/>
  <c r="BM67" i="10" s="1"/>
  <c r="BP52" i="10"/>
  <c r="BP67" i="10" s="1"/>
  <c r="BH52" i="10"/>
  <c r="BH67" i="10" s="1"/>
  <c r="H52" i="10"/>
  <c r="H67" i="10" s="1"/>
  <c r="BD52" i="10"/>
  <c r="BD67" i="10" s="1"/>
  <c r="Y52" i="10"/>
  <c r="Y67" i="10" s="1"/>
  <c r="BU52" i="10"/>
  <c r="BU67" i="10" s="1"/>
  <c r="D391" i="10"/>
  <c r="D393" i="10" s="1"/>
  <c r="D396" i="10" s="1"/>
  <c r="AQ52" i="10"/>
  <c r="AQ67" i="10" s="1"/>
  <c r="AL52" i="10"/>
  <c r="AL67" i="10" s="1"/>
  <c r="D612" i="10"/>
  <c r="AG52" i="10"/>
  <c r="AG67" i="10" s="1"/>
  <c r="CC52" i="10"/>
  <c r="CC67" i="10" s="1"/>
  <c r="AX52" i="10"/>
  <c r="AX67" i="10" s="1"/>
  <c r="E52" i="10"/>
  <c r="E67" i="10" s="1"/>
  <c r="AA52" i="10"/>
  <c r="AA67" i="10" s="1"/>
  <c r="CE75" i="10"/>
  <c r="C465" i="10" s="1"/>
  <c r="B476" i="10"/>
  <c r="D277" i="10"/>
  <c r="D292" i="10" s="1"/>
  <c r="D341" i="10" s="1"/>
  <c r="C481" i="10" s="1"/>
  <c r="AR52" i="10"/>
  <c r="AR67" i="10" s="1"/>
  <c r="AT52" i="10"/>
  <c r="AT67" i="10" s="1"/>
  <c r="G52" i="10"/>
  <c r="G67" i="10" s="1"/>
  <c r="X52" i="10"/>
  <c r="X67" i="10" s="1"/>
  <c r="BT52" i="10"/>
  <c r="BT67" i="10" s="1"/>
  <c r="AO52" i="10"/>
  <c r="AO67" i="10" s="1"/>
  <c r="J52" i="10"/>
  <c r="J67" i="10" s="1"/>
  <c r="BF52" i="10"/>
  <c r="BF67" i="10" s="1"/>
  <c r="D52" i="10"/>
  <c r="D67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BY48" i="10"/>
  <c r="BY62" i="10" s="1"/>
  <c r="BQ48" i="10"/>
  <c r="BQ62" i="10" s="1"/>
  <c r="BI48" i="10"/>
  <c r="BI62" i="10" s="1"/>
  <c r="BA48" i="10"/>
  <c r="BA62" i="10" s="1"/>
  <c r="BA71" i="10" s="1"/>
  <c r="AS48" i="10"/>
  <c r="AS62" i="10" s="1"/>
  <c r="AK48" i="10"/>
  <c r="AK62" i="10" s="1"/>
  <c r="AC48" i="10"/>
  <c r="AC62" i="10" s="1"/>
  <c r="BX48" i="10"/>
  <c r="BX62" i="10" s="1"/>
  <c r="BP48" i="10"/>
  <c r="BP62" i="10" s="1"/>
  <c r="BP71" i="10" s="1"/>
  <c r="BH48" i="10"/>
  <c r="BH62" i="10" s="1"/>
  <c r="AZ48" i="10"/>
  <c r="AZ62" i="10" s="1"/>
  <c r="AR48" i="10"/>
  <c r="AR62" i="10" s="1"/>
  <c r="AR71" i="10" s="1"/>
  <c r="AJ48" i="10"/>
  <c r="AJ62" i="10" s="1"/>
  <c r="AB48" i="10"/>
  <c r="AB62" i="10" s="1"/>
  <c r="T48" i="10"/>
  <c r="T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Q71" i="10" s="1"/>
  <c r="BV48" i="10"/>
  <c r="BV62" i="10" s="1"/>
  <c r="BN48" i="10"/>
  <c r="BN62" i="10" s="1"/>
  <c r="BF48" i="10"/>
  <c r="BF62" i="10" s="1"/>
  <c r="BF71" i="10" s="1"/>
  <c r="AX48" i="10"/>
  <c r="AX62" i="10" s="1"/>
  <c r="AX71" i="10" s="1"/>
  <c r="AP48" i="10"/>
  <c r="AP62" i="10" s="1"/>
  <c r="AH48" i="10"/>
  <c r="AH62" i="10" s="1"/>
  <c r="CC48" i="10"/>
  <c r="CC62" i="10" s="1"/>
  <c r="BK48" i="10"/>
  <c r="BK62" i="10" s="1"/>
  <c r="AN48" i="10"/>
  <c r="AN62" i="10" s="1"/>
  <c r="AA48" i="10"/>
  <c r="AA62" i="10" s="1"/>
  <c r="R48" i="10"/>
  <c r="R62" i="10" s="1"/>
  <c r="J48" i="10"/>
  <c r="J62" i="10" s="1"/>
  <c r="J71" i="10" s="1"/>
  <c r="CB48" i="10"/>
  <c r="CB62" i="10" s="1"/>
  <c r="AM48" i="10"/>
  <c r="AM62" i="10" s="1"/>
  <c r="Q48" i="10"/>
  <c r="Q62" i="10" s="1"/>
  <c r="Q71" i="10" s="1"/>
  <c r="I48" i="10"/>
  <c r="I62" i="10" s="1"/>
  <c r="CA48" i="10"/>
  <c r="CA62" i="10" s="1"/>
  <c r="AL48" i="10"/>
  <c r="AL62" i="10" s="1"/>
  <c r="H48" i="10"/>
  <c r="H62" i="10" s="1"/>
  <c r="AV48" i="10"/>
  <c r="AV62" i="10" s="1"/>
  <c r="E48" i="10"/>
  <c r="E62" i="10" s="1"/>
  <c r="U48" i="10"/>
  <c r="U62" i="10" s="1"/>
  <c r="BE48" i="10"/>
  <c r="BE62" i="10" s="1"/>
  <c r="Z48" i="10"/>
  <c r="Z62" i="10" s="1"/>
  <c r="BD48" i="10"/>
  <c r="BD62" i="10" s="1"/>
  <c r="P48" i="10"/>
  <c r="P62" i="10" s="1"/>
  <c r="AF48" i="10"/>
  <c r="AF62" i="10" s="1"/>
  <c r="V48" i="10"/>
  <c r="V62" i="10" s="1"/>
  <c r="C427" i="10"/>
  <c r="AU48" i="10"/>
  <c r="AU62" i="10" s="1"/>
  <c r="D48" i="10"/>
  <c r="D62" i="10" s="1"/>
  <c r="D71" i="10" s="1"/>
  <c r="BL48" i="10"/>
  <c r="BL62" i="10" s="1"/>
  <c r="AO48" i="10"/>
  <c r="AO62" i="10" s="1"/>
  <c r="AD48" i="10"/>
  <c r="AD62" i="10" s="1"/>
  <c r="S48" i="10"/>
  <c r="S62" i="10" s="1"/>
  <c r="K48" i="10"/>
  <c r="K62" i="10" s="1"/>
  <c r="C48" i="10"/>
  <c r="Y48" i="10"/>
  <c r="Y62" i="10" s="1"/>
  <c r="Y71" i="10" s="1"/>
  <c r="M48" i="10"/>
  <c r="M62" i="10" s="1"/>
  <c r="BU48" i="10"/>
  <c r="BU62" i="10" s="1"/>
  <c r="BU71" i="10" s="1"/>
  <c r="BC48" i="10"/>
  <c r="BC62" i="10" s="1"/>
  <c r="AI48" i="10"/>
  <c r="AI62" i="10" s="1"/>
  <c r="X48" i="10"/>
  <c r="X62" i="10" s="1"/>
  <c r="O48" i="10"/>
  <c r="O62" i="10" s="1"/>
  <c r="G48" i="10"/>
  <c r="G62" i="10" s="1"/>
  <c r="G71" i="10" s="1"/>
  <c r="AE48" i="10"/>
  <c r="AE62" i="10" s="1"/>
  <c r="BT48" i="10"/>
  <c r="BT62" i="10" s="1"/>
  <c r="AW48" i="10"/>
  <c r="AW62" i="10" s="1"/>
  <c r="AG48" i="10"/>
  <c r="AG62" i="10" s="1"/>
  <c r="AG71" i="10" s="1"/>
  <c r="W48" i="10"/>
  <c r="W62" i="10" s="1"/>
  <c r="N48" i="10"/>
  <c r="N62" i="10" s="1"/>
  <c r="F48" i="10"/>
  <c r="F62" i="10" s="1"/>
  <c r="BS48" i="10"/>
  <c r="BS62" i="10" s="1"/>
  <c r="BM48" i="10"/>
  <c r="BM62" i="10" s="1"/>
  <c r="L48" i="10"/>
  <c r="L62" i="10" s="1"/>
  <c r="C458" i="10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I122" i="9" s="1"/>
  <c r="AA75" i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CE73" i="1"/>
  <c r="CE74" i="1"/>
  <c r="I377" i="9" s="1"/>
  <c r="C75" i="1"/>
  <c r="C26" i="9" s="1"/>
  <c r="CE80" i="1"/>
  <c r="CE78" i="1"/>
  <c r="I382" i="9" s="1"/>
  <c r="CE69" i="1"/>
  <c r="I371" i="9" s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/>
  <c r="E214" i="1"/>
  <c r="F29" i="6" s="1"/>
  <c r="E215" i="1"/>
  <c r="E216" i="1"/>
  <c r="D217" i="1"/>
  <c r="E32" i="6" s="1"/>
  <c r="C217" i="1"/>
  <c r="D32" i="6" s="1"/>
  <c r="E196" i="1"/>
  <c r="E197" i="1"/>
  <c r="E198" i="1"/>
  <c r="E199" i="1"/>
  <c r="E200" i="1"/>
  <c r="E201" i="1"/>
  <c r="C473" i="1" s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F12" i="6"/>
  <c r="I26" i="9"/>
  <c r="H58" i="9"/>
  <c r="D366" i="9"/>
  <c r="CE64" i="1"/>
  <c r="F612" i="1" s="1"/>
  <c r="D368" i="9"/>
  <c r="C276" i="9"/>
  <c r="CE70" i="1"/>
  <c r="C458" i="1" s="1"/>
  <c r="CE76" i="1"/>
  <c r="D612" i="1" s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C615" i="1"/>
  <c r="I612" i="1"/>
  <c r="E372" i="9"/>
  <c r="G19" i="4" l="1"/>
  <c r="G10" i="4"/>
  <c r="AO71" i="10"/>
  <c r="K612" i="10"/>
  <c r="C415" i="1"/>
  <c r="BM71" i="10"/>
  <c r="AM71" i="10"/>
  <c r="B532" i="1" s="1"/>
  <c r="BQ71" i="10"/>
  <c r="C562" i="10" s="1"/>
  <c r="C52" i="10"/>
  <c r="C67" i="10" s="1"/>
  <c r="AM52" i="10"/>
  <c r="AM67" i="10" s="1"/>
  <c r="AV52" i="10"/>
  <c r="AV67" i="10" s="1"/>
  <c r="AJ52" i="10"/>
  <c r="AJ67" i="10" s="1"/>
  <c r="AJ71" i="10" s="1"/>
  <c r="B10" i="4"/>
  <c r="E71" i="10"/>
  <c r="AS52" i="10"/>
  <c r="AS67" i="10" s="1"/>
  <c r="AS71" i="10" s="1"/>
  <c r="AD52" i="10"/>
  <c r="AD67" i="10" s="1"/>
  <c r="AD71" i="10" s="1"/>
  <c r="CA52" i="10"/>
  <c r="CA67" i="10" s="1"/>
  <c r="BG52" i="10"/>
  <c r="BG67" i="10" s="1"/>
  <c r="BG71" i="10" s="1"/>
  <c r="V71" i="10"/>
  <c r="AV71" i="10"/>
  <c r="BW71" i="10"/>
  <c r="C643" i="10" s="1"/>
  <c r="P52" i="10"/>
  <c r="P67" i="10" s="1"/>
  <c r="AB52" i="10"/>
  <c r="AB67" i="10" s="1"/>
  <c r="AB71" i="10" s="1"/>
  <c r="AI52" i="10"/>
  <c r="AI67" i="10" s="1"/>
  <c r="AI71" i="10" s="1"/>
  <c r="AE52" i="10"/>
  <c r="AE67" i="10" s="1"/>
  <c r="AE71" i="10" s="1"/>
  <c r="BW52" i="10"/>
  <c r="BW67" i="10" s="1"/>
  <c r="D330" i="1"/>
  <c r="C86" i="8" s="1"/>
  <c r="X71" i="10"/>
  <c r="B517" i="1" s="1"/>
  <c r="AU52" i="10"/>
  <c r="AU67" i="10" s="1"/>
  <c r="AU71" i="10" s="1"/>
  <c r="AY52" i="10"/>
  <c r="AY67" i="10" s="1"/>
  <c r="AY71" i="10" s="1"/>
  <c r="U52" i="10"/>
  <c r="U67" i="10" s="1"/>
  <c r="U71" i="10" s="1"/>
  <c r="B465" i="1"/>
  <c r="C119" i="8"/>
  <c r="D368" i="1"/>
  <c r="C120" i="8" s="1"/>
  <c r="B476" i="1"/>
  <c r="C33" i="8"/>
  <c r="D13" i="7"/>
  <c r="F13" i="6"/>
  <c r="C34" i="5"/>
  <c r="C27" i="5"/>
  <c r="D428" i="1"/>
  <c r="I381" i="9"/>
  <c r="CF77" i="1"/>
  <c r="AV52" i="1"/>
  <c r="AV67" i="1" s="1"/>
  <c r="CF76" i="1"/>
  <c r="BK52" i="1" s="1"/>
  <c r="BK67" i="1" s="1"/>
  <c r="AJ52" i="1"/>
  <c r="AJ67" i="1" s="1"/>
  <c r="Q52" i="1"/>
  <c r="Q67" i="1" s="1"/>
  <c r="X52" i="1"/>
  <c r="X67" i="1" s="1"/>
  <c r="AG52" i="1"/>
  <c r="AG67" i="1" s="1"/>
  <c r="O52" i="1"/>
  <c r="O67" i="1" s="1"/>
  <c r="C218" i="9"/>
  <c r="E26" i="9"/>
  <c r="C464" i="1"/>
  <c r="I372" i="9"/>
  <c r="C440" i="1"/>
  <c r="C434" i="1"/>
  <c r="C432" i="1"/>
  <c r="I366" i="9"/>
  <c r="C430" i="1"/>
  <c r="C429" i="1"/>
  <c r="AP48" i="1"/>
  <c r="AP62" i="1" s="1"/>
  <c r="G172" i="9" s="1"/>
  <c r="AX48" i="1"/>
  <c r="AX62" i="1" s="1"/>
  <c r="J48" i="1"/>
  <c r="J62" i="1" s="1"/>
  <c r="E48" i="1"/>
  <c r="E62" i="1" s="1"/>
  <c r="O48" i="1"/>
  <c r="O62" i="1" s="1"/>
  <c r="CA48" i="1"/>
  <c r="CA62" i="1" s="1"/>
  <c r="I332" i="9" s="1"/>
  <c r="S48" i="1"/>
  <c r="S62" i="1" s="1"/>
  <c r="E76" i="9" s="1"/>
  <c r="AA48" i="1"/>
  <c r="AA62" i="1" s="1"/>
  <c r="F108" i="9" s="1"/>
  <c r="H48" i="1"/>
  <c r="H62" i="1" s="1"/>
  <c r="BU48" i="1"/>
  <c r="BU62" i="1" s="1"/>
  <c r="C332" i="9" s="1"/>
  <c r="AM48" i="1"/>
  <c r="AM62" i="1" s="1"/>
  <c r="BH48" i="1"/>
  <c r="BH62" i="1" s="1"/>
  <c r="BO48" i="1"/>
  <c r="BO62" i="1" s="1"/>
  <c r="D300" i="9" s="1"/>
  <c r="BS48" i="1"/>
  <c r="BS62" i="1" s="1"/>
  <c r="AD48" i="1"/>
  <c r="AD62" i="1" s="1"/>
  <c r="I108" i="9" s="1"/>
  <c r="BP48" i="1"/>
  <c r="BP62" i="1" s="1"/>
  <c r="AU48" i="1"/>
  <c r="AU62" i="1" s="1"/>
  <c r="AN48" i="1"/>
  <c r="AN62" i="1" s="1"/>
  <c r="E172" i="9" s="1"/>
  <c r="BY48" i="1"/>
  <c r="BY62" i="1" s="1"/>
  <c r="G332" i="9" s="1"/>
  <c r="AO48" i="1"/>
  <c r="AO62" i="1" s="1"/>
  <c r="BW48" i="1"/>
  <c r="BW62" i="1" s="1"/>
  <c r="E332" i="9" s="1"/>
  <c r="N48" i="1"/>
  <c r="N62" i="1" s="1"/>
  <c r="L48" i="1"/>
  <c r="L62" i="1" s="1"/>
  <c r="E44" i="9" s="1"/>
  <c r="I363" i="9"/>
  <c r="AF48" i="1"/>
  <c r="AF62" i="1" s="1"/>
  <c r="BR48" i="1"/>
  <c r="BR62" i="1" s="1"/>
  <c r="AG48" i="1"/>
  <c r="AG62" i="1" s="1"/>
  <c r="AJ48" i="1"/>
  <c r="AJ62" i="1" s="1"/>
  <c r="AJ71" i="1" s="1"/>
  <c r="C529" i="1" s="1"/>
  <c r="G529" i="1" s="1"/>
  <c r="BD48" i="1"/>
  <c r="BD62" i="1" s="1"/>
  <c r="BN48" i="1"/>
  <c r="BN62" i="1" s="1"/>
  <c r="CB48" i="1"/>
  <c r="CB62" i="1" s="1"/>
  <c r="C364" i="9" s="1"/>
  <c r="Q48" i="1"/>
  <c r="Q62" i="1" s="1"/>
  <c r="C76" i="9" s="1"/>
  <c r="C427" i="1"/>
  <c r="Z48" i="1"/>
  <c r="Z62" i="1" s="1"/>
  <c r="AL48" i="1"/>
  <c r="AL62" i="1" s="1"/>
  <c r="AV48" i="1"/>
  <c r="AV62" i="1" s="1"/>
  <c r="F204" i="9" s="1"/>
  <c r="BF48" i="1"/>
  <c r="BF62" i="1" s="1"/>
  <c r="I236" i="9" s="1"/>
  <c r="BX48" i="1"/>
  <c r="BX62" i="1" s="1"/>
  <c r="C48" i="1"/>
  <c r="K48" i="1"/>
  <c r="K62" i="1" s="1"/>
  <c r="BG48" i="1"/>
  <c r="BG62" i="1" s="1"/>
  <c r="C268" i="9" s="1"/>
  <c r="Y48" i="1"/>
  <c r="Y62" i="1" s="1"/>
  <c r="BM48" i="1"/>
  <c r="BM62" i="1" s="1"/>
  <c r="BQ48" i="1"/>
  <c r="BQ62" i="1" s="1"/>
  <c r="F300" i="9" s="1"/>
  <c r="BI48" i="1"/>
  <c r="BI62" i="1" s="1"/>
  <c r="M48" i="1"/>
  <c r="M62" i="1" s="1"/>
  <c r="F44" i="9" s="1"/>
  <c r="BZ48" i="1"/>
  <c r="BZ62" i="1" s="1"/>
  <c r="D48" i="1"/>
  <c r="D62" i="1" s="1"/>
  <c r="D12" i="9" s="1"/>
  <c r="AB48" i="1"/>
  <c r="AB62" i="1" s="1"/>
  <c r="R48" i="1"/>
  <c r="R62" i="1" s="1"/>
  <c r="D76" i="9" s="1"/>
  <c r="AH48" i="1"/>
  <c r="AH62" i="1" s="1"/>
  <c r="F140" i="9" s="1"/>
  <c r="AZ48" i="1"/>
  <c r="AZ62" i="1" s="1"/>
  <c r="C236" i="9" s="1"/>
  <c r="BJ48" i="1"/>
  <c r="BJ62" i="1" s="1"/>
  <c r="F268" i="9" s="1"/>
  <c r="BT48" i="1"/>
  <c r="BT62" i="1" s="1"/>
  <c r="AI48" i="1"/>
  <c r="AI62" i="1" s="1"/>
  <c r="CC48" i="1"/>
  <c r="CC62" i="1" s="1"/>
  <c r="AW48" i="1"/>
  <c r="AW62" i="1" s="1"/>
  <c r="G204" i="9" s="1"/>
  <c r="U48" i="1"/>
  <c r="U62" i="1" s="1"/>
  <c r="BC48" i="1"/>
  <c r="BC62" i="1" s="1"/>
  <c r="AC48" i="1"/>
  <c r="AC62" i="1" s="1"/>
  <c r="H108" i="9" s="1"/>
  <c r="P48" i="1"/>
  <c r="P62" i="1" s="1"/>
  <c r="V48" i="1"/>
  <c r="V62" i="1" s="1"/>
  <c r="AR48" i="1"/>
  <c r="AR62" i="1" s="1"/>
  <c r="BB48" i="1"/>
  <c r="BB62" i="1" s="1"/>
  <c r="BL48" i="1"/>
  <c r="BL62" i="1" s="1"/>
  <c r="BV48" i="1"/>
  <c r="BV62" i="1" s="1"/>
  <c r="D332" i="9" s="1"/>
  <c r="AQ48" i="1"/>
  <c r="AQ62" i="1" s="1"/>
  <c r="I48" i="1"/>
  <c r="I62" i="1" s="1"/>
  <c r="AK48" i="1"/>
  <c r="AK62" i="1" s="1"/>
  <c r="I140" i="9" s="1"/>
  <c r="G48" i="1"/>
  <c r="G62" i="1" s="1"/>
  <c r="G12" i="9" s="1"/>
  <c r="T48" i="1"/>
  <c r="T62" i="1" s="1"/>
  <c r="AS48" i="1"/>
  <c r="AS62" i="1" s="1"/>
  <c r="F48" i="1"/>
  <c r="F62" i="1" s="1"/>
  <c r="F12" i="9" s="1"/>
  <c r="AT48" i="1"/>
  <c r="AT62" i="1" s="1"/>
  <c r="AY48" i="1"/>
  <c r="AY62" i="1" s="1"/>
  <c r="BE48" i="1"/>
  <c r="BE62" i="1" s="1"/>
  <c r="H236" i="9" s="1"/>
  <c r="BA48" i="1"/>
  <c r="BA62" i="1" s="1"/>
  <c r="D236" i="9" s="1"/>
  <c r="AE48" i="1"/>
  <c r="AE62" i="1" s="1"/>
  <c r="X48" i="1"/>
  <c r="X62" i="1" s="1"/>
  <c r="X71" i="1" s="1"/>
  <c r="C117" i="9" s="1"/>
  <c r="W48" i="1"/>
  <c r="W62" i="1" s="1"/>
  <c r="W52" i="1"/>
  <c r="W67" i="1" s="1"/>
  <c r="AI52" i="1"/>
  <c r="AI67" i="1" s="1"/>
  <c r="G145" i="9" s="1"/>
  <c r="H52" i="1"/>
  <c r="H67" i="1" s="1"/>
  <c r="H17" i="9" s="1"/>
  <c r="E10" i="4"/>
  <c r="D463" i="1"/>
  <c r="E373" i="9"/>
  <c r="C575" i="1"/>
  <c r="G154" i="9"/>
  <c r="C469" i="1"/>
  <c r="F8" i="6"/>
  <c r="B441" i="1"/>
  <c r="C141" i="8"/>
  <c r="F122" i="9"/>
  <c r="H145" i="9"/>
  <c r="C81" i="9"/>
  <c r="G58" i="9"/>
  <c r="AF52" i="1"/>
  <c r="AF67" i="1" s="1"/>
  <c r="AH52" i="1"/>
  <c r="AH67" i="1" s="1"/>
  <c r="F145" i="9" s="1"/>
  <c r="AE52" i="1"/>
  <c r="AE67" i="1" s="1"/>
  <c r="C145" i="9" s="1"/>
  <c r="BT52" i="1"/>
  <c r="BT67" i="1" s="1"/>
  <c r="CA52" i="1"/>
  <c r="CA67" i="1" s="1"/>
  <c r="K52" i="1"/>
  <c r="K67" i="1" s="1"/>
  <c r="BS52" i="1"/>
  <c r="BS67" i="1" s="1"/>
  <c r="I380" i="9"/>
  <c r="D186" i="9"/>
  <c r="P71" i="10"/>
  <c r="BH71" i="10"/>
  <c r="S52" i="10"/>
  <c r="S67" i="10" s="1"/>
  <c r="T52" i="10"/>
  <c r="T67" i="10" s="1"/>
  <c r="BN52" i="10"/>
  <c r="BN67" i="10" s="1"/>
  <c r="BN71" i="10" s="1"/>
  <c r="O52" i="10"/>
  <c r="O67" i="10" s="1"/>
  <c r="O71" i="10" s="1"/>
  <c r="AC52" i="10"/>
  <c r="AC67" i="10" s="1"/>
  <c r="AC71" i="10" s="1"/>
  <c r="BE52" i="10"/>
  <c r="BE67" i="10" s="1"/>
  <c r="AN52" i="10"/>
  <c r="AN67" i="10" s="1"/>
  <c r="AN71" i="10" s="1"/>
  <c r="BJ52" i="10"/>
  <c r="BJ67" i="10" s="1"/>
  <c r="BJ71" i="10" s="1"/>
  <c r="K52" i="10"/>
  <c r="K67" i="10" s="1"/>
  <c r="BO52" i="10"/>
  <c r="BO67" i="10" s="1"/>
  <c r="BO71" i="10" s="1"/>
  <c r="R52" i="10"/>
  <c r="R67" i="10" s="1"/>
  <c r="CB52" i="10"/>
  <c r="CB67" i="10" s="1"/>
  <c r="F52" i="10"/>
  <c r="W52" i="10"/>
  <c r="W67" i="10" s="1"/>
  <c r="W71" i="10" s="1"/>
  <c r="AW52" i="10"/>
  <c r="AW67" i="10" s="1"/>
  <c r="AF52" i="10"/>
  <c r="AF67" i="10" s="1"/>
  <c r="AF71" i="10" s="1"/>
  <c r="BB52" i="10"/>
  <c r="BB67" i="10" s="1"/>
  <c r="BB71" i="10" s="1"/>
  <c r="AK52" i="10"/>
  <c r="AK67" i="10" s="1"/>
  <c r="BV52" i="10"/>
  <c r="BV67" i="10" s="1"/>
  <c r="BV71" i="10" s="1"/>
  <c r="Z52" i="10"/>
  <c r="Z67" i="10" s="1"/>
  <c r="I52" i="10"/>
  <c r="I67" i="10" s="1"/>
  <c r="BS52" i="10"/>
  <c r="BS67" i="10" s="1"/>
  <c r="N52" i="10"/>
  <c r="N67" i="10" s="1"/>
  <c r="N71" i="10" s="1"/>
  <c r="BX52" i="10"/>
  <c r="BX67" i="10" s="1"/>
  <c r="AZ52" i="10"/>
  <c r="AZ67" i="10" s="1"/>
  <c r="AZ71" i="10" s="1"/>
  <c r="BK52" i="10"/>
  <c r="BK67" i="10" s="1"/>
  <c r="BK71" i="10" s="1"/>
  <c r="BW52" i="1"/>
  <c r="BW67" i="1" s="1"/>
  <c r="BG52" i="1"/>
  <c r="BG67" i="1" s="1"/>
  <c r="BH52" i="1"/>
  <c r="BH67" i="1" s="1"/>
  <c r="BB52" i="1"/>
  <c r="BB67" i="1" s="1"/>
  <c r="AC52" i="1"/>
  <c r="AC67" i="1" s="1"/>
  <c r="BX52" i="1"/>
  <c r="BX67" i="1" s="1"/>
  <c r="BJ52" i="1"/>
  <c r="BJ67" i="1" s="1"/>
  <c r="V52" i="1"/>
  <c r="V67" i="1" s="1"/>
  <c r="AO52" i="1"/>
  <c r="AO67" i="1" s="1"/>
  <c r="F177" i="9" s="1"/>
  <c r="AP52" i="1"/>
  <c r="AP67" i="1" s="1"/>
  <c r="BC52" i="1"/>
  <c r="BC67" i="1" s="1"/>
  <c r="I90" i="9"/>
  <c r="I362" i="9"/>
  <c r="D5" i="7"/>
  <c r="BD71" i="10"/>
  <c r="C549" i="10" s="1"/>
  <c r="H71" i="10"/>
  <c r="CB71" i="10"/>
  <c r="CC71" i="10"/>
  <c r="T71" i="10"/>
  <c r="BI52" i="10"/>
  <c r="BI67" i="10" s="1"/>
  <c r="BI71" i="10" s="1"/>
  <c r="BC52" i="10"/>
  <c r="BC67" i="10" s="1"/>
  <c r="BC71" i="10" s="1"/>
  <c r="BL52" i="10"/>
  <c r="BL67" i="10" s="1"/>
  <c r="BL71" i="10" s="1"/>
  <c r="L52" i="10"/>
  <c r="L67" i="10" s="1"/>
  <c r="L71" i="10" s="1"/>
  <c r="AP52" i="10"/>
  <c r="AP67" i="10" s="1"/>
  <c r="BZ52" i="10"/>
  <c r="BZ67" i="10" s="1"/>
  <c r="BZ71" i="10" s="1"/>
  <c r="AH52" i="10"/>
  <c r="AH67" i="10" s="1"/>
  <c r="BR52" i="10"/>
  <c r="BR67" i="10" s="1"/>
  <c r="BR71" i="10" s="1"/>
  <c r="M52" i="10"/>
  <c r="M67" i="10" s="1"/>
  <c r="M71" i="10" s="1"/>
  <c r="AW71" i="10"/>
  <c r="K71" i="10"/>
  <c r="C676" i="10" s="1"/>
  <c r="Z71" i="10"/>
  <c r="AL71" i="10"/>
  <c r="AH71" i="10"/>
  <c r="BX71" i="10"/>
  <c r="C569" i="10" s="1"/>
  <c r="BU52" i="1"/>
  <c r="BU67" i="1" s="1"/>
  <c r="C337" i="9" s="1"/>
  <c r="AS52" i="1"/>
  <c r="AS67" i="1" s="1"/>
  <c r="AR52" i="1"/>
  <c r="AR67" i="1" s="1"/>
  <c r="L52" i="1"/>
  <c r="L67" i="1" s="1"/>
  <c r="E49" i="9" s="1"/>
  <c r="BP52" i="1"/>
  <c r="BP67" i="1" s="1"/>
  <c r="E305" i="9" s="1"/>
  <c r="P52" i="1"/>
  <c r="P67" i="1" s="1"/>
  <c r="N52" i="1"/>
  <c r="N67" i="1" s="1"/>
  <c r="AU52" i="1"/>
  <c r="AU67" i="1" s="1"/>
  <c r="R52" i="1"/>
  <c r="R67" i="1" s="1"/>
  <c r="AL52" i="1"/>
  <c r="AL67" i="1" s="1"/>
  <c r="AB52" i="1"/>
  <c r="AB67" i="1" s="1"/>
  <c r="BZ52" i="1"/>
  <c r="BZ67" i="1" s="1"/>
  <c r="H337" i="9" s="1"/>
  <c r="G28" i="4"/>
  <c r="BS71" i="10"/>
  <c r="BT71" i="10"/>
  <c r="S71" i="10"/>
  <c r="BE71" i="10"/>
  <c r="C550" i="10" s="1"/>
  <c r="CA71" i="10"/>
  <c r="C572" i="10" s="1"/>
  <c r="R71" i="10"/>
  <c r="C683" i="10" s="1"/>
  <c r="AP71" i="10"/>
  <c r="BY71" i="10"/>
  <c r="BA52" i="1"/>
  <c r="BA67" i="1" s="1"/>
  <c r="D241" i="9" s="1"/>
  <c r="AD52" i="1"/>
  <c r="AD67" i="1" s="1"/>
  <c r="I52" i="1"/>
  <c r="I67" i="1" s="1"/>
  <c r="U52" i="1"/>
  <c r="U67" i="1" s="1"/>
  <c r="I71" i="10"/>
  <c r="C674" i="10" s="1"/>
  <c r="AA71" i="10"/>
  <c r="AK71" i="10"/>
  <c r="AT71" i="10"/>
  <c r="C515" i="10"/>
  <c r="C687" i="10"/>
  <c r="C644" i="10"/>
  <c r="C517" i="10"/>
  <c r="C673" i="10"/>
  <c r="C501" i="10"/>
  <c r="G501" i="10" s="1"/>
  <c r="C681" i="10"/>
  <c r="C509" i="10"/>
  <c r="C698" i="10"/>
  <c r="C526" i="10"/>
  <c r="C534" i="10"/>
  <c r="G534" i="10" s="1"/>
  <c r="C706" i="10"/>
  <c r="C647" i="10"/>
  <c r="C685" i="10"/>
  <c r="C513" i="10"/>
  <c r="G513" i="10" s="1"/>
  <c r="C631" i="10"/>
  <c r="C542" i="10"/>
  <c r="C641" i="10"/>
  <c r="C566" i="10"/>
  <c r="C691" i="10"/>
  <c r="C519" i="10"/>
  <c r="C502" i="10"/>
  <c r="G502" i="10" s="1"/>
  <c r="C708" i="10"/>
  <c r="C536" i="10"/>
  <c r="G536" i="10" s="1"/>
  <c r="C709" i="10"/>
  <c r="C537" i="10"/>
  <c r="C630" i="10"/>
  <c r="C546" i="10"/>
  <c r="C616" i="10"/>
  <c r="C543" i="10"/>
  <c r="C702" i="10"/>
  <c r="C530" i="10"/>
  <c r="G530" i="10" s="1"/>
  <c r="C640" i="10"/>
  <c r="C565" i="10"/>
  <c r="C669" i="10"/>
  <c r="C497" i="10"/>
  <c r="G497" i="10" s="1"/>
  <c r="C614" i="10"/>
  <c r="C682" i="10"/>
  <c r="C510" i="10"/>
  <c r="C574" i="10"/>
  <c r="C620" i="10"/>
  <c r="C675" i="10"/>
  <c r="C503" i="10"/>
  <c r="C629" i="10"/>
  <c r="C551" i="10"/>
  <c r="C638" i="10"/>
  <c r="C558" i="10"/>
  <c r="C690" i="10"/>
  <c r="C518" i="10"/>
  <c r="C699" i="10"/>
  <c r="C527" i="10"/>
  <c r="C636" i="10"/>
  <c r="C553" i="10"/>
  <c r="C713" i="10"/>
  <c r="C541" i="10"/>
  <c r="C711" i="10"/>
  <c r="C539" i="10"/>
  <c r="G539" i="10" s="1"/>
  <c r="C684" i="10"/>
  <c r="C512" i="10"/>
  <c r="C703" i="10"/>
  <c r="C531" i="10"/>
  <c r="C520" i="10"/>
  <c r="C692" i="10"/>
  <c r="C639" i="10"/>
  <c r="C564" i="10"/>
  <c r="C672" i="10"/>
  <c r="C500" i="10"/>
  <c r="G500" i="10" s="1"/>
  <c r="C62" i="10"/>
  <c r="CE48" i="10"/>
  <c r="C670" i="10"/>
  <c r="C498" i="10"/>
  <c r="C573" i="10"/>
  <c r="C622" i="10"/>
  <c r="C707" i="10"/>
  <c r="C535" i="10"/>
  <c r="C621" i="10"/>
  <c r="C561" i="10"/>
  <c r="C645" i="10"/>
  <c r="C570" i="10"/>
  <c r="B551" i="1"/>
  <c r="B543" i="1"/>
  <c r="B549" i="1"/>
  <c r="B501" i="1"/>
  <c r="B509" i="1"/>
  <c r="B513" i="1"/>
  <c r="B537" i="1"/>
  <c r="B534" i="1"/>
  <c r="B566" i="1"/>
  <c r="B558" i="1"/>
  <c r="B542" i="1"/>
  <c r="B531" i="1"/>
  <c r="B570" i="1"/>
  <c r="B535" i="1"/>
  <c r="B562" i="1"/>
  <c r="B546" i="1"/>
  <c r="B518" i="1"/>
  <c r="B561" i="1"/>
  <c r="B497" i="1"/>
  <c r="B541" i="1"/>
  <c r="B530" i="1"/>
  <c r="B568" i="1"/>
  <c r="B553" i="1"/>
  <c r="B569" i="1"/>
  <c r="B498" i="1"/>
  <c r="B564" i="1"/>
  <c r="B574" i="1"/>
  <c r="B527" i="1"/>
  <c r="B572" i="1"/>
  <c r="B503" i="1"/>
  <c r="B519" i="1"/>
  <c r="B510" i="1"/>
  <c r="B520" i="1"/>
  <c r="B539" i="1"/>
  <c r="B512" i="1"/>
  <c r="B515" i="1"/>
  <c r="B526" i="1"/>
  <c r="B565" i="1"/>
  <c r="B536" i="1"/>
  <c r="B500" i="1"/>
  <c r="F209" i="9"/>
  <c r="E145" i="9"/>
  <c r="B446" i="1"/>
  <c r="D242" i="1"/>
  <c r="H81" i="9"/>
  <c r="C418" i="1"/>
  <c r="D438" i="1"/>
  <c r="F14" i="6"/>
  <c r="C471" i="1"/>
  <c r="F10" i="6"/>
  <c r="D339" i="1"/>
  <c r="D26" i="9"/>
  <c r="CE75" i="1"/>
  <c r="I305" i="9"/>
  <c r="G177" i="9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373" i="1"/>
  <c r="D434" i="1"/>
  <c r="D292" i="1"/>
  <c r="C58" i="9"/>
  <c r="Y52" i="1" l="1"/>
  <c r="Y67" i="1" s="1"/>
  <c r="D113" i="9" s="1"/>
  <c r="Z52" i="1"/>
  <c r="Z67" i="1" s="1"/>
  <c r="E113" i="9" s="1"/>
  <c r="AQ52" i="1"/>
  <c r="AQ67" i="1" s="1"/>
  <c r="H177" i="9" s="1"/>
  <c r="C52" i="1"/>
  <c r="C67" i="1" s="1"/>
  <c r="C17" i="9" s="1"/>
  <c r="AT52" i="1"/>
  <c r="AT67" i="1" s="1"/>
  <c r="D209" i="9" s="1"/>
  <c r="BI52" i="1"/>
  <c r="BI67" i="1" s="1"/>
  <c r="C514" i="10"/>
  <c r="C686" i="10"/>
  <c r="B514" i="1"/>
  <c r="B528" i="1"/>
  <c r="C700" i="10"/>
  <c r="C528" i="10"/>
  <c r="G528" i="10" s="1"/>
  <c r="H528" i="10" s="1"/>
  <c r="C695" i="10"/>
  <c r="C523" i="10"/>
  <c r="G523" i="10" s="1"/>
  <c r="B523" i="1"/>
  <c r="C544" i="10"/>
  <c r="B544" i="1"/>
  <c r="C625" i="10"/>
  <c r="C521" i="10"/>
  <c r="B521" i="1"/>
  <c r="C693" i="10"/>
  <c r="C710" i="10"/>
  <c r="C538" i="10"/>
  <c r="G538" i="10" s="1"/>
  <c r="B538" i="1"/>
  <c r="C694" i="10"/>
  <c r="C522" i="10"/>
  <c r="B522" i="1"/>
  <c r="C529" i="10"/>
  <c r="G529" i="10" s="1"/>
  <c r="H529" i="10" s="1"/>
  <c r="C701" i="10"/>
  <c r="B529" i="1"/>
  <c r="B552" i="1"/>
  <c r="C618" i="10"/>
  <c r="C552" i="10"/>
  <c r="C712" i="10"/>
  <c r="B540" i="1"/>
  <c r="C540" i="10"/>
  <c r="G540" i="10" s="1"/>
  <c r="C642" i="10"/>
  <c r="C567" i="10"/>
  <c r="B567" i="1"/>
  <c r="C619" i="10"/>
  <c r="B559" i="1"/>
  <c r="C559" i="10"/>
  <c r="C696" i="10"/>
  <c r="C524" i="10"/>
  <c r="G524" i="10" s="1"/>
  <c r="H524" i="10" s="1"/>
  <c r="B524" i="1"/>
  <c r="I177" i="9"/>
  <c r="B504" i="1"/>
  <c r="C689" i="10"/>
  <c r="C511" i="10"/>
  <c r="C504" i="10"/>
  <c r="G504" i="10" s="1"/>
  <c r="C568" i="10"/>
  <c r="AR71" i="1"/>
  <c r="C537" i="1" s="1"/>
  <c r="G537" i="1" s="1"/>
  <c r="K71" i="1"/>
  <c r="C624" i="10"/>
  <c r="C648" i="10" s="1"/>
  <c r="M716" i="10" s="1"/>
  <c r="E273" i="9"/>
  <c r="B550" i="1"/>
  <c r="F550" i="1" s="1"/>
  <c r="C623" i="10"/>
  <c r="C532" i="10"/>
  <c r="G532" i="10" s="1"/>
  <c r="G113" i="9"/>
  <c r="C704" i="10"/>
  <c r="O71" i="1"/>
  <c r="H53" i="9" s="1"/>
  <c r="AZ52" i="1"/>
  <c r="AZ67" i="1" s="1"/>
  <c r="B502" i="1"/>
  <c r="J52" i="1"/>
  <c r="J67" i="1" s="1"/>
  <c r="J71" i="1" s="1"/>
  <c r="D465" i="1"/>
  <c r="BK71" i="1"/>
  <c r="C635" i="1" s="1"/>
  <c r="G273" i="9"/>
  <c r="U71" i="1"/>
  <c r="C686" i="1" s="1"/>
  <c r="W71" i="1"/>
  <c r="I85" i="9" s="1"/>
  <c r="AT71" i="1"/>
  <c r="I71" i="1"/>
  <c r="C674" i="1" s="1"/>
  <c r="AG71" i="1"/>
  <c r="C698" i="1" s="1"/>
  <c r="H49" i="9"/>
  <c r="AO71" i="1"/>
  <c r="F181" i="9" s="1"/>
  <c r="I81" i="9"/>
  <c r="AE71" i="1"/>
  <c r="C524" i="1" s="1"/>
  <c r="G524" i="1" s="1"/>
  <c r="BT71" i="1"/>
  <c r="C640" i="1" s="1"/>
  <c r="AB71" i="1"/>
  <c r="G117" i="9" s="1"/>
  <c r="BY71" i="1"/>
  <c r="C645" i="1" s="1"/>
  <c r="C113" i="9"/>
  <c r="BL52" i="1"/>
  <c r="BL67" i="1" s="1"/>
  <c r="BL71" i="1" s="1"/>
  <c r="H277" i="9" s="1"/>
  <c r="S52" i="1"/>
  <c r="S67" i="1" s="1"/>
  <c r="E52" i="1"/>
  <c r="E67" i="1" s="1"/>
  <c r="CC52" i="1"/>
  <c r="CC67" i="1" s="1"/>
  <c r="AN52" i="1"/>
  <c r="AN67" i="1" s="1"/>
  <c r="BO52" i="1"/>
  <c r="BO67" i="1" s="1"/>
  <c r="AU71" i="1"/>
  <c r="C540" i="1" s="1"/>
  <c r="G540" i="1" s="1"/>
  <c r="BN71" i="1"/>
  <c r="C309" i="9" s="1"/>
  <c r="BH71" i="1"/>
  <c r="C553" i="1" s="1"/>
  <c r="BW71" i="1"/>
  <c r="E341" i="9" s="1"/>
  <c r="AP71" i="1"/>
  <c r="C707" i="1" s="1"/>
  <c r="H71" i="1"/>
  <c r="H21" i="9" s="1"/>
  <c r="C44" i="9"/>
  <c r="AD71" i="1"/>
  <c r="C523" i="1" s="1"/>
  <c r="G523" i="1" s="1"/>
  <c r="H204" i="9"/>
  <c r="E140" i="9"/>
  <c r="S71" i="1"/>
  <c r="C512" i="1" s="1"/>
  <c r="G512" i="1" s="1"/>
  <c r="AX71" i="1"/>
  <c r="C616" i="1" s="1"/>
  <c r="BF71" i="1"/>
  <c r="C629" i="1" s="1"/>
  <c r="CA71" i="1"/>
  <c r="C572" i="1" s="1"/>
  <c r="H12" i="9"/>
  <c r="E12" i="9"/>
  <c r="H44" i="9"/>
  <c r="N71" i="1"/>
  <c r="C679" i="1" s="1"/>
  <c r="D268" i="9"/>
  <c r="BJ71" i="1"/>
  <c r="C617" i="1" s="1"/>
  <c r="AM71" i="1"/>
  <c r="C532" i="1" s="1"/>
  <c r="G532" i="1" s="1"/>
  <c r="G44" i="9"/>
  <c r="BU71" i="1"/>
  <c r="C641" i="1" s="1"/>
  <c r="E236" i="9"/>
  <c r="C300" i="9"/>
  <c r="F172" i="9"/>
  <c r="G300" i="9"/>
  <c r="H300" i="9"/>
  <c r="D140" i="9"/>
  <c r="D172" i="9"/>
  <c r="BR71" i="1"/>
  <c r="C563" i="1" s="1"/>
  <c r="AA71" i="1"/>
  <c r="C692" i="1" s="1"/>
  <c r="D108" i="9"/>
  <c r="AY71" i="1"/>
  <c r="C625" i="1" s="1"/>
  <c r="BB71" i="1"/>
  <c r="E245" i="9" s="1"/>
  <c r="D71" i="1"/>
  <c r="C497" i="1" s="1"/>
  <c r="G497" i="1" s="1"/>
  <c r="BA71" i="1"/>
  <c r="C630" i="1" s="1"/>
  <c r="BS71" i="1"/>
  <c r="C639" i="1" s="1"/>
  <c r="H140" i="9"/>
  <c r="I268" i="9"/>
  <c r="BP71" i="1"/>
  <c r="C561" i="1" s="1"/>
  <c r="BO71" i="1"/>
  <c r="C627" i="1" s="1"/>
  <c r="AH71" i="1"/>
  <c r="C699" i="1" s="1"/>
  <c r="H149" i="9"/>
  <c r="E204" i="9"/>
  <c r="CB71" i="1"/>
  <c r="C573" i="1" s="1"/>
  <c r="M71" i="1"/>
  <c r="F53" i="9" s="1"/>
  <c r="C172" i="9"/>
  <c r="H76" i="9"/>
  <c r="AF71" i="1"/>
  <c r="C697" i="1" s="1"/>
  <c r="BM71" i="1"/>
  <c r="C638" i="1" s="1"/>
  <c r="L71" i="1"/>
  <c r="C505" i="1" s="1"/>
  <c r="G505" i="1" s="1"/>
  <c r="H268" i="9"/>
  <c r="E300" i="9"/>
  <c r="E108" i="9"/>
  <c r="C696" i="1"/>
  <c r="V71" i="1"/>
  <c r="C515" i="1" s="1"/>
  <c r="G515" i="1" s="1"/>
  <c r="AV71" i="1"/>
  <c r="C713" i="1" s="1"/>
  <c r="CC71" i="1"/>
  <c r="C574" i="1" s="1"/>
  <c r="R71" i="1"/>
  <c r="D85" i="9" s="1"/>
  <c r="C140" i="9"/>
  <c r="D364" i="9"/>
  <c r="I204" i="9"/>
  <c r="D44" i="9"/>
  <c r="I172" i="9"/>
  <c r="I76" i="9"/>
  <c r="C517" i="1"/>
  <c r="G517" i="1" s="1"/>
  <c r="AL71" i="1"/>
  <c r="C531" i="1" s="1"/>
  <c r="G531" i="1" s="1"/>
  <c r="BG71" i="1"/>
  <c r="C552" i="1" s="1"/>
  <c r="AZ71" i="1"/>
  <c r="C628" i="1" s="1"/>
  <c r="BI71" i="1"/>
  <c r="C634" i="1" s="1"/>
  <c r="AQ71" i="1"/>
  <c r="C536" i="1" s="1"/>
  <c r="G536" i="1" s="1"/>
  <c r="H172" i="9"/>
  <c r="C689" i="1"/>
  <c r="C149" i="9"/>
  <c r="C108" i="9"/>
  <c r="D204" i="9"/>
  <c r="G76" i="9"/>
  <c r="I12" i="9"/>
  <c r="E268" i="9"/>
  <c r="G236" i="9"/>
  <c r="Z71" i="1"/>
  <c r="C691" i="1" s="1"/>
  <c r="C701" i="1"/>
  <c r="BD71" i="1"/>
  <c r="C624" i="1" s="1"/>
  <c r="T71" i="1"/>
  <c r="C685" i="1" s="1"/>
  <c r="AC71" i="1"/>
  <c r="H117" i="9" s="1"/>
  <c r="F332" i="9"/>
  <c r="P71" i="1"/>
  <c r="C509" i="1" s="1"/>
  <c r="G509" i="1" s="1"/>
  <c r="I300" i="9"/>
  <c r="C204" i="9"/>
  <c r="AS71" i="1"/>
  <c r="C62" i="1"/>
  <c r="CE48" i="1"/>
  <c r="G71" i="1"/>
  <c r="G21" i="9" s="1"/>
  <c r="BV71" i="1"/>
  <c r="C567" i="1" s="1"/>
  <c r="G108" i="9"/>
  <c r="F76" i="9"/>
  <c r="AK71" i="1"/>
  <c r="F236" i="9"/>
  <c r="BC71" i="1"/>
  <c r="AI71" i="1"/>
  <c r="C528" i="1" s="1"/>
  <c r="G528" i="1" s="1"/>
  <c r="BX71" i="1"/>
  <c r="C569" i="1" s="1"/>
  <c r="Q71" i="1"/>
  <c r="C510" i="1" s="1"/>
  <c r="G510" i="1" s="1"/>
  <c r="BQ71" i="1"/>
  <c r="C623" i="1" s="1"/>
  <c r="H332" i="9"/>
  <c r="BZ71" i="1"/>
  <c r="G140" i="9"/>
  <c r="BE71" i="1"/>
  <c r="C614" i="1" s="1"/>
  <c r="I44" i="9"/>
  <c r="F71" i="1"/>
  <c r="AW71" i="1"/>
  <c r="H305" i="9"/>
  <c r="D81" i="9"/>
  <c r="I309" i="9"/>
  <c r="F273" i="9"/>
  <c r="I17" i="9"/>
  <c r="E337" i="9"/>
  <c r="G49" i="9"/>
  <c r="C525" i="10"/>
  <c r="G525" i="10" s="1"/>
  <c r="B525" i="1"/>
  <c r="C697" i="10"/>
  <c r="C560" i="10"/>
  <c r="B560" i="1"/>
  <c r="C627" i="10"/>
  <c r="C646" i="10"/>
  <c r="C571" i="10"/>
  <c r="B571" i="1"/>
  <c r="C617" i="10"/>
  <c r="C555" i="10"/>
  <c r="B555" i="1"/>
  <c r="C677" i="10"/>
  <c r="C505" i="10"/>
  <c r="G505" i="10" s="1"/>
  <c r="B505" i="1"/>
  <c r="F505" i="1" s="1"/>
  <c r="C628" i="10"/>
  <c r="B545" i="1"/>
  <c r="C545" i="10"/>
  <c r="G545" i="10" s="1"/>
  <c r="B533" i="1"/>
  <c r="C705" i="10"/>
  <c r="C533" i="10"/>
  <c r="G533" i="10" s="1"/>
  <c r="B554" i="1"/>
  <c r="C634" i="10"/>
  <c r="C554" i="10"/>
  <c r="C680" i="10"/>
  <c r="B508" i="1"/>
  <c r="C508" i="10"/>
  <c r="C556" i="10"/>
  <c r="B556" i="1"/>
  <c r="C635" i="10"/>
  <c r="C516" i="10"/>
  <c r="G516" i="10" s="1"/>
  <c r="B516" i="1"/>
  <c r="F516" i="1" s="1"/>
  <c r="C688" i="10"/>
  <c r="C506" i="10"/>
  <c r="G506" i="10" s="1"/>
  <c r="C678" i="10"/>
  <c r="B506" i="1"/>
  <c r="C557" i="10"/>
  <c r="C637" i="10"/>
  <c r="B557" i="1"/>
  <c r="C563" i="10"/>
  <c r="B563" i="1"/>
  <c r="C626" i="10"/>
  <c r="C633" i="10"/>
  <c r="B548" i="1"/>
  <c r="C548" i="10"/>
  <c r="B507" i="1"/>
  <c r="C679" i="10"/>
  <c r="C507" i="10"/>
  <c r="G507" i="10" s="1"/>
  <c r="C632" i="10"/>
  <c r="C547" i="10"/>
  <c r="B547" i="1"/>
  <c r="I113" i="9"/>
  <c r="F241" i="9"/>
  <c r="F337" i="9"/>
  <c r="D49" i="9"/>
  <c r="E209" i="9"/>
  <c r="C209" i="9"/>
  <c r="H113" i="9"/>
  <c r="F67" i="10"/>
  <c r="CE52" i="10"/>
  <c r="I337" i="9"/>
  <c r="D277" i="9"/>
  <c r="E241" i="9"/>
  <c r="D53" i="9"/>
  <c r="C676" i="1"/>
  <c r="C504" i="1"/>
  <c r="G504" i="1" s="1"/>
  <c r="I49" i="9"/>
  <c r="D273" i="9"/>
  <c r="G81" i="9"/>
  <c r="C273" i="9"/>
  <c r="E149" i="9"/>
  <c r="C177" i="9"/>
  <c r="D145" i="9"/>
  <c r="G535" i="10"/>
  <c r="H535" i="10" s="1"/>
  <c r="H527" i="10"/>
  <c r="G527" i="10"/>
  <c r="G518" i="10"/>
  <c r="H518" i="10" s="1"/>
  <c r="H546" i="10"/>
  <c r="G546" i="10"/>
  <c r="G544" i="10"/>
  <c r="H544" i="10" s="1"/>
  <c r="G550" i="10"/>
  <c r="H550" i="10"/>
  <c r="G517" i="10"/>
  <c r="H517" i="10"/>
  <c r="D615" i="10"/>
  <c r="G519" i="10"/>
  <c r="H519" i="10"/>
  <c r="G498" i="10"/>
  <c r="H498" i="10"/>
  <c r="G511" i="10"/>
  <c r="H511" i="10" s="1"/>
  <c r="G514" i="10"/>
  <c r="H514" i="10" s="1"/>
  <c r="G503" i="10"/>
  <c r="H503" i="10"/>
  <c r="H537" i="10"/>
  <c r="G537" i="10"/>
  <c r="G522" i="10"/>
  <c r="H522" i="10" s="1"/>
  <c r="G520" i="10"/>
  <c r="H520" i="10" s="1"/>
  <c r="G515" i="10"/>
  <c r="H515" i="10" s="1"/>
  <c r="H521" i="10"/>
  <c r="G521" i="10"/>
  <c r="G526" i="10"/>
  <c r="H526" i="10" s="1"/>
  <c r="G531" i="10"/>
  <c r="H531" i="10" s="1"/>
  <c r="G512" i="10"/>
  <c r="H512" i="10"/>
  <c r="G510" i="10"/>
  <c r="H510" i="10" s="1"/>
  <c r="G509" i="10"/>
  <c r="H509" i="10" s="1"/>
  <c r="G508" i="10"/>
  <c r="H508" i="10" s="1"/>
  <c r="C71" i="10"/>
  <c r="CE62" i="10"/>
  <c r="B511" i="1"/>
  <c r="B573" i="1"/>
  <c r="H501" i="1"/>
  <c r="F501" i="1"/>
  <c r="F517" i="1"/>
  <c r="H497" i="1"/>
  <c r="F497" i="1"/>
  <c r="F515" i="1"/>
  <c r="G17" i="9"/>
  <c r="I273" i="9"/>
  <c r="D27" i="7"/>
  <c r="B448" i="1"/>
  <c r="F544" i="1"/>
  <c r="H536" i="1"/>
  <c r="F536" i="1"/>
  <c r="F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C559" i="1"/>
  <c r="C126" i="8"/>
  <c r="D391" i="1"/>
  <c r="F32" i="6"/>
  <c r="C478" i="1"/>
  <c r="C305" i="9"/>
  <c r="C102" i="8"/>
  <c r="C482" i="1"/>
  <c r="F498" i="1"/>
  <c r="H241" i="9"/>
  <c r="I145" i="9"/>
  <c r="G209" i="9"/>
  <c r="G337" i="9"/>
  <c r="D177" i="9"/>
  <c r="C516" i="1"/>
  <c r="G516" i="1" s="1"/>
  <c r="C688" i="1"/>
  <c r="C476" i="1"/>
  <c r="F16" i="6"/>
  <c r="G341" i="9"/>
  <c r="C570" i="1"/>
  <c r="C711" i="1"/>
  <c r="D213" i="9"/>
  <c r="C539" i="1"/>
  <c r="G539" i="1" s="1"/>
  <c r="D17" i="9"/>
  <c r="F305" i="9"/>
  <c r="F540" i="1"/>
  <c r="H540" i="1"/>
  <c r="F532" i="1"/>
  <c r="H532" i="1"/>
  <c r="F524" i="1"/>
  <c r="H524" i="1" s="1"/>
  <c r="G305" i="9"/>
  <c r="F113" i="9"/>
  <c r="F49" i="9"/>
  <c r="C369" i="9"/>
  <c r="F17" i="9"/>
  <c r="G241" i="9"/>
  <c r="C568" i="1"/>
  <c r="C53" i="9" l="1"/>
  <c r="C675" i="1"/>
  <c r="C565" i="1"/>
  <c r="C49" i="9"/>
  <c r="C636" i="1"/>
  <c r="G85" i="9"/>
  <c r="Y71" i="1"/>
  <c r="C503" i="1"/>
  <c r="G503" i="1" s="1"/>
  <c r="E213" i="9"/>
  <c r="C514" i="1"/>
  <c r="G514" i="1" s="1"/>
  <c r="C712" i="1"/>
  <c r="C709" i="1"/>
  <c r="C706" i="1"/>
  <c r="C508" i="1"/>
  <c r="G508" i="1" s="1"/>
  <c r="I181" i="9"/>
  <c r="C680" i="1"/>
  <c r="H505" i="1"/>
  <c r="CE52" i="1"/>
  <c r="H516" i="10"/>
  <c r="C241" i="9"/>
  <c r="E17" i="9"/>
  <c r="C619" i="1"/>
  <c r="C526" i="1"/>
  <c r="G526" i="1" s="1"/>
  <c r="C556" i="1"/>
  <c r="C502" i="1"/>
  <c r="G502" i="1" s="1"/>
  <c r="C693" i="1"/>
  <c r="C534" i="1"/>
  <c r="G534" i="1" s="1"/>
  <c r="E71" i="1"/>
  <c r="C498" i="1" s="1"/>
  <c r="G498" i="1" s="1"/>
  <c r="CE67" i="1"/>
  <c r="E81" i="9"/>
  <c r="I21" i="9"/>
  <c r="H273" i="9"/>
  <c r="D305" i="9"/>
  <c r="E177" i="9"/>
  <c r="G277" i="9"/>
  <c r="C521" i="1"/>
  <c r="G521" i="1" s="1"/>
  <c r="AN71" i="1"/>
  <c r="C533" i="1" s="1"/>
  <c r="G533" i="1" s="1"/>
  <c r="D369" i="9"/>
  <c r="C643" i="1"/>
  <c r="G181" i="9"/>
  <c r="C535" i="1"/>
  <c r="G535" i="1" s="1"/>
  <c r="C501" i="1"/>
  <c r="G501" i="1" s="1"/>
  <c r="C673" i="1"/>
  <c r="I213" i="9"/>
  <c r="C684" i="1"/>
  <c r="H213" i="9"/>
  <c r="I117" i="9"/>
  <c r="C695" i="1"/>
  <c r="C555" i="1"/>
  <c r="E85" i="9"/>
  <c r="I341" i="9"/>
  <c r="C622" i="1"/>
  <c r="C626" i="1"/>
  <c r="C506" i="1"/>
  <c r="G506" i="1" s="1"/>
  <c r="F149" i="9"/>
  <c r="C543" i="1"/>
  <c r="D181" i="9"/>
  <c r="C647" i="1"/>
  <c r="H181" i="9"/>
  <c r="C507" i="1"/>
  <c r="G507" i="1" s="1"/>
  <c r="I245" i="9"/>
  <c r="C551" i="1"/>
  <c r="G53" i="9"/>
  <c r="C527" i="1"/>
  <c r="G527" i="1" s="1"/>
  <c r="G309" i="9"/>
  <c r="C245" i="9"/>
  <c r="C704" i="1"/>
  <c r="I277" i="9"/>
  <c r="C541" i="1"/>
  <c r="C547" i="1"/>
  <c r="F213" i="9"/>
  <c r="C558" i="1"/>
  <c r="C678" i="1"/>
  <c r="C632" i="1"/>
  <c r="C677" i="1"/>
  <c r="C670" i="1"/>
  <c r="F117" i="9"/>
  <c r="E21" i="9"/>
  <c r="C373" i="9"/>
  <c r="G149" i="9"/>
  <c r="C566" i="1"/>
  <c r="F277" i="9"/>
  <c r="C544" i="1"/>
  <c r="G544" i="1" s="1"/>
  <c r="C525" i="1"/>
  <c r="G525" i="1" s="1"/>
  <c r="C341" i="9"/>
  <c r="D149" i="9"/>
  <c r="C620" i="1"/>
  <c r="C564" i="1"/>
  <c r="H309" i="9"/>
  <c r="C520" i="1"/>
  <c r="G520" i="1" s="1"/>
  <c r="D21" i="9"/>
  <c r="C669" i="1"/>
  <c r="H517" i="1"/>
  <c r="D245" i="9"/>
  <c r="E309" i="9"/>
  <c r="C546" i="1"/>
  <c r="G546" i="1" s="1"/>
  <c r="C621" i="1"/>
  <c r="H85" i="9"/>
  <c r="C277" i="9"/>
  <c r="C687" i="1"/>
  <c r="C694" i="1"/>
  <c r="D309" i="9"/>
  <c r="C618" i="1"/>
  <c r="E117" i="9"/>
  <c r="C519" i="1"/>
  <c r="G519" i="1" s="1"/>
  <c r="C560" i="1"/>
  <c r="C708" i="1"/>
  <c r="C703" i="1"/>
  <c r="D341" i="9"/>
  <c r="E53" i="9"/>
  <c r="C642" i="1"/>
  <c r="C554" i="1"/>
  <c r="F341" i="9"/>
  <c r="E277" i="9"/>
  <c r="D373" i="9"/>
  <c r="C545" i="1"/>
  <c r="G545" i="1" s="1"/>
  <c r="C683" i="1"/>
  <c r="C181" i="9"/>
  <c r="C511" i="1"/>
  <c r="G511" i="1" s="1"/>
  <c r="C500" i="1"/>
  <c r="G500" i="1" s="1"/>
  <c r="C672" i="1"/>
  <c r="C700" i="1"/>
  <c r="C522" i="1"/>
  <c r="G522" i="1" s="1"/>
  <c r="H245" i="9"/>
  <c r="C85" i="9"/>
  <c r="F85" i="9"/>
  <c r="C644" i="1"/>
  <c r="C513" i="1"/>
  <c r="G513" i="1" s="1"/>
  <c r="C557" i="1"/>
  <c r="G245" i="9"/>
  <c r="C549" i="1"/>
  <c r="C550" i="1"/>
  <c r="G550" i="1" s="1"/>
  <c r="C682" i="1"/>
  <c r="C637" i="1"/>
  <c r="I53" i="9"/>
  <c r="G213" i="9"/>
  <c r="C542" i="1"/>
  <c r="C631" i="1"/>
  <c r="C633" i="1"/>
  <c r="F245" i="9"/>
  <c r="C548" i="1"/>
  <c r="C710" i="1"/>
  <c r="C213" i="9"/>
  <c r="C538" i="1"/>
  <c r="G538" i="1" s="1"/>
  <c r="C571" i="1"/>
  <c r="H341" i="9"/>
  <c r="C646" i="1"/>
  <c r="C681" i="1"/>
  <c r="C530" i="1"/>
  <c r="G530" i="1" s="1"/>
  <c r="C702" i="1"/>
  <c r="I149" i="9"/>
  <c r="C71" i="1"/>
  <c r="CE62" i="1"/>
  <c r="C12" i="9"/>
  <c r="F21" i="9"/>
  <c r="C671" i="1"/>
  <c r="C499" i="1"/>
  <c r="G499" i="1" s="1"/>
  <c r="C562" i="1"/>
  <c r="F309" i="9"/>
  <c r="H528" i="1"/>
  <c r="H515" i="1"/>
  <c r="H498" i="1"/>
  <c r="CE67" i="10"/>
  <c r="C433" i="10" s="1"/>
  <c r="F71" i="10"/>
  <c r="D615" i="1"/>
  <c r="H516" i="1"/>
  <c r="C428" i="10"/>
  <c r="C668" i="10"/>
  <c r="C496" i="10"/>
  <c r="D710" i="10"/>
  <c r="D702" i="10"/>
  <c r="D694" i="10"/>
  <c r="D686" i="10"/>
  <c r="D678" i="10"/>
  <c r="D670" i="10"/>
  <c r="D647" i="10"/>
  <c r="D646" i="10"/>
  <c r="D645" i="10"/>
  <c r="D716" i="10"/>
  <c r="D707" i="10"/>
  <c r="D699" i="10"/>
  <c r="D691" i="10"/>
  <c r="D683" i="10"/>
  <c r="D675" i="10"/>
  <c r="D644" i="10"/>
  <c r="D643" i="10"/>
  <c r="D642" i="10"/>
  <c r="D641" i="10"/>
  <c r="D640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6" i="10"/>
  <c r="D698" i="10"/>
  <c r="D690" i="10"/>
  <c r="D682" i="10"/>
  <c r="D674" i="10"/>
  <c r="D700" i="10"/>
  <c r="D673" i="10"/>
  <c r="D637" i="10"/>
  <c r="D624" i="10"/>
  <c r="D692" i="10"/>
  <c r="D671" i="10"/>
  <c r="D638" i="10"/>
  <c r="D630" i="10"/>
  <c r="D620" i="10"/>
  <c r="D616" i="10"/>
  <c r="D711" i="10"/>
  <c r="D684" i="10"/>
  <c r="D639" i="10"/>
  <c r="D631" i="10"/>
  <c r="D627" i="10"/>
  <c r="D713" i="10"/>
  <c r="D703" i="10"/>
  <c r="D676" i="10"/>
  <c r="D668" i="10"/>
  <c r="D632" i="10"/>
  <c r="D623" i="10"/>
  <c r="D619" i="10"/>
  <c r="D705" i="10"/>
  <c r="D695" i="10"/>
  <c r="D633" i="10"/>
  <c r="D625" i="10"/>
  <c r="D689" i="10"/>
  <c r="D628" i="10"/>
  <c r="D634" i="10"/>
  <c r="D622" i="10"/>
  <c r="D687" i="10"/>
  <c r="D708" i="10"/>
  <c r="D697" i="10"/>
  <c r="D621" i="10"/>
  <c r="D618" i="10"/>
  <c r="D617" i="10"/>
  <c r="D681" i="10"/>
  <c r="D626" i="10"/>
  <c r="D679" i="10"/>
  <c r="D636" i="10"/>
  <c r="D629" i="10"/>
  <c r="D635" i="10"/>
  <c r="F511" i="1"/>
  <c r="B496" i="1"/>
  <c r="F522" i="1"/>
  <c r="F510" i="1"/>
  <c r="H510" i="1" s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 s="1"/>
  <c r="F508" i="1"/>
  <c r="H508" i="1" s="1"/>
  <c r="F514" i="1"/>
  <c r="H514" i="1" s="1"/>
  <c r="H507" i="1"/>
  <c r="F507" i="1"/>
  <c r="F518" i="1"/>
  <c r="F546" i="1"/>
  <c r="F506" i="1"/>
  <c r="H506" i="1"/>
  <c r="H500" i="1"/>
  <c r="F500" i="1"/>
  <c r="F509" i="1"/>
  <c r="H509" i="1" s="1"/>
  <c r="D117" i="9" l="1"/>
  <c r="C518" i="1"/>
  <c r="G518" i="1" s="1"/>
  <c r="C690" i="1"/>
  <c r="H518" i="1"/>
  <c r="E181" i="9"/>
  <c r="C705" i="1"/>
  <c r="CE71" i="10"/>
  <c r="C716" i="10" s="1"/>
  <c r="I369" i="9"/>
  <c r="C433" i="1"/>
  <c r="H526" i="1"/>
  <c r="H520" i="1"/>
  <c r="H546" i="1"/>
  <c r="H544" i="1"/>
  <c r="H522" i="1"/>
  <c r="H511" i="1"/>
  <c r="H550" i="1"/>
  <c r="C648" i="1"/>
  <c r="M716" i="1" s="1"/>
  <c r="C668" i="1"/>
  <c r="C715" i="1" s="1"/>
  <c r="C496" i="1"/>
  <c r="G496" i="1" s="1"/>
  <c r="C21" i="9"/>
  <c r="CE71" i="1"/>
  <c r="C428" i="1"/>
  <c r="I364" i="9"/>
  <c r="C715" i="10"/>
  <c r="C441" i="10"/>
  <c r="D668" i="1"/>
  <c r="D698" i="1"/>
  <c r="D687" i="1"/>
  <c r="D700" i="1"/>
  <c r="D628" i="1"/>
  <c r="D701" i="1"/>
  <c r="D695" i="1"/>
  <c r="D631" i="1"/>
  <c r="D694" i="1"/>
  <c r="D684" i="1"/>
  <c r="D626" i="1"/>
  <c r="D617" i="1"/>
  <c r="D646" i="1"/>
  <c r="D702" i="1"/>
  <c r="D679" i="1"/>
  <c r="D625" i="1"/>
  <c r="D629" i="1"/>
  <c r="D692" i="1"/>
  <c r="D634" i="1"/>
  <c r="D704" i="1"/>
  <c r="D691" i="1"/>
  <c r="D623" i="1"/>
  <c r="D670" i="1"/>
  <c r="D705" i="1"/>
  <c r="D640" i="1"/>
  <c r="D675" i="1"/>
  <c r="D712" i="1"/>
  <c r="D706" i="1"/>
  <c r="D696" i="1"/>
  <c r="D635" i="1"/>
  <c r="D645" i="1"/>
  <c r="D669" i="1"/>
  <c r="D703" i="1"/>
  <c r="D677" i="1"/>
  <c r="D682" i="1"/>
  <c r="D716" i="1"/>
  <c r="D710" i="1"/>
  <c r="D642" i="1"/>
  <c r="D641" i="1"/>
  <c r="D697" i="1"/>
  <c r="D643" i="1"/>
  <c r="D709" i="1"/>
  <c r="D708" i="1"/>
  <c r="D707" i="1"/>
  <c r="D683" i="1"/>
  <c r="D713" i="1"/>
  <c r="D693" i="1"/>
  <c r="D647" i="1"/>
  <c r="D681" i="1"/>
  <c r="D672" i="1"/>
  <c r="D685" i="1"/>
  <c r="D636" i="1"/>
  <c r="D624" i="1"/>
  <c r="D699" i="1"/>
  <c r="D690" i="1"/>
  <c r="D644" i="1"/>
  <c r="D620" i="1"/>
  <c r="D622" i="1"/>
  <c r="D638" i="1"/>
  <c r="D639" i="1"/>
  <c r="D673" i="1"/>
  <c r="D686" i="1"/>
  <c r="D627" i="1"/>
  <c r="D711" i="1"/>
  <c r="D689" i="1"/>
  <c r="D630" i="1"/>
  <c r="D678" i="1"/>
  <c r="D676" i="1"/>
  <c r="D632" i="1"/>
  <c r="D674" i="1"/>
  <c r="D633" i="1"/>
  <c r="D619" i="1"/>
  <c r="D688" i="1"/>
  <c r="D637" i="1"/>
  <c r="D618" i="1"/>
  <c r="D671" i="1"/>
  <c r="D621" i="1"/>
  <c r="D680" i="1"/>
  <c r="D616" i="1"/>
  <c r="C671" i="10"/>
  <c r="C499" i="10"/>
  <c r="G499" i="10" s="1"/>
  <c r="B499" i="1"/>
  <c r="E612" i="10"/>
  <c r="G496" i="10"/>
  <c r="H496" i="10" s="1"/>
  <c r="D715" i="10"/>
  <c r="E623" i="10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C441" i="1" l="1"/>
  <c r="H496" i="1"/>
  <c r="D715" i="1"/>
  <c r="E623" i="1"/>
  <c r="E612" i="1"/>
  <c r="C716" i="1"/>
  <c r="I373" i="9"/>
  <c r="F499" i="1"/>
  <c r="H499" i="1"/>
  <c r="E716" i="10"/>
  <c r="E707" i="10"/>
  <c r="E699" i="10"/>
  <c r="E691" i="10"/>
  <c r="E683" i="10"/>
  <c r="E675" i="10"/>
  <c r="E644" i="10"/>
  <c r="E643" i="10"/>
  <c r="E642" i="10"/>
  <c r="E641" i="10"/>
  <c r="E640" i="10"/>
  <c r="E639" i="10"/>
  <c r="E712" i="10"/>
  <c r="E704" i="10"/>
  <c r="E696" i="10"/>
  <c r="E688" i="10"/>
  <c r="E680" i="10"/>
  <c r="E672" i="10"/>
  <c r="E709" i="10"/>
  <c r="E701" i="10"/>
  <c r="E693" i="10"/>
  <c r="E685" i="10"/>
  <c r="E677" i="10"/>
  <c r="E669" i="10"/>
  <c r="E706" i="10"/>
  <c r="E698" i="10"/>
  <c r="E690" i="10"/>
  <c r="E682" i="10"/>
  <c r="E674" i="10"/>
  <c r="E711" i="10"/>
  <c r="E703" i="10"/>
  <c r="E695" i="10"/>
  <c r="E687" i="10"/>
  <c r="E679" i="10"/>
  <c r="E702" i="10"/>
  <c r="E692" i="10"/>
  <c r="E671" i="10"/>
  <c r="E638" i="10"/>
  <c r="E630" i="10"/>
  <c r="E694" i="10"/>
  <c r="E684" i="10"/>
  <c r="E647" i="10"/>
  <c r="E631" i="10"/>
  <c r="E627" i="10"/>
  <c r="E713" i="10"/>
  <c r="E686" i="10"/>
  <c r="E676" i="10"/>
  <c r="E668" i="10"/>
  <c r="E632" i="10"/>
  <c r="E705" i="10"/>
  <c r="E678" i="10"/>
  <c r="E645" i="10"/>
  <c r="E633" i="10"/>
  <c r="E625" i="10"/>
  <c r="E697" i="10"/>
  <c r="E634" i="10"/>
  <c r="E628" i="10"/>
  <c r="E710" i="10"/>
  <c r="E624" i="10"/>
  <c r="E673" i="10"/>
  <c r="E708" i="10"/>
  <c r="E637" i="10"/>
  <c r="E681" i="10"/>
  <c r="E636" i="10"/>
  <c r="E626" i="10"/>
  <c r="E700" i="10"/>
  <c r="E635" i="10"/>
  <c r="E670" i="10"/>
  <c r="E646" i="10"/>
  <c r="E689" i="10"/>
  <c r="E629" i="10"/>
  <c r="E641" i="1" l="1"/>
  <c r="E644" i="1"/>
  <c r="E713" i="1"/>
  <c r="E682" i="1"/>
  <c r="E681" i="1"/>
  <c r="E689" i="1"/>
  <c r="E688" i="1"/>
  <c r="E674" i="1"/>
  <c r="E669" i="1"/>
  <c r="E637" i="1"/>
  <c r="E687" i="1"/>
  <c r="E704" i="1"/>
  <c r="E680" i="1"/>
  <c r="E645" i="1"/>
  <c r="E679" i="1"/>
  <c r="E701" i="1"/>
  <c r="E633" i="1"/>
  <c r="E643" i="1"/>
  <c r="E694" i="1"/>
  <c r="E712" i="1"/>
  <c r="E636" i="1"/>
  <c r="E635" i="1"/>
  <c r="E692" i="1"/>
  <c r="E710" i="1"/>
  <c r="E708" i="1"/>
  <c r="E696" i="1"/>
  <c r="E625" i="1"/>
  <c r="E705" i="1"/>
  <c r="E634" i="1"/>
  <c r="E683" i="1"/>
  <c r="E699" i="1"/>
  <c r="E675" i="1"/>
  <c r="E638" i="1"/>
  <c r="E691" i="1"/>
  <c r="E700" i="1"/>
  <c r="E697" i="1"/>
  <c r="E673" i="1"/>
  <c r="E678" i="1"/>
  <c r="E677" i="1"/>
  <c r="E711" i="1"/>
  <c r="E629" i="1"/>
  <c r="E624" i="1"/>
  <c r="F624" i="1" s="1"/>
  <c r="F670" i="1" s="1"/>
  <c r="E716" i="1"/>
  <c r="E640" i="1"/>
  <c r="E703" i="1"/>
  <c r="E646" i="1"/>
  <c r="E670" i="1"/>
  <c r="E631" i="1"/>
  <c r="E628" i="1"/>
  <c r="E627" i="1"/>
  <c r="E668" i="1"/>
  <c r="E626" i="1"/>
  <c r="E672" i="1"/>
  <c r="E686" i="1"/>
  <c r="E706" i="1"/>
  <c r="E632" i="1"/>
  <c r="E642" i="1"/>
  <c r="E695" i="1"/>
  <c r="E684" i="1"/>
  <c r="E690" i="1"/>
  <c r="E671" i="1"/>
  <c r="E676" i="1"/>
  <c r="E702" i="1"/>
  <c r="E693" i="1"/>
  <c r="E630" i="1"/>
  <c r="E709" i="1"/>
  <c r="E707" i="1"/>
  <c r="E639" i="1"/>
  <c r="E647" i="1"/>
  <c r="E685" i="1"/>
  <c r="E698" i="1"/>
  <c r="E715" i="10"/>
  <c r="F624" i="10"/>
  <c r="F687" i="1" l="1"/>
  <c r="F691" i="1"/>
  <c r="F640" i="1"/>
  <c r="F697" i="1"/>
  <c r="F643" i="1"/>
  <c r="F646" i="1"/>
  <c r="F633" i="1"/>
  <c r="F708" i="1"/>
  <c r="F712" i="1"/>
  <c r="F647" i="1"/>
  <c r="F638" i="1"/>
  <c r="F636" i="1"/>
  <c r="F694" i="1"/>
  <c r="F671" i="1"/>
  <c r="F644" i="1"/>
  <c r="F707" i="1"/>
  <c r="F689" i="1"/>
  <c r="F626" i="1"/>
  <c r="F637" i="1"/>
  <c r="F692" i="1"/>
  <c r="F625" i="1"/>
  <c r="G625" i="1" s="1"/>
  <c r="F705" i="1"/>
  <c r="F641" i="1"/>
  <c r="F672" i="1"/>
  <c r="F645" i="1"/>
  <c r="F698" i="1"/>
  <c r="F629" i="1"/>
  <c r="F683" i="1"/>
  <c r="F700" i="1"/>
  <c r="F630" i="1"/>
  <c r="F682" i="1"/>
  <c r="F674" i="1"/>
  <c r="F716" i="1"/>
  <c r="F678" i="1"/>
  <c r="F686" i="1"/>
  <c r="F635" i="1"/>
  <c r="F709" i="1"/>
  <c r="F669" i="1"/>
  <c r="F634" i="1"/>
  <c r="F696" i="1"/>
  <c r="F704" i="1"/>
  <c r="F639" i="1"/>
  <c r="F627" i="1"/>
  <c r="F706" i="1"/>
  <c r="F679" i="1"/>
  <c r="F695" i="1"/>
  <c r="F685" i="1"/>
  <c r="F676" i="1"/>
  <c r="F668" i="1"/>
  <c r="F701" i="1"/>
  <c r="F703" i="1"/>
  <c r="F677" i="1"/>
  <c r="F680" i="1"/>
  <c r="F632" i="1"/>
  <c r="F699" i="1"/>
  <c r="F690" i="1"/>
  <c r="F628" i="1"/>
  <c r="F631" i="1"/>
  <c r="F688" i="1"/>
  <c r="F711" i="1"/>
  <c r="F642" i="1"/>
  <c r="F710" i="1"/>
  <c r="F684" i="1"/>
  <c r="F713" i="1"/>
  <c r="F681" i="1"/>
  <c r="F693" i="1"/>
  <c r="F702" i="1"/>
  <c r="F675" i="1"/>
  <c r="F673" i="1"/>
  <c r="E715" i="1"/>
  <c r="F712" i="10"/>
  <c r="F704" i="10"/>
  <c r="F696" i="10"/>
  <c r="F688" i="10"/>
  <c r="F680" i="10"/>
  <c r="F672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684" i="10"/>
  <c r="F676" i="10"/>
  <c r="F694" i="10"/>
  <c r="F647" i="10"/>
  <c r="F644" i="10"/>
  <c r="F631" i="10"/>
  <c r="F627" i="10"/>
  <c r="F713" i="10"/>
  <c r="F686" i="10"/>
  <c r="F668" i="10"/>
  <c r="F639" i="10"/>
  <c r="F632" i="10"/>
  <c r="F716" i="10"/>
  <c r="F705" i="10"/>
  <c r="F678" i="10"/>
  <c r="F645" i="10"/>
  <c r="F642" i="10"/>
  <c r="F633" i="10"/>
  <c r="F625" i="10"/>
  <c r="F707" i="10"/>
  <c r="F697" i="10"/>
  <c r="F634" i="10"/>
  <c r="F628" i="10"/>
  <c r="F699" i="10"/>
  <c r="F689" i="10"/>
  <c r="F640" i="10"/>
  <c r="F635" i="10"/>
  <c r="F673" i="10"/>
  <c r="F683" i="10"/>
  <c r="F641" i="10"/>
  <c r="F637" i="10"/>
  <c r="F681" i="10"/>
  <c r="F636" i="10"/>
  <c r="F626" i="10"/>
  <c r="F702" i="10"/>
  <c r="F691" i="10"/>
  <c r="F643" i="10"/>
  <c r="F630" i="10"/>
  <c r="F670" i="10"/>
  <c r="F710" i="10"/>
  <c r="F629" i="10"/>
  <c r="F638" i="10"/>
  <c r="F646" i="10"/>
  <c r="F675" i="10"/>
  <c r="G644" i="1" l="1"/>
  <c r="G682" i="1"/>
  <c r="G634" i="1"/>
  <c r="G683" i="1"/>
  <c r="G705" i="1"/>
  <c r="G668" i="1"/>
  <c r="G645" i="1"/>
  <c r="G675" i="1"/>
  <c r="G688" i="1"/>
  <c r="G679" i="1"/>
  <c r="G696" i="1"/>
  <c r="G703" i="1"/>
  <c r="G711" i="1"/>
  <c r="G704" i="1"/>
  <c r="G685" i="1"/>
  <c r="G690" i="1"/>
  <c r="G698" i="1"/>
  <c r="G631" i="1"/>
  <c r="G628" i="1"/>
  <c r="G699" i="1"/>
  <c r="G684" i="1"/>
  <c r="G687" i="1"/>
  <c r="G626" i="1"/>
  <c r="G680" i="1"/>
  <c r="G641" i="1"/>
  <c r="G669" i="1"/>
  <c r="G716" i="1"/>
  <c r="G639" i="1"/>
  <c r="G681" i="1"/>
  <c r="G713" i="1"/>
  <c r="G642" i="1"/>
  <c r="G709" i="1"/>
  <c r="G633" i="1"/>
  <c r="G689" i="1"/>
  <c r="G697" i="1"/>
  <c r="G640" i="1"/>
  <c r="G636" i="1"/>
  <c r="G629" i="1"/>
  <c r="G691" i="1"/>
  <c r="G708" i="1"/>
  <c r="G673" i="1"/>
  <c r="G630" i="1"/>
  <c r="G676" i="1"/>
  <c r="G632" i="1"/>
  <c r="G637" i="1"/>
  <c r="G686" i="1"/>
  <c r="G712" i="1"/>
  <c r="G710" i="1"/>
  <c r="G647" i="1"/>
  <c r="G671" i="1"/>
  <c r="G694" i="1"/>
  <c r="G693" i="1"/>
  <c r="G643" i="1"/>
  <c r="G627" i="1"/>
  <c r="G672" i="1"/>
  <c r="G635" i="1"/>
  <c r="G692" i="1"/>
  <c r="G700" i="1"/>
  <c r="F715" i="1"/>
  <c r="G674" i="1"/>
  <c r="G677" i="1"/>
  <c r="G702" i="1"/>
  <c r="G646" i="1"/>
  <c r="G707" i="1"/>
  <c r="G695" i="1"/>
  <c r="G638" i="1"/>
  <c r="G678" i="1"/>
  <c r="G706" i="1"/>
  <c r="G670" i="1"/>
  <c r="G701" i="1"/>
  <c r="H628" i="1"/>
  <c r="H710" i="1" s="1"/>
  <c r="G715" i="1"/>
  <c r="F715" i="10"/>
  <c r="G625" i="10"/>
  <c r="H692" i="1" l="1"/>
  <c r="H711" i="1"/>
  <c r="H679" i="1"/>
  <c r="H678" i="1"/>
  <c r="H700" i="1"/>
  <c r="H704" i="1"/>
  <c r="H689" i="1"/>
  <c r="H687" i="1"/>
  <c r="H671" i="1"/>
  <c r="H631" i="1"/>
  <c r="H697" i="1"/>
  <c r="H688" i="1"/>
  <c r="H630" i="1"/>
  <c r="H675" i="1"/>
  <c r="H696" i="1"/>
  <c r="H634" i="1"/>
  <c r="H638" i="1"/>
  <c r="H693" i="1"/>
  <c r="H668" i="1"/>
  <c r="H699" i="1"/>
  <c r="H676" i="1"/>
  <c r="H640" i="1"/>
  <c r="H703" i="1"/>
  <c r="H635" i="1"/>
  <c r="H639" i="1"/>
  <c r="H629" i="1"/>
  <c r="I629" i="1" s="1"/>
  <c r="I632" i="1" s="1"/>
  <c r="H670" i="1"/>
  <c r="H709" i="1"/>
  <c r="H713" i="1"/>
  <c r="H674" i="1"/>
  <c r="H706" i="1"/>
  <c r="H672" i="1"/>
  <c r="H690" i="1"/>
  <c r="H716" i="1"/>
  <c r="H708" i="1"/>
  <c r="H694" i="1"/>
  <c r="H643" i="1"/>
  <c r="H632" i="1"/>
  <c r="H647" i="1"/>
  <c r="H633" i="1"/>
  <c r="H636" i="1"/>
  <c r="H642" i="1"/>
  <c r="H705" i="1"/>
  <c r="H682" i="1"/>
  <c r="H684" i="1"/>
  <c r="H644" i="1"/>
  <c r="H701" i="1"/>
  <c r="H677" i="1"/>
  <c r="H698" i="1"/>
  <c r="H673" i="1"/>
  <c r="H645" i="1"/>
  <c r="H681" i="1"/>
  <c r="H680" i="1"/>
  <c r="H691" i="1"/>
  <c r="H712" i="1"/>
  <c r="H686" i="1"/>
  <c r="H683" i="1"/>
  <c r="H702" i="1"/>
  <c r="H695" i="1"/>
  <c r="H669" i="1"/>
  <c r="H637" i="1"/>
  <c r="H646" i="1"/>
  <c r="H685" i="1"/>
  <c r="H641" i="1"/>
  <c r="H707" i="1"/>
  <c r="G709" i="10"/>
  <c r="G701" i="10"/>
  <c r="G693" i="10"/>
  <c r="G685" i="10"/>
  <c r="G677" i="10"/>
  <c r="G669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713" i="10"/>
  <c r="G705" i="10"/>
  <c r="G697" i="10"/>
  <c r="G689" i="10"/>
  <c r="G681" i="10"/>
  <c r="G673" i="10"/>
  <c r="G696" i="10"/>
  <c r="G686" i="10"/>
  <c r="G668" i="10"/>
  <c r="G639" i="10"/>
  <c r="G632" i="10"/>
  <c r="G716" i="10"/>
  <c r="G688" i="10"/>
  <c r="G678" i="10"/>
  <c r="G645" i="10"/>
  <c r="G642" i="10"/>
  <c r="G633" i="10"/>
  <c r="G707" i="10"/>
  <c r="G680" i="10"/>
  <c r="G634" i="10"/>
  <c r="G628" i="10"/>
  <c r="G699" i="10"/>
  <c r="G672" i="10"/>
  <c r="G640" i="10"/>
  <c r="G635" i="10"/>
  <c r="G691" i="10"/>
  <c r="G646" i="10"/>
  <c r="G643" i="10"/>
  <c r="G636" i="10"/>
  <c r="G629" i="10"/>
  <c r="G626" i="10"/>
  <c r="G694" i="10"/>
  <c r="G683" i="10"/>
  <c r="G641" i="10"/>
  <c r="G637" i="10"/>
  <c r="G704" i="10"/>
  <c r="G631" i="10"/>
  <c r="G627" i="10"/>
  <c r="G702" i="10"/>
  <c r="G644" i="10"/>
  <c r="G630" i="10"/>
  <c r="G712" i="10"/>
  <c r="G670" i="10"/>
  <c r="G675" i="10"/>
  <c r="G710" i="10"/>
  <c r="G638" i="10"/>
  <c r="G647" i="10"/>
  <c r="I692" i="1" l="1"/>
  <c r="I687" i="1"/>
  <c r="I701" i="1"/>
  <c r="I696" i="1"/>
  <c r="I679" i="1"/>
  <c r="I705" i="1"/>
  <c r="I680" i="1"/>
  <c r="I711" i="1"/>
  <c r="I671" i="1"/>
  <c r="I645" i="1"/>
  <c r="I707" i="1"/>
  <c r="I700" i="1"/>
  <c r="I691" i="1"/>
  <c r="I669" i="1"/>
  <c r="I699" i="1"/>
  <c r="I640" i="1"/>
  <c r="I683" i="1"/>
  <c r="I710" i="1"/>
  <c r="I670" i="1"/>
  <c r="I678" i="1"/>
  <c r="I634" i="1"/>
  <c r="I641" i="1"/>
  <c r="I690" i="1"/>
  <c r="I695" i="1"/>
  <c r="I672" i="1"/>
  <c r="I697" i="1"/>
  <c r="I713" i="1"/>
  <c r="I643" i="1"/>
  <c r="I631" i="1"/>
  <c r="I675" i="1"/>
  <c r="I674" i="1"/>
  <c r="I712" i="1"/>
  <c r="I709" i="1"/>
  <c r="I635" i="1"/>
  <c r="I688" i="1"/>
  <c r="I704" i="1"/>
  <c r="I639" i="1"/>
  <c r="I693" i="1"/>
  <c r="I684" i="1"/>
  <c r="I685" i="1"/>
  <c r="I703" i="1"/>
  <c r="I630" i="1"/>
  <c r="J630" i="1" s="1"/>
  <c r="J680" i="1" s="1"/>
  <c r="I668" i="1"/>
  <c r="I644" i="1"/>
  <c r="I689" i="1"/>
  <c r="I686" i="1"/>
  <c r="I694" i="1"/>
  <c r="I636" i="1"/>
  <c r="I702" i="1"/>
  <c r="I642" i="1"/>
  <c r="I698" i="1"/>
  <c r="I676" i="1"/>
  <c r="I716" i="1"/>
  <c r="I633" i="1"/>
  <c r="I708" i="1"/>
  <c r="I638" i="1"/>
  <c r="I706" i="1"/>
  <c r="I673" i="1"/>
  <c r="I677" i="1"/>
  <c r="I681" i="1"/>
  <c r="I637" i="1"/>
  <c r="I682" i="1"/>
  <c r="I646" i="1"/>
  <c r="I647" i="1"/>
  <c r="H715" i="1"/>
  <c r="G715" i="10"/>
  <c r="H628" i="10"/>
  <c r="J678" i="1" l="1"/>
  <c r="J701" i="1"/>
  <c r="J706" i="1"/>
  <c r="J691" i="1"/>
  <c r="J700" i="1"/>
  <c r="J692" i="1"/>
  <c r="J673" i="1"/>
  <c r="J702" i="1"/>
  <c r="J639" i="1"/>
  <c r="J643" i="1"/>
  <c r="J635" i="1"/>
  <c r="J698" i="1"/>
  <c r="J686" i="1"/>
  <c r="J642" i="1"/>
  <c r="J668" i="1"/>
  <c r="J676" i="1"/>
  <c r="J631" i="1"/>
  <c r="J682" i="1"/>
  <c r="J713" i="1"/>
  <c r="J647" i="1"/>
  <c r="J670" i="1"/>
  <c r="J646" i="1"/>
  <c r="J707" i="1"/>
  <c r="J693" i="1"/>
  <c r="J644" i="1"/>
  <c r="J677" i="1"/>
  <c r="J685" i="1"/>
  <c r="J640" i="1"/>
  <c r="J674" i="1"/>
  <c r="J636" i="1"/>
  <c r="J697" i="1"/>
  <c r="J645" i="1"/>
  <c r="J638" i="1"/>
  <c r="J684" i="1"/>
  <c r="J634" i="1"/>
  <c r="J699" i="1"/>
  <c r="J712" i="1"/>
  <c r="J690" i="1"/>
  <c r="J716" i="1"/>
  <c r="J711" i="1"/>
  <c r="J675" i="1"/>
  <c r="J696" i="1"/>
  <c r="I715" i="1"/>
  <c r="J705" i="1"/>
  <c r="J679" i="1"/>
  <c r="J632" i="1"/>
  <c r="J671" i="1"/>
  <c r="J637" i="1"/>
  <c r="J683" i="1"/>
  <c r="J641" i="1"/>
  <c r="J689" i="1"/>
  <c r="J708" i="1"/>
  <c r="J672" i="1"/>
  <c r="J704" i="1"/>
  <c r="J695" i="1"/>
  <c r="J703" i="1"/>
  <c r="J633" i="1"/>
  <c r="J681" i="1"/>
  <c r="J687" i="1"/>
  <c r="J688" i="1"/>
  <c r="J710" i="1"/>
  <c r="J709" i="1"/>
  <c r="J694" i="1"/>
  <c r="J669" i="1"/>
  <c r="H706" i="10"/>
  <c r="H698" i="10"/>
  <c r="H690" i="10"/>
  <c r="H682" i="10"/>
  <c r="H674" i="10"/>
  <c r="H711" i="10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0" i="10"/>
  <c r="H702" i="10"/>
  <c r="H694" i="10"/>
  <c r="H686" i="10"/>
  <c r="H678" i="10"/>
  <c r="H716" i="10"/>
  <c r="H688" i="10"/>
  <c r="H645" i="10"/>
  <c r="H642" i="10"/>
  <c r="H633" i="10"/>
  <c r="H707" i="10"/>
  <c r="H680" i="10"/>
  <c r="H634" i="10"/>
  <c r="H709" i="10"/>
  <c r="H699" i="10"/>
  <c r="H672" i="10"/>
  <c r="H640" i="10"/>
  <c r="H635" i="10"/>
  <c r="H701" i="10"/>
  <c r="H691" i="10"/>
  <c r="H669" i="10"/>
  <c r="H646" i="10"/>
  <c r="H643" i="10"/>
  <c r="H636" i="10"/>
  <c r="H629" i="10"/>
  <c r="H693" i="10"/>
  <c r="H683" i="10"/>
  <c r="H670" i="10"/>
  <c r="H637" i="10"/>
  <c r="H704" i="10"/>
  <c r="H631" i="10"/>
  <c r="H677" i="10"/>
  <c r="H644" i="10"/>
  <c r="H630" i="10"/>
  <c r="H712" i="10"/>
  <c r="H675" i="10"/>
  <c r="H647" i="10"/>
  <c r="H639" i="10"/>
  <c r="H641" i="10"/>
  <c r="H632" i="10"/>
  <c r="H696" i="10"/>
  <c r="H638" i="10"/>
  <c r="H685" i="10"/>
  <c r="L647" i="1" l="1"/>
  <c r="L707" i="1" s="1"/>
  <c r="J715" i="1"/>
  <c r="K644" i="1"/>
  <c r="K692" i="1" s="1"/>
  <c r="H715" i="10"/>
  <c r="I629" i="10"/>
  <c r="L683" i="1" l="1"/>
  <c r="L679" i="1"/>
  <c r="L705" i="1"/>
  <c r="L682" i="1"/>
  <c r="L672" i="1"/>
  <c r="L698" i="1"/>
  <c r="L710" i="1"/>
  <c r="L686" i="1"/>
  <c r="L712" i="1"/>
  <c r="L671" i="1"/>
  <c r="L668" i="1"/>
  <c r="L676" i="1"/>
  <c r="L669" i="1"/>
  <c r="L711" i="1"/>
  <c r="L709" i="1"/>
  <c r="L693" i="1"/>
  <c r="L688" i="1"/>
  <c r="L674" i="1"/>
  <c r="L706" i="1"/>
  <c r="L704" i="1"/>
  <c r="L680" i="1"/>
  <c r="L702" i="1"/>
  <c r="L700" i="1"/>
  <c r="L696" i="1"/>
  <c r="L678" i="1"/>
  <c r="L695" i="1"/>
  <c r="L675" i="1"/>
  <c r="L677" i="1"/>
  <c r="L685" i="1"/>
  <c r="L692" i="1"/>
  <c r="M692" i="1" s="1"/>
  <c r="L694" i="1"/>
  <c r="L690" i="1"/>
  <c r="L673" i="1"/>
  <c r="L681" i="1"/>
  <c r="L701" i="1"/>
  <c r="L699" i="1"/>
  <c r="L708" i="1"/>
  <c r="L687" i="1"/>
  <c r="L670" i="1"/>
  <c r="L716" i="1"/>
  <c r="L684" i="1"/>
  <c r="L697" i="1"/>
  <c r="L713" i="1"/>
  <c r="L689" i="1"/>
  <c r="L703" i="1"/>
  <c r="L691" i="1"/>
  <c r="K704" i="1"/>
  <c r="K685" i="1"/>
  <c r="K698" i="1"/>
  <c r="K694" i="1"/>
  <c r="K689" i="1"/>
  <c r="K706" i="1"/>
  <c r="K699" i="1"/>
  <c r="K709" i="1"/>
  <c r="K716" i="1"/>
  <c r="K693" i="1"/>
  <c r="K686" i="1"/>
  <c r="K673" i="1"/>
  <c r="K712" i="1"/>
  <c r="K695" i="1"/>
  <c r="K711" i="1"/>
  <c r="K688" i="1"/>
  <c r="K687" i="1"/>
  <c r="K671" i="1"/>
  <c r="K669" i="1"/>
  <c r="K683" i="1"/>
  <c r="K670" i="1"/>
  <c r="K701" i="1"/>
  <c r="K708" i="1"/>
  <c r="K679" i="1"/>
  <c r="K703" i="1"/>
  <c r="K697" i="1"/>
  <c r="K668" i="1"/>
  <c r="K710" i="1"/>
  <c r="K681" i="1"/>
  <c r="K674" i="1"/>
  <c r="K696" i="1"/>
  <c r="K707" i="1"/>
  <c r="M707" i="1" s="1"/>
  <c r="K680" i="1"/>
  <c r="K690" i="1"/>
  <c r="M690" i="1" s="1"/>
  <c r="K691" i="1"/>
  <c r="K672" i="1"/>
  <c r="K684" i="1"/>
  <c r="K677" i="1"/>
  <c r="K713" i="1"/>
  <c r="K700" i="1"/>
  <c r="K705" i="1"/>
  <c r="M705" i="1" s="1"/>
  <c r="K675" i="1"/>
  <c r="K678" i="1"/>
  <c r="K702" i="1"/>
  <c r="K676" i="1"/>
  <c r="K682" i="1"/>
  <c r="I711" i="10"/>
  <c r="I703" i="10"/>
  <c r="I695" i="10"/>
  <c r="I687" i="10"/>
  <c r="I679" i="10"/>
  <c r="I671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716" i="10"/>
  <c r="I707" i="10"/>
  <c r="I699" i="10"/>
  <c r="I691" i="10"/>
  <c r="I683" i="10"/>
  <c r="I675" i="10"/>
  <c r="I690" i="10"/>
  <c r="I680" i="10"/>
  <c r="I634" i="10"/>
  <c r="I709" i="10"/>
  <c r="I682" i="10"/>
  <c r="I672" i="10"/>
  <c r="I640" i="10"/>
  <c r="I635" i="10"/>
  <c r="I701" i="10"/>
  <c r="I674" i="10"/>
  <c r="I669" i="10"/>
  <c r="I646" i="10"/>
  <c r="I643" i="10"/>
  <c r="I636" i="10"/>
  <c r="I693" i="10"/>
  <c r="I637" i="10"/>
  <c r="I712" i="10"/>
  <c r="I685" i="10"/>
  <c r="I641" i="10"/>
  <c r="I638" i="10"/>
  <c r="I630" i="10"/>
  <c r="I645" i="10"/>
  <c r="I688" i="10"/>
  <c r="I677" i="10"/>
  <c r="I644" i="10"/>
  <c r="I698" i="10"/>
  <c r="I647" i="10"/>
  <c r="I639" i="10"/>
  <c r="I633" i="10"/>
  <c r="I696" i="10"/>
  <c r="I642" i="10"/>
  <c r="I631" i="10"/>
  <c r="I632" i="10"/>
  <c r="I706" i="10"/>
  <c r="I704" i="10"/>
  <c r="M684" i="1" l="1"/>
  <c r="M713" i="1"/>
  <c r="F215" i="9" s="1"/>
  <c r="M671" i="1"/>
  <c r="M697" i="1"/>
  <c r="L715" i="1"/>
  <c r="M702" i="1"/>
  <c r="I151" i="9" s="1"/>
  <c r="M677" i="1"/>
  <c r="E55" i="9" s="1"/>
  <c r="M679" i="1"/>
  <c r="G55" i="9" s="1"/>
  <c r="M683" i="1"/>
  <c r="D87" i="9" s="1"/>
  <c r="M682" i="1"/>
  <c r="C87" i="9" s="1"/>
  <c r="M693" i="1"/>
  <c r="M710" i="1"/>
  <c r="C215" i="9" s="1"/>
  <c r="M694" i="1"/>
  <c r="M685" i="1"/>
  <c r="M675" i="1"/>
  <c r="C55" i="9" s="1"/>
  <c r="M672" i="1"/>
  <c r="G23" i="9" s="1"/>
  <c r="M698" i="1"/>
  <c r="E151" i="9" s="1"/>
  <c r="M709" i="1"/>
  <c r="M703" i="1"/>
  <c r="M712" i="1"/>
  <c r="E215" i="9" s="1"/>
  <c r="M673" i="1"/>
  <c r="H23" i="9" s="1"/>
  <c r="M700" i="1"/>
  <c r="M688" i="1"/>
  <c r="I87" i="9" s="1"/>
  <c r="M701" i="1"/>
  <c r="M676" i="1"/>
  <c r="M680" i="1"/>
  <c r="H55" i="9" s="1"/>
  <c r="M670" i="1"/>
  <c r="F119" i="9"/>
  <c r="M711" i="1"/>
  <c r="G183" i="9"/>
  <c r="M678" i="1"/>
  <c r="M696" i="1"/>
  <c r="M669" i="1"/>
  <c r="M699" i="1"/>
  <c r="M674" i="1"/>
  <c r="M706" i="1"/>
  <c r="D119" i="9"/>
  <c r="M695" i="1"/>
  <c r="E87" i="9"/>
  <c r="M704" i="1"/>
  <c r="F23" i="9"/>
  <c r="E183" i="9"/>
  <c r="M691" i="1"/>
  <c r="M681" i="1"/>
  <c r="M708" i="1"/>
  <c r="M687" i="1"/>
  <c r="M686" i="1"/>
  <c r="M689" i="1"/>
  <c r="K715" i="1"/>
  <c r="M668" i="1"/>
  <c r="I715" i="10"/>
  <c r="J630" i="10"/>
  <c r="D151" i="9" l="1"/>
  <c r="H119" i="9"/>
  <c r="G119" i="9"/>
  <c r="F87" i="9"/>
  <c r="H151" i="9"/>
  <c r="I183" i="9"/>
  <c r="C183" i="9"/>
  <c r="D55" i="9"/>
  <c r="G151" i="9"/>
  <c r="E23" i="9"/>
  <c r="E119" i="9"/>
  <c r="C119" i="9"/>
  <c r="G87" i="9"/>
  <c r="H87" i="9"/>
  <c r="D215" i="9"/>
  <c r="D23" i="9"/>
  <c r="F55" i="9"/>
  <c r="I119" i="9"/>
  <c r="I23" i="9"/>
  <c r="F151" i="9"/>
  <c r="H183" i="9"/>
  <c r="M715" i="1"/>
  <c r="C23" i="9"/>
  <c r="I55" i="9"/>
  <c r="D183" i="9"/>
  <c r="F183" i="9"/>
  <c r="C151" i="9"/>
  <c r="J708" i="10"/>
  <c r="J700" i="10"/>
  <c r="J692" i="10"/>
  <c r="J684" i="10"/>
  <c r="J676" i="10"/>
  <c r="J668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712" i="10"/>
  <c r="J704" i="10"/>
  <c r="J696" i="10"/>
  <c r="J688" i="10"/>
  <c r="J680" i="10"/>
  <c r="J672" i="10"/>
  <c r="J709" i="10"/>
  <c r="J682" i="10"/>
  <c r="J640" i="10"/>
  <c r="J635" i="10"/>
  <c r="J711" i="10"/>
  <c r="J701" i="10"/>
  <c r="J674" i="10"/>
  <c r="J669" i="10"/>
  <c r="J643" i="10"/>
  <c r="J636" i="10"/>
  <c r="J703" i="10"/>
  <c r="J693" i="10"/>
  <c r="J637" i="10"/>
  <c r="J695" i="10"/>
  <c r="J685" i="10"/>
  <c r="J641" i="10"/>
  <c r="J638" i="10"/>
  <c r="J687" i="10"/>
  <c r="J677" i="10"/>
  <c r="J644" i="10"/>
  <c r="J631" i="10"/>
  <c r="J634" i="10"/>
  <c r="J698" i="10"/>
  <c r="J639" i="10"/>
  <c r="J633" i="10"/>
  <c r="J706" i="10"/>
  <c r="J671" i="10"/>
  <c r="J632" i="10"/>
  <c r="J642" i="10"/>
  <c r="J679" i="10"/>
  <c r="J690" i="10"/>
  <c r="K644" i="10" l="1"/>
  <c r="K673" i="10" s="1"/>
  <c r="J715" i="10"/>
  <c r="K705" i="10"/>
  <c r="K697" i="10"/>
  <c r="K689" i="10"/>
  <c r="K681" i="10"/>
  <c r="K710" i="10"/>
  <c r="K702" i="10"/>
  <c r="K686" i="10"/>
  <c r="K678" i="10"/>
  <c r="K670" i="10"/>
  <c r="K716" i="10"/>
  <c r="K707" i="10"/>
  <c r="K699" i="10"/>
  <c r="K691" i="10"/>
  <c r="K675" i="10"/>
  <c r="K712" i="10"/>
  <c r="K704" i="10"/>
  <c r="K696" i="10"/>
  <c r="K688" i="10"/>
  <c r="K680" i="10"/>
  <c r="K672" i="10"/>
  <c r="K709" i="10"/>
  <c r="K701" i="10"/>
  <c r="K693" i="10"/>
  <c r="K685" i="10"/>
  <c r="K677" i="10"/>
  <c r="K711" i="10"/>
  <c r="K684" i="10"/>
  <c r="K674" i="10"/>
  <c r="K669" i="10"/>
  <c r="K703" i="10"/>
  <c r="K676" i="10"/>
  <c r="K695" i="10"/>
  <c r="K687" i="10"/>
  <c r="K706" i="10"/>
  <c r="K679" i="10"/>
  <c r="K698" i="10"/>
  <c r="K708" i="10"/>
  <c r="K682" i="10"/>
  <c r="K668" i="10"/>
  <c r="K692" i="10"/>
  <c r="K671" i="10"/>
  <c r="K700" i="10"/>
  <c r="K690" i="10"/>
  <c r="L647" i="10"/>
  <c r="K683" i="10" l="1"/>
  <c r="K694" i="10"/>
  <c r="K713" i="10"/>
  <c r="L710" i="10"/>
  <c r="M710" i="10" s="1"/>
  <c r="L702" i="10"/>
  <c r="M702" i="10" s="1"/>
  <c r="L694" i="10"/>
  <c r="M694" i="10" s="1"/>
  <c r="L686" i="10"/>
  <c r="M686" i="10" s="1"/>
  <c r="L678" i="10"/>
  <c r="M678" i="10" s="1"/>
  <c r="L670" i="10"/>
  <c r="M670" i="10" s="1"/>
  <c r="L716" i="10"/>
  <c r="L707" i="10"/>
  <c r="M707" i="10" s="1"/>
  <c r="L699" i="10"/>
  <c r="M699" i="10" s="1"/>
  <c r="L691" i="10"/>
  <c r="M691" i="10" s="1"/>
  <c r="L683" i="10"/>
  <c r="M683" i="10" s="1"/>
  <c r="L675" i="10"/>
  <c r="M675" i="10" s="1"/>
  <c r="L712" i="10"/>
  <c r="M712" i="10" s="1"/>
  <c r="L704" i="10"/>
  <c r="M704" i="10" s="1"/>
  <c r="L696" i="10"/>
  <c r="M696" i="10" s="1"/>
  <c r="L688" i="10"/>
  <c r="M688" i="10" s="1"/>
  <c r="L680" i="10"/>
  <c r="M680" i="10" s="1"/>
  <c r="L672" i="10"/>
  <c r="M672" i="10" s="1"/>
  <c r="L709" i="10"/>
  <c r="M709" i="10" s="1"/>
  <c r="L701" i="10"/>
  <c r="M701" i="10" s="1"/>
  <c r="L693" i="10"/>
  <c r="M693" i="10" s="1"/>
  <c r="L685" i="10"/>
  <c r="M685" i="10" s="1"/>
  <c r="L677" i="10"/>
  <c r="M677" i="10" s="1"/>
  <c r="L669" i="10"/>
  <c r="M669" i="10" s="1"/>
  <c r="L706" i="10"/>
  <c r="M706" i="10" s="1"/>
  <c r="L698" i="10"/>
  <c r="M698" i="10" s="1"/>
  <c r="L690" i="10"/>
  <c r="M690" i="10" s="1"/>
  <c r="L682" i="10"/>
  <c r="M682" i="10" s="1"/>
  <c r="L674" i="10"/>
  <c r="M674" i="10" s="1"/>
  <c r="L713" i="10"/>
  <c r="M713" i="10" s="1"/>
  <c r="L703" i="10"/>
  <c r="M703" i="10" s="1"/>
  <c r="L676" i="10"/>
  <c r="M676" i="10" s="1"/>
  <c r="L705" i="10"/>
  <c r="M705" i="10" s="1"/>
  <c r="L695" i="10"/>
  <c r="M695" i="10" s="1"/>
  <c r="L697" i="10"/>
  <c r="M697" i="10" s="1"/>
  <c r="L687" i="10"/>
  <c r="M687" i="10" s="1"/>
  <c r="L689" i="10"/>
  <c r="M689" i="10" s="1"/>
  <c r="L679" i="10"/>
  <c r="M679" i="10" s="1"/>
  <c r="L708" i="10"/>
  <c r="M708" i="10" s="1"/>
  <c r="L681" i="10"/>
  <c r="M681" i="10" s="1"/>
  <c r="L668" i="10"/>
  <c r="L692" i="10"/>
  <c r="M692" i="10" s="1"/>
  <c r="L671" i="10"/>
  <c r="M671" i="10" s="1"/>
  <c r="L711" i="10"/>
  <c r="M711" i="10" s="1"/>
  <c r="L700" i="10"/>
  <c r="M700" i="10" s="1"/>
  <c r="L684" i="10"/>
  <c r="M684" i="10" s="1"/>
  <c r="L673" i="10"/>
  <c r="M673" i="10" s="1"/>
  <c r="K715" i="10"/>
  <c r="L715" i="10" l="1"/>
  <c r="M668" i="10"/>
  <c r="M715" i="10" s="1"/>
</calcChain>
</file>

<file path=xl/sharedStrings.xml><?xml version="1.0" encoding="utf-8"?>
<sst xmlns="http://schemas.openxmlformats.org/spreadsheetml/2006/main" count="4403" uniqueCount="1018">
  <si>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</si>
  <si>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</si>
  <si>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</si>
  <si>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</si>
  <si>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</si>
  <si>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</si>
  <si>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</si>
  <si>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</si>
  <si>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</si>
  <si>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</si>
  <si>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</si>
  <si>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</si>
  <si>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</si>
  <si>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</si>
  <si>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</si>
  <si>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</si>
  <si>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</si>
  <si>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</si>
  <si>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</si>
  <si>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</si>
  <si>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</si>
  <si>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</si>
  <si>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</si>
  <si>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</si>
  <si>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</si>
  <si>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</si>
  <si>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</si>
  <si>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</si>
  <si>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</si>
  <si>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</si>
  <si>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</si>
  <si>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</si>
  <si>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</si>
  <si>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</si>
  <si>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</si>
  <si>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</si>
  <si>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</si>
  <si>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</si>
  <si>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</si>
  <si>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</si>
  <si>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</si>
  <si>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</si>
  <si>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</si>
  <si>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</si>
  <si>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</si>
  <si>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</si>
  <si>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</si>
  <si>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</si>
  <si>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</si>
  <si>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</si>
  <si>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</si>
  <si>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</si>
  <si>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</si>
  <si>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</si>
  <si>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</si>
  <si>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</si>
  <si>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</si>
  <si>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</si>
  <si>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</si>
  <si>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</si>
  <si>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</si>
  <si>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</si>
  <si>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</si>
  <si>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</si>
  <si>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</si>
  <si>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</si>
  <si>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</si>
  <si>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</si>
  <si>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</si>
  <si>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</si>
  <si>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</si>
  <si>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</si>
  <si>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</si>
  <si>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</si>
  <si>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</si>
  <si>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</si>
  <si>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</si>
  <si>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</si>
  <si>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</si>
  <si>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</si>
  <si>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</si>
  <si>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</si>
  <si>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</si>
  <si>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</si>
  <si>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</si>
  <si>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</si>
  <si>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</si>
  <si>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</si>
  <si>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</si>
  <si>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</si>
  <si>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</si>
  <si>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</si>
  <si>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</si>
  <si>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</si>
  <si>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</si>
  <si>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</si>
  <si>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</si>
  <si>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</si>
  <si>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</si>
  <si>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</si>
  <si>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</si>
  <si>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</si>
  <si>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</si>
  <si>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</si>
  <si>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</si>
  <si>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</si>
  <si>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</si>
  <si>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</si>
  <si>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</si>
  <si>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</si>
  <si>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</si>
  <si>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</si>
  <si>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</si>
  <si>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</si>
  <si>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</si>
  <si>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</si>
  <si>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</si>
  <si>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</si>
  <si>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</si>
  <si>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</si>
  <si>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</si>
  <si>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</si>
  <si>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</si>
  <si>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</si>
  <si>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</si>
  <si>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</si>
  <si>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</si>
  <si>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</si>
  <si>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</si>
  <si>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</si>
  <si>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</si>
  <si>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</si>
  <si>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</si>
  <si>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</si>
  <si>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</si>
  <si>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</si>
  <si>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</si>
  <si>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</si>
  <si>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</si>
  <si>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</si>
  <si>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</si>
  <si>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</si>
  <si>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</si>
  <si>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</si>
  <si>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</si>
  <si>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</si>
  <si>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</si>
  <si>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</si>
  <si>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</si>
  <si>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</si>
  <si>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</si>
  <si>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</si>
  <si>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</si>
  <si>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</si>
  <si>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</si>
  <si>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</si>
  <si>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</si>
  <si>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</si>
  <si>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</si>
  <si>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</si>
  <si>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</si>
  <si>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</si>
  <si>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</si>
  <si>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</si>
  <si>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</si>
  <si>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</si>
  <si>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</si>
  <si>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</si>
  <si>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</si>
  <si>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</si>
  <si>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</si>
  <si>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</si>
  <si>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</si>
  <si>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</si>
  <si>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</si>
  <si>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</si>
  <si>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</si>
  <si>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</si>
  <si>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</si>
  <si>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</si>
  <si>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</si>
  <si>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</si>
  <si>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</si>
  <si>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</si>
  <si>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</si>
  <si>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</si>
  <si>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</si>
  <si>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</si>
  <si>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</si>
  <si>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</si>
  <si>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</si>
  <si>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</si>
  <si>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</si>
  <si>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</si>
  <si>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</si>
  <si>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</si>
  <si>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</si>
  <si>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</si>
  <si>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</si>
  <si>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</si>
  <si>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</si>
  <si>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</si>
  <si>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</si>
  <si>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</si>
  <si>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</si>
  <si>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</si>
  <si>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</si>
  <si>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</si>
  <si>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</si>
  <si>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</si>
  <si>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</si>
  <si>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</si>
  <si>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</si>
  <si>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</si>
  <si>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</si>
  <si>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</si>
  <si>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</si>
  <si>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</si>
  <si>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</si>
  <si>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</si>
  <si>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</si>
  <si>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</si>
  <si>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</si>
  <si>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</si>
  <si>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</si>
  <si>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</si>
  <si>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</si>
  <si>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</si>
  <si>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</si>
  <si>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</si>
  <si>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</si>
  <si>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</si>
  <si>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</si>
  <si>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</si>
  <si>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</si>
  <si>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</si>
  <si>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</si>
  <si>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</si>
  <si>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</si>
  <si>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</si>
  <si>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</si>
  <si>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</si>
  <si>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</si>
  <si>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</si>
  <si>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</si>
  <si>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</si>
  <si>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</si>
  <si>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</si>
  <si>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</si>
  <si>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</si>
  <si>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</si>
  <si>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</si>
  <si>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</si>
  <si>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</si>
  <si>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</si>
  <si>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</si>
  <si>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</si>
  <si>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</si>
  <si>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</si>
  <si>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</si>
  <si>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</si>
  <si>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</si>
  <si>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</si>
  <si>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</si>
  <si>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</si>
  <si>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</si>
  <si>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</si>
  <si>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</si>
  <si>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</si>
  <si>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</si>
  <si>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</si>
  <si>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</si>
  <si>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</si>
  <si>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</si>
  <si>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</si>
  <si>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</si>
  <si>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</si>
  <si>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</si>
  <si>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</si>
  <si>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</si>
  <si>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</si>
  <si>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</si>
  <si>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</si>
  <si>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</si>
  <si>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</si>
  <si>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</si>
  <si>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</si>
  <si>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</si>
  <si>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</si>
  <si>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</si>
  <si>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</si>
  <si>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</si>
  <si>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</si>
  <si>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</si>
  <si>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</si>
  <si>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</si>
  <si>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</si>
  <si>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</si>
  <si>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</si>
  <si>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</si>
  <si>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</si>
  <si>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</si>
  <si>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</si>
  <si>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</si>
  <si>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</si>
  <si>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</si>
  <si>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</si>
  <si>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</si>
  <si>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</si>
  <si>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</si>
  <si>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</si>
  <si>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</si>
  <si>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</si>
  <si>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</si>
  <si>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</si>
  <si>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</si>
  <si>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</si>
  <si>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</si>
  <si>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</si>
  <si>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</si>
  <si>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</si>
  <si>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</si>
  <si>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</si>
  <si>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</si>
  <si>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</si>
  <si>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</si>
  <si>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</si>
  <si>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</si>
  <si>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</si>
  <si>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</si>
  <si>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</si>
  <si>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</si>
  <si>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</si>
  <si>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</si>
  <si>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</si>
  <si>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</si>
  <si>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</si>
  <si>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</si>
  <si>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</si>
  <si>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</si>
  <si>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</si>
  <si>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</si>
  <si>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</si>
  <si>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</si>
  <si>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</si>
  <si>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</si>
  <si>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</si>
  <si>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</si>
  <si>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</si>
  <si>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</si>
  <si>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</si>
  <si>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</si>
  <si>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</si>
  <si>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</si>
  <si>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</si>
  <si>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</si>
  <si>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</si>
  <si>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</si>
  <si>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</si>
  <si>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</si>
  <si>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</si>
  <si>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</si>
  <si>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</si>
  <si>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</si>
  <si>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</si>
  <si>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</si>
  <si>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</si>
  <si>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</si>
  <si>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</si>
  <si>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</si>
  <si>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</si>
  <si>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</si>
  <si>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</si>
  <si>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</si>
  <si>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</si>
  <si>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</si>
  <si>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</si>
  <si>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</si>
  <si>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</si>
  <si>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</si>
  <si>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</si>
  <si>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</si>
  <si>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</si>
  <si>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</si>
  <si>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</si>
  <si>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</si>
  <si>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</si>
  <si>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</si>
  <si>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</si>
  <si>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</si>
  <si>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</si>
  <si>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</si>
  <si>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</si>
  <si>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</si>
  <si>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</si>
  <si>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</si>
  <si>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</si>
  <si>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</si>
  <si>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</si>
  <si>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</si>
  <si>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</si>
  <si>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</si>
  <si>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</si>
  <si>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</si>
  <si>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</si>
  <si>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</si>
  <si>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</si>
  <si>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</si>
  <si>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</si>
  <si>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</si>
  <si>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</si>
  <si>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</si>
  <si>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</si>
  <si>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</si>
  <si>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</si>
  <si>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</si>
  <si>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</si>
  <si>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</si>
  <si>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</si>
  <si>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</si>
  <si>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</si>
  <si>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</si>
  <si>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</si>
  <si>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</si>
  <si>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</si>
  <si>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</si>
  <si>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</si>
  <si>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</si>
  <si>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</si>
  <si>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</si>
  <si>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</si>
  <si>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</si>
  <si>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</si>
  <si>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</si>
  <si>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</si>
  <si>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</si>
  <si>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</si>
  <si>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</si>
  <si>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</si>
  <si>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</si>
  <si>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</si>
  <si>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</si>
  <si>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</si>
  <si>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</si>
  <si>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</si>
  <si>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</si>
  <si>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</si>
  <si>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</si>
  <si>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</si>
  <si>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</si>
  <si>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</si>
  <si>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</si>
  <si>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</si>
  <si>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</si>
  <si>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</si>
  <si>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</si>
  <si>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</si>
  <si>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</si>
  <si>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</si>
  <si>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</si>
  <si>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</si>
  <si>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</si>
  <si>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</si>
  <si>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</si>
  <si>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</si>
  <si>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</si>
  <si>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</si>
  <si>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</si>
  <si>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</si>
  <si>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</si>
  <si>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</si>
  <si>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</si>
  <si>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</si>
  <si>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</si>
  <si>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</si>
  <si>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</si>
  <si>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</si>
  <si>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</si>
  <si>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</si>
  <si>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</si>
  <si>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</si>
  <si>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</si>
  <si>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</si>
  <si>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</si>
  <si>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</si>
  <si>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</si>
  <si>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</si>
  <si>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</si>
  <si>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</si>
  <si>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</si>
  <si>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</si>
  <si>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</si>
  <si>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</si>
  <si>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</si>
  <si>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</si>
  <si>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</si>
  <si>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</si>
  <si>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</si>
  <si>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</si>
  <si>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</si>
  <si>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</si>
  <si>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</si>
  <si>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</si>
  <si>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</si>
  <si>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</si>
  <si>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</si>
  <si>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</si>
  <si>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</si>
  <si>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</si>
  <si>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</si>
  <si>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</si>
  <si>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</si>
  <si>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</si>
  <si>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</si>
  <si>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</si>
  <si>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</si>
  <si>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</si>
  <si>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</si>
  <si>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</si>
  <si>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</si>
  <si>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</si>
  <si>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</si>
  <si>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</si>
  <si>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</si>
  <si>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</si>
  <si>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</si>
  <si>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</si>
  <si>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</si>
  <si>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</si>
  <si>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</si>
  <si>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</si>
  <si>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</si>
  <si>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</si>
  <si>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</si>
  <si>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</si>
  <si>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</si>
  <si>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</si>
  <si>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</si>
  <si>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</si>
  <si>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</si>
  <si>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</si>
  <si>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</si>
  <si>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</si>
  <si>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</si>
  <si>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</si>
  <si>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</si>
  <si>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</si>
  <si>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</si>
  <si>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</si>
  <si>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</si>
  <si>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</si>
  <si>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</si>
  <si>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</si>
  <si>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</si>
  <si>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</si>
  <si>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</si>
  <si>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</si>
  <si>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</si>
  <si>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</si>
  <si>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</si>
  <si>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</si>
  <si>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</si>
  <si>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</si>
  <si>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</si>
  <si>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</si>
  <si>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</si>
  <si>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</si>
  <si>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</si>
  <si>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</si>
  <si>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</si>
  <si>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</si>
  <si>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</si>
  <si>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</si>
  <si>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</si>
  <si>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</si>
  <si>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</si>
  <si>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</si>
  <si>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</si>
  <si>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</si>
  <si>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</si>
  <si>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</si>
  <si>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</si>
  <si>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</si>
  <si>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</si>
  <si>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</si>
  <si>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</si>
  <si>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</si>
  <si>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</si>
  <si>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</si>
  <si>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</si>
  <si>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</si>
  <si>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</si>
  <si>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</si>
  <si>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</si>
  <si>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</si>
  <si>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</si>
  <si>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</si>
  <si>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</si>
  <si>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</si>
  <si>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</si>
  <si>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</si>
  <si>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</si>
  <si>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</si>
  <si>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</si>
  <si>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</si>
  <si>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</si>
  <si>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</si>
  <si>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</si>
  <si>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</si>
  <si>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</si>
  <si>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</si>
  <si>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</si>
  <si>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</si>
  <si>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</si>
  <si>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</si>
  <si>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</si>
  <si>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</si>
  <si>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</si>
  <si>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</si>
  <si>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</si>
  <si>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</si>
  <si>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</si>
  <si>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</si>
  <si>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</si>
  <si>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</si>
  <si>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</si>
  <si>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</si>
  <si>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</si>
  <si>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</si>
  <si>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</si>
  <si>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</si>
  <si>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</si>
  <si>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</si>
  <si>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</si>
  <si>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</si>
  <si>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</si>
  <si>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</si>
  <si>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</si>
  <si>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</si>
  <si>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</si>
  <si>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</si>
  <si>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</si>
  <si>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</si>
  <si>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</si>
  <si>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</si>
  <si>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</si>
  <si>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</si>
  <si>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</si>
  <si>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</si>
  <si>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</si>
  <si>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</si>
  <si>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</si>
  <si>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</si>
  <si>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</si>
  <si>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</si>
  <si>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</si>
  <si>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</si>
  <si>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</si>
  <si>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</si>
  <si>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</si>
  <si>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</si>
  <si>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</si>
  <si>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</si>
  <si>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</si>
  <si>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</si>
  <si>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</si>
  <si>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</si>
  <si>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</si>
  <si>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</si>
  <si>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</si>
  <si>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</si>
  <si>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</si>
  <si>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</si>
  <si>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</si>
  <si>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</si>
  <si>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</si>
  <si>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</si>
  <si>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</si>
  <si>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</si>
  <si>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</si>
  <si>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</si>
  <si>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</si>
  <si>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</si>
  <si>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</si>
  <si>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</si>
  <si>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</si>
  <si>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</si>
  <si>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</si>
  <si>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</si>
  <si>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</si>
  <si>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</si>
  <si>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</si>
  <si>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</si>
  <si>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</si>
  <si>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</si>
  <si>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</si>
  <si>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</si>
  <si>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</si>
  <si>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</si>
  <si>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</si>
  <si>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</si>
  <si>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</si>
  <si>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</si>
  <si>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</si>
  <si>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</si>
  <si>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</si>
  <si>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</si>
  <si>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</si>
  <si>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</si>
  <si>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</si>
  <si>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</si>
  <si>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</si>
  <si>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</si>
  <si>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</si>
  <si>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</si>
  <si>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</si>
  <si>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</si>
  <si>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</si>
  <si>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</si>
  <si>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</si>
  <si>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</si>
  <si>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</si>
  <si>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</si>
  <si>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</si>
  <si>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</si>
  <si>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</si>
  <si>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</si>
  <si>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</si>
  <si>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</si>
  <si>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</si>
  <si>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</si>
  <si>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</si>
  <si>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</si>
  <si>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</si>
  <si>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</si>
  <si>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</si>
  <si>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</si>
  <si>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</si>
  <si>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</si>
  <si>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</si>
  <si>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</si>
  <si>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</si>
  <si>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</si>
  <si>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</si>
  <si>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</si>
  <si>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</si>
  <si>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</si>
  <si>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</si>
  <si>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</si>
  <si>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</si>
  <si>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</si>
  <si>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</si>
  <si>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</si>
  <si>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</si>
  <si>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</si>
  <si>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</si>
  <si>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</si>
  <si>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</si>
  <si>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</si>
  <si>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</si>
  <si>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</si>
  <si>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</si>
  <si>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</si>
  <si>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</si>
  <si>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</si>
  <si>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</si>
  <si>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</si>
  <si>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</si>
  <si>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</si>
  <si>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</si>
  <si>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</si>
  <si>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</si>
  <si>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</si>
  <si>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</si>
  <si>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</si>
  <si>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</si>
  <si>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</si>
  <si>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</si>
  <si>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</si>
  <si>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</si>
  <si>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</si>
  <si>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</si>
  <si>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</si>
  <si>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</si>
  <si>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</si>
  <si>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</si>
  <si>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</si>
  <si>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</si>
  <si>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</si>
  <si>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</si>
  <si>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</si>
  <si>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</si>
  <si>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</si>
  <si>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</si>
  <si>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</si>
  <si>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</si>
  <si>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</si>
  <si>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</si>
  <si>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</si>
  <si>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</si>
  <si>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</si>
  <si>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</si>
  <si>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</si>
  <si>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</si>
  <si>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</si>
  <si>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</si>
  <si>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</si>
  <si>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</si>
  <si>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</si>
  <si>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</si>
  <si>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</si>
  <si>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</si>
  <si>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</si>
  <si>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</si>
  <si>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</si>
  <si>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</si>
  <si>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</si>
  <si>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</si>
  <si>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</si>
  <si>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</si>
  <si>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</si>
  <si>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</si>
  <si>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</si>
  <si>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</si>
  <si>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</si>
  <si>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</si>
  <si>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</si>
  <si>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</si>
  <si>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</si>
  <si>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</si>
  <si>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</si>
  <si>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</si>
  <si>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</si>
  <si>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</si>
  <si>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</si>
  <si>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</si>
  <si>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</si>
  <si>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</si>
  <si>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</si>
  <si>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</si>
  <si>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</si>
  <si>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</si>
  <si>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</si>
  <si>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</si>
  <si>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</si>
  <si>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</si>
  <si>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</si>
  <si>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</si>
  <si>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</si>
  <si>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</si>
  <si>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</si>
  <si>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</si>
  <si>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</si>
  <si>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</si>
  <si>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</si>
  <si>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</si>
  <si>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</si>
  <si>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</si>
  <si>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</si>
  <si>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</si>
  <si>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</si>
  <si>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</si>
  <si>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</si>
  <si>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</si>
  <si>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</si>
  <si>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</si>
  <si>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</si>
  <si>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</si>
  <si>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</si>
  <si>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</si>
  <si>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</si>
  <si>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</si>
  <si>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</si>
  <si>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</si>
  <si>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</si>
  <si>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</si>
  <si>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</si>
  <si>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</si>
  <si>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</si>
  <si>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</si>
  <si>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</si>
  <si>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</si>
  <si>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</si>
  <si>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</si>
  <si>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</si>
  <si>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</si>
  <si>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</si>
  <si>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</si>
  <si>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</si>
  <si>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</si>
  <si>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</si>
  <si>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</si>
  <si>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</si>
  <si>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</si>
  <si>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</si>
  <si>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</si>
  <si>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</si>
  <si>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</si>
  <si>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</si>
  <si>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</si>
  <si>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</si>
  <si>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</si>
  <si>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</si>
  <si>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</si>
  <si>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</si>
  <si>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</si>
  <si>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</si>
  <si>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</si>
  <si>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</si>
  <si>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</si>
  <si>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</si>
  <si>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</si>
  <si>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</si>
  <si>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</si>
  <si>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</si>
  <si>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</si>
  <si>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</si>
  <si>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</si>
  <si>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</si>
  <si>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</si>
  <si>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</si>
  <si>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</si>
  <si>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</si>
  <si>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</si>
  <si>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</si>
  <si>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</si>
  <si>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</si>
  <si>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</si>
  <si>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</si>
  <si>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</si>
  <si>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</si>
  <si>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</si>
  <si>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</si>
  <si>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</si>
  <si>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</si>
  <si>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</si>
  <si>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</si>
  <si>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</si>
  <si>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</si>
  <si>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</si>
  <si>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</si>
  <si>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</si>
  <si>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</si>
  <si>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</si>
  <si>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</si>
  <si>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</si>
  <si>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</si>
  <si>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</si>
  <si>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</si>
  <si>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</si>
  <si>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</si>
  <si>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</si>
  <si>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</si>
  <si>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</si>
  <si>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</si>
  <si>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</si>
  <si>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</si>
  <si>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</si>
  <si>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</si>
  <si>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</si>
  <si>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</si>
  <si>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</si>
  <si>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</si>
  <si>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</si>
  <si>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</si>
  <si>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</si>
  <si>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</si>
  <si>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</si>
  <si>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</si>
  <si>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</si>
  <si>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</si>
  <si>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</si>
  <si>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</si>
  <si>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</si>
  <si>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</si>
  <si>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</si>
  <si>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</si>
  <si>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</si>
  <si>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</si>
  <si>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</si>
  <si>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</si>
  <si>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</si>
  <si>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</si>
  <si>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</si>
  <si>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</si>
  <si>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</si>
  <si>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</si>
  <si>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</si>
  <si>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</si>
  <si>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</si>
  <si>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</si>
  <si>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</si>
  <si>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</si>
  <si>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</si>
  <si>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</si>
  <si>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</si>
  <si>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</si>
  <si>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</si>
  <si>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</si>
  <si>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</si>
  <si>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</si>
  <si>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</si>
  <si>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</si>
  <si>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134</t>
  </si>
  <si>
    <t>Island Hospital</t>
  </si>
  <si>
    <t xml:space="preserve"> 2411 24th Street</t>
  </si>
  <si>
    <t>Anacortes, WA 98221</t>
  </si>
  <si>
    <t>Skagit</t>
  </si>
  <si>
    <t>Vince Oliver</t>
  </si>
  <si>
    <t>Elise Cutter</t>
  </si>
  <si>
    <t xml:space="preserve">Warren Tessler </t>
  </si>
  <si>
    <t xml:space="preserve"> 360-299-1300</t>
  </si>
  <si>
    <t xml:space="preserve"> 360-299-1384</t>
  </si>
  <si>
    <t>Charles Hall</t>
  </si>
  <si>
    <t>Staff were not transferring hours in timekeeping system</t>
  </si>
  <si>
    <t>Depreciaiton - New Unit purchased</t>
  </si>
  <si>
    <t>Fewer Staff</t>
  </si>
  <si>
    <t>Staff did not transfer hours to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</si>
</sst>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7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8" fontId="10" fillId="4" borderId="14" xfId="0" applyNumberFormat="1" applyFont="1" applyFill="1" applyBorder="1" applyAlignment="1" applyProtection="1">
      <alignment horizontal="left"/>
      <protection locked="0"/>
    </xf>
    <xf numFmtId="38" fontId="10" fillId="4" borderId="1" xfId="0" applyNumberFormat="1" applyFont="1" applyFill="1" applyBorder="1" applyAlignment="1" applyProtection="1">
      <alignment horizontal="left"/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10516279.800000001</v>
      </c>
      <c r="C47" s="184">
        <v>328043.03999999998</v>
      </c>
      <c r="D47" s="184">
        <v>0</v>
      </c>
      <c r="E47" s="184">
        <v>1143402.48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343294.73</v>
      </c>
      <c r="P47" s="184">
        <f>412887.33+212617.4</f>
        <v>625504.73</v>
      </c>
      <c r="Q47" s="184">
        <v>203256.93</v>
      </c>
      <c r="R47" s="184">
        <v>24635.24</v>
      </c>
      <c r="S47" s="184">
        <v>93571.07</v>
      </c>
      <c r="T47" s="184">
        <v>0</v>
      </c>
      <c r="U47" s="184">
        <v>417229.2</v>
      </c>
      <c r="V47" s="184">
        <v>21939.88</v>
      </c>
      <c r="W47" s="184">
        <v>59635.92</v>
      </c>
      <c r="X47" s="184">
        <v>71488.800000000003</v>
      </c>
      <c r="Y47" s="184">
        <f>18478.83+52435.91+129895.27+221534.06+39969.61</f>
        <v>462313.68</v>
      </c>
      <c r="Z47" s="184">
        <v>147887.82</v>
      </c>
      <c r="AA47" s="184">
        <v>43942.05</v>
      </c>
      <c r="AB47" s="184">
        <v>263907.24</v>
      </c>
      <c r="AC47" s="184">
        <f>129256.68+40268.35</f>
        <v>169525.03</v>
      </c>
      <c r="AD47" s="184">
        <v>0</v>
      </c>
      <c r="AE47" s="184">
        <f>355962.93</f>
        <v>355962.93</v>
      </c>
      <c r="AF47" s="184">
        <v>0</v>
      </c>
      <c r="AG47" s="184">
        <f>50907.81+563822.9</f>
        <v>614730.71</v>
      </c>
      <c r="AH47" s="184">
        <v>0</v>
      </c>
      <c r="AI47" s="184">
        <f>181450.82</f>
        <v>181450.82</v>
      </c>
      <c r="AJ47" s="184">
        <f>434.81+24548.44+132723.03+415227.25+137538.42+908345.33+927.66+72551.83+126361.25</f>
        <v>1818658.02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f>10.72</f>
        <v>10.72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9045.6200000000008</v>
      </c>
      <c r="AW47" s="184">
        <v>0</v>
      </c>
      <c r="AX47" s="184">
        <v>0</v>
      </c>
      <c r="AY47" s="184">
        <f>252615.51</f>
        <v>252615.51</v>
      </c>
      <c r="AZ47" s="184">
        <v>0</v>
      </c>
      <c r="BA47" s="184">
        <v>0</v>
      </c>
      <c r="BB47" s="184">
        <v>0</v>
      </c>
      <c r="BC47" s="184">
        <v>0</v>
      </c>
      <c r="BD47" s="184">
        <v>139430.07</v>
      </c>
      <c r="BE47" s="184">
        <v>121477.88</v>
      </c>
      <c r="BF47" s="184">
        <v>372111.73</v>
      </c>
      <c r="BG47" s="184">
        <v>0</v>
      </c>
      <c r="BH47" s="184">
        <v>350383.11</v>
      </c>
      <c r="BI47" s="184">
        <v>0</v>
      </c>
      <c r="BJ47" s="184">
        <v>89594.12</v>
      </c>
      <c r="BK47" s="184">
        <v>357290.43</v>
      </c>
      <c r="BL47" s="184">
        <v>393586.33</v>
      </c>
      <c r="BM47" s="184">
        <v>0</v>
      </c>
      <c r="BN47" s="184">
        <v>305757.62</v>
      </c>
      <c r="BO47" s="184">
        <v>14852.26</v>
      </c>
      <c r="BP47" s="184">
        <v>50287.97</v>
      </c>
      <c r="BQ47" s="184">
        <v>0</v>
      </c>
      <c r="BR47" s="184">
        <v>139399.85</v>
      </c>
      <c r="BS47" s="184">
        <v>18724.36</v>
      </c>
      <c r="BT47" s="184">
        <v>678.8</v>
      </c>
      <c r="BU47" s="184">
        <v>1528.73</v>
      </c>
      <c r="BV47" s="184">
        <v>197047.71</v>
      </c>
      <c r="BW47" s="184">
        <v>22256.67</v>
      </c>
      <c r="BX47" s="184">
        <v>124820.52</v>
      </c>
      <c r="BY47" s="184">
        <v>28885.59</v>
      </c>
      <c r="BZ47" s="184">
        <v>0</v>
      </c>
      <c r="CA47" s="184">
        <v>0</v>
      </c>
      <c r="CB47" s="184">
        <v>0</v>
      </c>
      <c r="CC47" s="184">
        <f>10425.65+30845.43+41492.62+10814.49+11877.1+17641.36+12781.54+235.63</f>
        <v>136113.82000000004</v>
      </c>
      <c r="CD47" s="195"/>
      <c r="CE47" s="195">
        <f>SUM(C47:CC47)</f>
        <v>10516279.739999998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10516279.800000001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3360526</v>
      </c>
      <c r="C51" s="184">
        <v>62872</v>
      </c>
      <c r="D51" s="184">
        <v>0</v>
      </c>
      <c r="E51" s="184">
        <v>42221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f>42948</f>
        <v>42948</v>
      </c>
      <c r="P51" s="184">
        <f>393229+2616</f>
        <v>395845</v>
      </c>
      <c r="Q51" s="184">
        <v>3330</v>
      </c>
      <c r="R51" s="184">
        <v>12780</v>
      </c>
      <c r="S51" s="184">
        <v>35268</v>
      </c>
      <c r="T51" s="184">
        <v>0</v>
      </c>
      <c r="U51" s="184">
        <v>47434</v>
      </c>
      <c r="V51" s="184">
        <v>2832</v>
      </c>
      <c r="W51" s="184">
        <v>262469</v>
      </c>
      <c r="X51" s="184">
        <v>116040</v>
      </c>
      <c r="Y51" s="184">
        <f>972+64392+60116+76249.63</f>
        <v>201729.63</v>
      </c>
      <c r="Z51" s="184">
        <v>8768</v>
      </c>
      <c r="AA51" s="184">
        <v>5184</v>
      </c>
      <c r="AB51" s="184">
        <v>22736</v>
      </c>
      <c r="AC51" s="184">
        <f>19181+4980</f>
        <v>24161</v>
      </c>
      <c r="AD51" s="184">
        <v>0</v>
      </c>
      <c r="AE51" s="184">
        <v>6262</v>
      </c>
      <c r="AF51" s="184">
        <v>0</v>
      </c>
      <c r="AG51" s="184">
        <v>45477</v>
      </c>
      <c r="AH51" s="184">
        <v>636</v>
      </c>
      <c r="AI51" s="184">
        <f>6810</f>
        <v>6810</v>
      </c>
      <c r="AJ51" s="184">
        <f>552+14658+13963.22+5590+49140.15</f>
        <v>83903.37</v>
      </c>
      <c r="AK51" s="184">
        <v>0</v>
      </c>
      <c r="AL51" s="184">
        <v>632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19095</v>
      </c>
      <c r="AZ51" s="184">
        <v>0</v>
      </c>
      <c r="BA51" s="184">
        <v>0</v>
      </c>
      <c r="BB51" s="184">
        <v>0</v>
      </c>
      <c r="BC51" s="184">
        <v>0</v>
      </c>
      <c r="BD51" s="184">
        <v>4968</v>
      </c>
      <c r="BE51" s="184">
        <v>92418</v>
      </c>
      <c r="BF51" s="184">
        <v>8918</v>
      </c>
      <c r="BG51" s="184">
        <v>0</v>
      </c>
      <c r="BH51" s="184">
        <v>1035262</v>
      </c>
      <c r="BI51" s="184">
        <v>0</v>
      </c>
      <c r="BJ51" s="184">
        <v>12495</v>
      </c>
      <c r="BK51" s="184">
        <v>2772</v>
      </c>
      <c r="BL51" s="184">
        <v>26843</v>
      </c>
      <c r="BM51" s="184">
        <v>0</v>
      </c>
      <c r="BN51" s="184">
        <v>766</v>
      </c>
      <c r="BO51" s="184">
        <v>0</v>
      </c>
      <c r="BP51" s="184">
        <v>20531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1086</v>
      </c>
      <c r="BW51" s="184">
        <v>0</v>
      </c>
      <c r="BX51" s="184">
        <v>1440</v>
      </c>
      <c r="BY51" s="184">
        <v>3492</v>
      </c>
      <c r="BZ51" s="184">
        <v>0</v>
      </c>
      <c r="CA51" s="184">
        <v>0</v>
      </c>
      <c r="CB51" s="184">
        <v>0</v>
      </c>
      <c r="CC51" s="184">
        <f>6967+624+104847+198858+9132+372918+324+6432</f>
        <v>700102</v>
      </c>
      <c r="CD51" s="195"/>
      <c r="CE51" s="195">
        <f>SUM(C51:CD51)</f>
        <v>3360526</v>
      </c>
    </row>
    <row r="52" spans="1:84" ht="12.6" customHeight="1" x14ac:dyDescent="0.25">
      <c r="A52" s="171" t="s">
        <v>208</v>
      </c>
      <c r="B52" s="184">
        <v>1214609</v>
      </c>
      <c r="C52" s="195">
        <f>ROUND((B52/(CE76+CF76)*C76),0)</f>
        <v>21775</v>
      </c>
      <c r="D52" s="195">
        <f>ROUND((B52/(CE76+CF76)*D76),0)</f>
        <v>0</v>
      </c>
      <c r="E52" s="195">
        <f>ROUND((B52/(CE76+CF76)*E76),0)</f>
        <v>136604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31336</v>
      </c>
      <c r="P52" s="195">
        <f>ROUND((B52/(CE76+CF76)*P76),0)</f>
        <v>68441</v>
      </c>
      <c r="Q52" s="195">
        <f>ROUND((B52/(CE76+CF76)*Q76),0)</f>
        <v>0</v>
      </c>
      <c r="R52" s="195">
        <f>ROUND((B52/(CE76+CF76)*R76),0)</f>
        <v>2949</v>
      </c>
      <c r="S52" s="195">
        <f>ROUND((B52/(CE76+CF76)*S76),0)</f>
        <v>17877</v>
      </c>
      <c r="T52" s="195">
        <f>ROUND((B52/(CE76+CF76)*T76),0)</f>
        <v>0</v>
      </c>
      <c r="U52" s="195">
        <f>ROUND((B52/(CE76+CF76)*U76),0)</f>
        <v>23238</v>
      </c>
      <c r="V52" s="195">
        <f>ROUND((B52/(CE76+CF76)*V76),0)</f>
        <v>59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64436</v>
      </c>
      <c r="Z52" s="195">
        <f>ROUND((B52/(CE76+CF76)*Z76),0)</f>
        <v>45415</v>
      </c>
      <c r="AA52" s="195">
        <f>ROUND((B52/(CE76+CF76)*AA76),0)</f>
        <v>0</v>
      </c>
      <c r="AB52" s="195">
        <f>ROUND((B52/(CE76+CF76)*AB76),0)</f>
        <v>11183</v>
      </c>
      <c r="AC52" s="195">
        <f>ROUND((B52/(CE76+CF76)*AC76),0)</f>
        <v>24459</v>
      </c>
      <c r="AD52" s="195">
        <f>ROUND((B52/(CE76+CF76)*AD76),0)</f>
        <v>0</v>
      </c>
      <c r="AE52" s="195">
        <f>ROUND((B52/(CE76+CF76)*AE76),0)</f>
        <v>43645</v>
      </c>
      <c r="AF52" s="195">
        <f>ROUND((B52/(CE76+CF76)*AF76),0)</f>
        <v>0</v>
      </c>
      <c r="AG52" s="195">
        <f>ROUND((B52/(CE76+CF76)*AG76),0)</f>
        <v>41876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112139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6659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24783</v>
      </c>
      <c r="AZ52" s="195">
        <f>ROUND((B52/(CE76+CF76)*AZ76),0)</f>
        <v>0</v>
      </c>
      <c r="BA52" s="195">
        <f>ROUND((B52/(CE76+CF76)*BA76),0)</f>
        <v>1693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28257</v>
      </c>
      <c r="BE52" s="195">
        <f>ROUND((B52/(CE76+CF76)*BE76),0)</f>
        <v>69673</v>
      </c>
      <c r="BF52" s="195">
        <f>ROUND((B52/(CE76+CF76)*BF76),0)</f>
        <v>14114</v>
      </c>
      <c r="BG52" s="195">
        <f>ROUND((B52/(CE76+CF76)*BG76),0)</f>
        <v>0</v>
      </c>
      <c r="BH52" s="195">
        <f>ROUND((B52/(CE76+CF76)*BH76),0)</f>
        <v>10498</v>
      </c>
      <c r="BI52" s="195">
        <f>ROUND((B52/(CE76+CF76)*BI76),0)</f>
        <v>0</v>
      </c>
      <c r="BJ52" s="195">
        <f>ROUND((B52/(CE76+CF76)*BJ76),0)</f>
        <v>7319</v>
      </c>
      <c r="BK52" s="195">
        <f>ROUND((B52/(CE76+CF76)*BK76),0)</f>
        <v>20301</v>
      </c>
      <c r="BL52" s="195">
        <f>ROUND((B52/(CE76+CF76)*BL76),0)</f>
        <v>71514</v>
      </c>
      <c r="BM52" s="195">
        <f>ROUND((B52/(CE76+CF76)*BM76),0)</f>
        <v>0</v>
      </c>
      <c r="BN52" s="195">
        <f>ROUND((B52/(CE76+CF76)*BN76),0)</f>
        <v>9596</v>
      </c>
      <c r="BO52" s="195">
        <f>ROUND((B52/(CE76+CF76)*BO76),0)</f>
        <v>0</v>
      </c>
      <c r="BP52" s="195">
        <f>ROUND((B52/(CE76+CF76)*BP76),0)</f>
        <v>761</v>
      </c>
      <c r="BQ52" s="195">
        <f>ROUND((B52/(CE76+CF76)*BQ76),0)</f>
        <v>0</v>
      </c>
      <c r="BR52" s="195">
        <f>ROUND((B52/(CE76+CF76)*BR76),0)</f>
        <v>7036</v>
      </c>
      <c r="BS52" s="195">
        <f>ROUND((B52/(CE76+CF76)*BS76),0)</f>
        <v>6647</v>
      </c>
      <c r="BT52" s="195">
        <f>ROUND((B52/(CE76+CF76)*BT76),0)</f>
        <v>2306</v>
      </c>
      <c r="BU52" s="195">
        <f>ROUND((B52/(CE76+CF76)*BU76),0)</f>
        <v>3291</v>
      </c>
      <c r="BV52" s="195">
        <f>ROUND((B52/(CE76+CF76)*BV76),0)</f>
        <v>8411</v>
      </c>
      <c r="BW52" s="195">
        <f>ROUND((B52/(CE76+CF76)*BW76),0)</f>
        <v>1451</v>
      </c>
      <c r="BX52" s="195">
        <f>ROUND((B52/(CE76+CF76)*BX76),0)</f>
        <v>1180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3792</v>
      </c>
      <c r="CC52" s="195">
        <f>ROUND((B52/(CE76+CF76)*CC76),0)</f>
        <v>269893</v>
      </c>
      <c r="CD52" s="195"/>
      <c r="CE52" s="195">
        <f>SUM(C52:CD52)</f>
        <v>1214607</v>
      </c>
    </row>
    <row r="53" spans="1:84" ht="12.6" customHeight="1" x14ac:dyDescent="0.25">
      <c r="A53" s="175" t="s">
        <v>206</v>
      </c>
      <c r="B53" s="195">
        <f>B51+B52</f>
        <v>4575135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569</v>
      </c>
      <c r="D59" s="184">
        <v>0</v>
      </c>
      <c r="E59" s="184">
        <f>5667+34</f>
        <v>5701</v>
      </c>
      <c r="F59" s="184">
        <v>0</v>
      </c>
      <c r="G59" s="184">
        <v>0</v>
      </c>
      <c r="H59" s="184">
        <v>0</v>
      </c>
      <c r="I59" s="184">
        <v>0</v>
      </c>
      <c r="J59" s="184">
        <v>673</v>
      </c>
      <c r="K59" s="184">
        <v>0</v>
      </c>
      <c r="L59" s="184">
        <v>0</v>
      </c>
      <c r="M59" s="184">
        <v>0</v>
      </c>
      <c r="N59" s="184">
        <v>0</v>
      </c>
      <c r="O59" s="184">
        <f>424+803+807</f>
        <v>2034</v>
      </c>
      <c r="P59" s="185">
        <v>378708</v>
      </c>
      <c r="Q59" s="185">
        <v>278704</v>
      </c>
      <c r="R59" s="185">
        <v>378708</v>
      </c>
      <c r="S59" s="244"/>
      <c r="T59" s="244"/>
      <c r="U59" s="220">
        <v>257846</v>
      </c>
      <c r="V59" s="185">
        <v>6614</v>
      </c>
      <c r="W59" s="185">
        <v>4877</v>
      </c>
      <c r="X59" s="185">
        <v>10389</v>
      </c>
      <c r="Y59" s="185">
        <f>22352+5346+1498+7854</f>
        <v>37050</v>
      </c>
      <c r="Z59" s="185">
        <v>10774</v>
      </c>
      <c r="AA59" s="185">
        <v>1142</v>
      </c>
      <c r="AB59" s="244"/>
      <c r="AC59" s="185">
        <f>7480+4567</f>
        <v>12047</v>
      </c>
      <c r="AD59" s="185">
        <v>0</v>
      </c>
      <c r="AE59" s="185">
        <f>2750+14163</f>
        <v>16913</v>
      </c>
      <c r="AF59" s="185">
        <v>0</v>
      </c>
      <c r="AG59" s="185">
        <v>17869</v>
      </c>
      <c r="AH59" s="185">
        <v>0</v>
      </c>
      <c r="AI59" s="185">
        <v>764</v>
      </c>
      <c r="AJ59" s="185">
        <f>90+22149+3764+30264</f>
        <v>56267</v>
      </c>
      <c r="AK59" s="185">
        <v>0</v>
      </c>
      <c r="AL59" s="185">
        <v>2743</v>
      </c>
      <c r="AM59" s="185">
        <v>0</v>
      </c>
      <c r="AN59" s="185">
        <v>0</v>
      </c>
      <c r="AO59" s="185">
        <v>0</v>
      </c>
      <c r="AP59" s="185">
        <v>126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208193</v>
      </c>
      <c r="AZ59" s="185">
        <v>0</v>
      </c>
      <c r="BA59" s="244"/>
      <c r="BB59" s="244"/>
      <c r="BC59" s="244"/>
      <c r="BD59" s="244"/>
      <c r="BE59" s="185">
        <v>205935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13.77</v>
      </c>
      <c r="D60" s="187">
        <v>0</v>
      </c>
      <c r="E60" s="187">
        <v>50.98</v>
      </c>
      <c r="F60" s="219">
        <v>0</v>
      </c>
      <c r="G60" s="187">
        <v>0</v>
      </c>
      <c r="H60" s="187">
        <v>0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13.44</v>
      </c>
      <c r="P60" s="217">
        <f>19.53+8.61</f>
        <v>28.14</v>
      </c>
      <c r="Q60" s="217">
        <v>9.39</v>
      </c>
      <c r="R60" s="217">
        <v>1.05</v>
      </c>
      <c r="S60" s="217">
        <v>6.07</v>
      </c>
      <c r="T60" s="217">
        <v>0</v>
      </c>
      <c r="U60" s="217">
        <v>23.53</v>
      </c>
      <c r="V60" s="217">
        <v>1.06</v>
      </c>
      <c r="W60" s="217">
        <v>2.75</v>
      </c>
      <c r="X60" s="217">
        <v>3.51</v>
      </c>
      <c r="Y60" s="217">
        <f>1+2.47+7.12+12.06+1.71</f>
        <v>24.36</v>
      </c>
      <c r="Z60" s="217">
        <v>6.53</v>
      </c>
      <c r="AA60" s="217">
        <v>1.61</v>
      </c>
      <c r="AB60" s="217">
        <v>12.23</v>
      </c>
      <c r="AC60" s="217">
        <f>6.88+2.45</f>
        <v>9.33</v>
      </c>
      <c r="AD60" s="217">
        <v>0</v>
      </c>
      <c r="AE60" s="217">
        <v>17.7</v>
      </c>
      <c r="AF60" s="217">
        <v>0</v>
      </c>
      <c r="AG60" s="217">
        <v>26.61</v>
      </c>
      <c r="AH60" s="217">
        <v>0</v>
      </c>
      <c r="AI60" s="217">
        <f>10</f>
        <v>10</v>
      </c>
      <c r="AJ60" s="217">
        <f>0.98+0.07+7.27+22.72+6.95+42.67+5.02+6.74</f>
        <v>92.419999999999987</v>
      </c>
      <c r="AK60" s="217">
        <v>0</v>
      </c>
      <c r="AL60" s="217">
        <v>2.68</v>
      </c>
      <c r="AM60" s="217">
        <v>0</v>
      </c>
      <c r="AN60" s="217">
        <v>0</v>
      </c>
      <c r="AO60" s="217">
        <v>0</v>
      </c>
      <c r="AP60" s="217">
        <v>0</v>
      </c>
      <c r="AQ60" s="217">
        <v>0</v>
      </c>
      <c r="AR60" s="217">
        <v>0</v>
      </c>
      <c r="AS60" s="217">
        <v>0</v>
      </c>
      <c r="AT60" s="217">
        <v>0</v>
      </c>
      <c r="AU60" s="217">
        <v>0</v>
      </c>
      <c r="AV60" s="217">
        <v>0.37</v>
      </c>
      <c r="AW60" s="217">
        <v>0</v>
      </c>
      <c r="AX60" s="217">
        <v>0</v>
      </c>
      <c r="AY60" s="217">
        <f>17.32</f>
        <v>17.32</v>
      </c>
      <c r="AZ60" s="217">
        <v>0</v>
      </c>
      <c r="BA60" s="217">
        <v>0</v>
      </c>
      <c r="BB60" s="217">
        <v>0</v>
      </c>
      <c r="BC60" s="217">
        <v>0</v>
      </c>
      <c r="BD60" s="217">
        <v>9.1300000000000008</v>
      </c>
      <c r="BE60" s="217">
        <v>6.53</v>
      </c>
      <c r="BF60" s="217">
        <v>26.86</v>
      </c>
      <c r="BG60" s="217">
        <v>0</v>
      </c>
      <c r="BH60" s="217">
        <v>15.78</v>
      </c>
      <c r="BI60" s="217">
        <v>0</v>
      </c>
      <c r="BJ60" s="217">
        <v>4.32</v>
      </c>
      <c r="BK60" s="217">
        <f>23.07</f>
        <v>23.07</v>
      </c>
      <c r="BL60" s="217">
        <v>26.79</v>
      </c>
      <c r="BM60" s="217">
        <v>0</v>
      </c>
      <c r="BN60" s="217">
        <v>6.18</v>
      </c>
      <c r="BO60" s="217">
        <v>0.64</v>
      </c>
      <c r="BP60" s="217">
        <v>2.25</v>
      </c>
      <c r="BQ60" s="217">
        <v>0</v>
      </c>
      <c r="BR60" s="217">
        <v>5.44</v>
      </c>
      <c r="BS60" s="217">
        <v>1.01</v>
      </c>
      <c r="BT60" s="217">
        <v>0.11</v>
      </c>
      <c r="BU60" s="217">
        <v>0.33</v>
      </c>
      <c r="BV60" s="217">
        <v>13.23</v>
      </c>
      <c r="BW60" s="217">
        <v>0.97</v>
      </c>
      <c r="BX60" s="217">
        <v>6.64</v>
      </c>
      <c r="BY60" s="217">
        <v>2.46</v>
      </c>
      <c r="BZ60" s="217">
        <v>0</v>
      </c>
      <c r="CA60" s="217">
        <v>0</v>
      </c>
      <c r="CB60" s="217">
        <v>0</v>
      </c>
      <c r="CC60" s="217">
        <f>0.4+2.32+2.16+0.38+0.53+0.73+0.66</f>
        <v>7.18</v>
      </c>
      <c r="CD60" s="245" t="s">
        <v>221</v>
      </c>
      <c r="CE60" s="247">
        <f t="shared" ref="CE60:CE70" si="0">SUM(C60:CD60)</f>
        <v>533.77</v>
      </c>
    </row>
    <row r="61" spans="1:84" ht="12.6" customHeight="1" x14ac:dyDescent="0.25">
      <c r="A61" s="171" t="s">
        <v>235</v>
      </c>
      <c r="B61" s="175"/>
      <c r="C61" s="184">
        <v>1163901.8999999999</v>
      </c>
      <c r="D61" s="184">
        <v>0</v>
      </c>
      <c r="E61" s="184">
        <v>3776332.33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1367377.78</v>
      </c>
      <c r="P61" s="185">
        <f>1734974.02+1293493.09</f>
        <v>3028467.1100000003</v>
      </c>
      <c r="Q61" s="185">
        <v>997401.27</v>
      </c>
      <c r="R61" s="185">
        <v>91265.91</v>
      </c>
      <c r="S61" s="185">
        <v>272223.31</v>
      </c>
      <c r="T61" s="185">
        <v>0</v>
      </c>
      <c r="U61" s="185">
        <v>1452615.01</v>
      </c>
      <c r="V61" s="185">
        <v>82941.509999999995</v>
      </c>
      <c r="W61" s="185">
        <v>261057.78</v>
      </c>
      <c r="X61" s="185">
        <v>272325.71999999997</v>
      </c>
      <c r="Y61" s="185">
        <f>86890.54+203619.69+410724.96+943220.92+224549.49</f>
        <v>1869005.5999999999</v>
      </c>
      <c r="Z61" s="185">
        <v>501016.66</v>
      </c>
      <c r="AA61" s="185">
        <v>199706.59</v>
      </c>
      <c r="AB61" s="185">
        <v>1207697.27</v>
      </c>
      <c r="AC61" s="185">
        <f>558638.63+179427.83</f>
        <v>738066.46</v>
      </c>
      <c r="AD61" s="185">
        <v>0</v>
      </c>
      <c r="AE61" s="185">
        <v>1391568.35</v>
      </c>
      <c r="AF61" s="185">
        <v>0</v>
      </c>
      <c r="AG61" s="185">
        <v>2208810.11</v>
      </c>
      <c r="AH61" s="185">
        <v>0</v>
      </c>
      <c r="AI61" s="185">
        <v>830715.01</v>
      </c>
      <c r="AJ61" s="185">
        <f>311109.75+4125.81+825302.02+1937418.79+773363.12+4734762.6+11250+225512.07+412159.58</f>
        <v>9235003.7400000002</v>
      </c>
      <c r="AK61" s="185">
        <v>0</v>
      </c>
      <c r="AL61" s="185">
        <v>206665.07</v>
      </c>
      <c r="AM61" s="185">
        <v>0</v>
      </c>
      <c r="AN61" s="185">
        <v>0</v>
      </c>
      <c r="AO61" s="185">
        <v>0</v>
      </c>
      <c r="AP61" s="185">
        <v>109.02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29335.3</v>
      </c>
      <c r="AW61" s="185">
        <v>0</v>
      </c>
      <c r="AX61" s="185">
        <v>0</v>
      </c>
      <c r="AY61" s="185">
        <f>714627.95</f>
        <v>714627.95</v>
      </c>
      <c r="AZ61" s="185">
        <v>0</v>
      </c>
      <c r="BA61" s="185">
        <v>0</v>
      </c>
      <c r="BB61" s="185">
        <v>0</v>
      </c>
      <c r="BC61" s="185">
        <v>0</v>
      </c>
      <c r="BD61" s="185">
        <v>482014.18</v>
      </c>
      <c r="BE61" s="185">
        <v>446992.75</v>
      </c>
      <c r="BF61" s="185">
        <v>984626.92</v>
      </c>
      <c r="BG61" s="185">
        <v>0</v>
      </c>
      <c r="BH61" s="185">
        <v>1393800.35</v>
      </c>
      <c r="BI61" s="185">
        <v>0</v>
      </c>
      <c r="BJ61" s="185">
        <v>306037.11</v>
      </c>
      <c r="BK61" s="185">
        <v>1074755.56</v>
      </c>
      <c r="BL61" s="185">
        <v>1110774.82</v>
      </c>
      <c r="BM61" s="185">
        <v>0</v>
      </c>
      <c r="BN61" s="185">
        <v>1704245.72</v>
      </c>
      <c r="BO61" s="185">
        <v>47556.59</v>
      </c>
      <c r="BP61" s="185">
        <v>172109.09</v>
      </c>
      <c r="BQ61" s="185">
        <v>0</v>
      </c>
      <c r="BR61" s="185">
        <v>401750.3</v>
      </c>
      <c r="BS61" s="185">
        <v>53432.07</v>
      </c>
      <c r="BT61" s="185">
        <v>6147.66</v>
      </c>
      <c r="BU61" s="185">
        <v>13332.41</v>
      </c>
      <c r="BV61" s="185">
        <v>565543.68000000005</v>
      </c>
      <c r="BW61" s="185">
        <v>81838</v>
      </c>
      <c r="BX61" s="185">
        <v>499925.01</v>
      </c>
      <c r="BY61" s="185">
        <v>200036.22</v>
      </c>
      <c r="BZ61" s="185">
        <v>0</v>
      </c>
      <c r="CA61" s="185">
        <v>0</v>
      </c>
      <c r="CB61" s="185">
        <f>50889.85+26350.36</f>
        <v>77240.209999999992</v>
      </c>
      <c r="CC61" s="185">
        <f>35576.42+143577.52+175304.79+42485.37+36813.6-62671.91</f>
        <v>371085.78999999992</v>
      </c>
      <c r="CD61" s="245" t="s">
        <v>221</v>
      </c>
      <c r="CE61" s="195">
        <f t="shared" si="0"/>
        <v>41891481.199999996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328043</v>
      </c>
      <c r="D62" s="195">
        <f t="shared" si="1"/>
        <v>0</v>
      </c>
      <c r="E62" s="195">
        <f t="shared" si="1"/>
        <v>1143402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343295</v>
      </c>
      <c r="P62" s="195">
        <f t="shared" si="1"/>
        <v>625505</v>
      </c>
      <c r="Q62" s="195">
        <f t="shared" si="1"/>
        <v>203257</v>
      </c>
      <c r="R62" s="195">
        <f t="shared" si="1"/>
        <v>24635</v>
      </c>
      <c r="S62" s="195">
        <f t="shared" si="1"/>
        <v>93571</v>
      </c>
      <c r="T62" s="195">
        <f t="shared" si="1"/>
        <v>0</v>
      </c>
      <c r="U62" s="195">
        <f t="shared" si="1"/>
        <v>417229</v>
      </c>
      <c r="V62" s="195">
        <f t="shared" si="1"/>
        <v>21940</v>
      </c>
      <c r="W62" s="195">
        <f t="shared" si="1"/>
        <v>59636</v>
      </c>
      <c r="X62" s="195">
        <f t="shared" si="1"/>
        <v>71489</v>
      </c>
      <c r="Y62" s="195">
        <f t="shared" si="1"/>
        <v>462314</v>
      </c>
      <c r="Z62" s="195">
        <f t="shared" si="1"/>
        <v>147888</v>
      </c>
      <c r="AA62" s="195">
        <f t="shared" si="1"/>
        <v>43942</v>
      </c>
      <c r="AB62" s="195">
        <f t="shared" si="1"/>
        <v>263907</v>
      </c>
      <c r="AC62" s="195">
        <f t="shared" si="1"/>
        <v>169525</v>
      </c>
      <c r="AD62" s="195">
        <f t="shared" si="1"/>
        <v>0</v>
      </c>
      <c r="AE62" s="195">
        <f t="shared" si="1"/>
        <v>355963</v>
      </c>
      <c r="AF62" s="195">
        <f t="shared" si="1"/>
        <v>0</v>
      </c>
      <c r="AG62" s="195">
        <f t="shared" si="1"/>
        <v>614731</v>
      </c>
      <c r="AH62" s="195">
        <f t="shared" si="1"/>
        <v>0</v>
      </c>
      <c r="AI62" s="195">
        <f t="shared" si="1"/>
        <v>181451</v>
      </c>
      <c r="AJ62" s="195">
        <f t="shared" si="1"/>
        <v>1818658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9046</v>
      </c>
      <c r="AW62" s="195">
        <f t="shared" si="1"/>
        <v>0</v>
      </c>
      <c r="AX62" s="195">
        <f t="shared" si="1"/>
        <v>0</v>
      </c>
      <c r="AY62" s="195">
        <f>ROUND(AY47+AY48,0)</f>
        <v>252616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139430</v>
      </c>
      <c r="BE62" s="195">
        <f t="shared" si="1"/>
        <v>121478</v>
      </c>
      <c r="BF62" s="195">
        <f t="shared" si="1"/>
        <v>372112</v>
      </c>
      <c r="BG62" s="195">
        <f t="shared" si="1"/>
        <v>0</v>
      </c>
      <c r="BH62" s="195">
        <f t="shared" si="1"/>
        <v>350383</v>
      </c>
      <c r="BI62" s="195">
        <f t="shared" si="1"/>
        <v>0</v>
      </c>
      <c r="BJ62" s="195">
        <f t="shared" si="1"/>
        <v>89594</v>
      </c>
      <c r="BK62" s="195">
        <f t="shared" si="1"/>
        <v>357290</v>
      </c>
      <c r="BL62" s="195">
        <f t="shared" si="1"/>
        <v>393586</v>
      </c>
      <c r="BM62" s="195">
        <f t="shared" si="1"/>
        <v>0</v>
      </c>
      <c r="BN62" s="195">
        <f t="shared" si="1"/>
        <v>305758</v>
      </c>
      <c r="BO62" s="195">
        <f t="shared" ref="BO62:CC62" si="2">ROUND(BO47+BO48,0)</f>
        <v>14852</v>
      </c>
      <c r="BP62" s="195">
        <f t="shared" si="2"/>
        <v>50288</v>
      </c>
      <c r="BQ62" s="195">
        <f t="shared" si="2"/>
        <v>0</v>
      </c>
      <c r="BR62" s="195">
        <f t="shared" si="2"/>
        <v>139400</v>
      </c>
      <c r="BS62" s="195">
        <f t="shared" si="2"/>
        <v>18724</v>
      </c>
      <c r="BT62" s="195">
        <f t="shared" si="2"/>
        <v>679</v>
      </c>
      <c r="BU62" s="195">
        <f t="shared" si="2"/>
        <v>1529</v>
      </c>
      <c r="BV62" s="195">
        <f t="shared" si="2"/>
        <v>197048</v>
      </c>
      <c r="BW62" s="195">
        <f t="shared" si="2"/>
        <v>22257</v>
      </c>
      <c r="BX62" s="195">
        <f t="shared" si="2"/>
        <v>124821</v>
      </c>
      <c r="BY62" s="195">
        <f t="shared" si="2"/>
        <v>28886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136114</v>
      </c>
      <c r="CD62" s="245" t="s">
        <v>221</v>
      </c>
      <c r="CE62" s="195">
        <f t="shared" si="0"/>
        <v>10516283</v>
      </c>
      <c r="CF62" s="248"/>
    </row>
    <row r="63" spans="1:84" ht="12.6" customHeight="1" x14ac:dyDescent="0.25">
      <c r="A63" s="171" t="s">
        <v>236</v>
      </c>
      <c r="B63" s="175"/>
      <c r="C63" s="184">
        <v>279.83</v>
      </c>
      <c r="D63" s="184">
        <v>0</v>
      </c>
      <c r="E63" s="184">
        <f>404.34+686529.91</f>
        <v>686934.25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f>12526.04+319130.02</f>
        <v>331656.06</v>
      </c>
      <c r="P63" s="185">
        <f>84896.54+724331.15</f>
        <v>809227.69000000006</v>
      </c>
      <c r="Q63" s="185">
        <v>0</v>
      </c>
      <c r="R63" s="185">
        <v>0</v>
      </c>
      <c r="S63" s="185">
        <v>0</v>
      </c>
      <c r="T63" s="185">
        <v>0</v>
      </c>
      <c r="U63" s="185">
        <f>50864+104601</f>
        <v>155465</v>
      </c>
      <c r="V63" s="185">
        <v>0</v>
      </c>
      <c r="W63" s="185">
        <v>0</v>
      </c>
      <c r="X63" s="185">
        <v>0</v>
      </c>
      <c r="Y63" s="185">
        <f>16202.91</f>
        <v>16202.91</v>
      </c>
      <c r="Z63" s="185">
        <f>5600.41+551707.46</f>
        <v>557307.87</v>
      </c>
      <c r="AA63" s="185">
        <v>0</v>
      </c>
      <c r="AB63" s="185">
        <v>4530.95</v>
      </c>
      <c r="AC63" s="185">
        <v>0</v>
      </c>
      <c r="AD63" s="185">
        <v>0</v>
      </c>
      <c r="AE63" s="185">
        <v>19217.330000000002</v>
      </c>
      <c r="AF63" s="185">
        <v>0</v>
      </c>
      <c r="AG63" s="185">
        <f>145457.59+93334</f>
        <v>238791.59</v>
      </c>
      <c r="AH63" s="185">
        <v>0</v>
      </c>
      <c r="AI63" s="185">
        <f>9423.5</f>
        <v>9423.5</v>
      </c>
      <c r="AJ63" s="185">
        <f>25387.97+1724.46+448507.55+150517.61+213341.05+21009.33+1782.82+2000</f>
        <v>864270.7899999998</v>
      </c>
      <c r="AK63" s="185">
        <v>0</v>
      </c>
      <c r="AL63" s="185">
        <f>1260.54</f>
        <v>1260.54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95279.32</v>
      </c>
      <c r="AZ63" s="185">
        <v>0</v>
      </c>
      <c r="BA63" s="185">
        <v>0</v>
      </c>
      <c r="BB63" s="185">
        <v>0</v>
      </c>
      <c r="BC63" s="185">
        <v>0</v>
      </c>
      <c r="BD63" s="185">
        <v>70000</v>
      </c>
      <c r="BE63" s="185">
        <v>10072.14</v>
      </c>
      <c r="BF63" s="185">
        <v>0</v>
      </c>
      <c r="BG63" s="185">
        <v>0</v>
      </c>
      <c r="BH63" s="185">
        <v>0</v>
      </c>
      <c r="BI63" s="185">
        <v>0</v>
      </c>
      <c r="BJ63" s="185">
        <v>81333.990000000005</v>
      </c>
      <c r="BK63" s="185">
        <v>187351.9</v>
      </c>
      <c r="BL63" s="185">
        <v>245.53</v>
      </c>
      <c r="BM63" s="185">
        <v>0</v>
      </c>
      <c r="BN63" s="185">
        <v>569347.92000000004</v>
      </c>
      <c r="BO63" s="185">
        <v>0</v>
      </c>
      <c r="BP63" s="185">
        <v>51153.06</v>
      </c>
      <c r="BQ63" s="185">
        <v>0</v>
      </c>
      <c r="BR63" s="185">
        <v>105027.01</v>
      </c>
      <c r="BS63" s="185">
        <v>0</v>
      </c>
      <c r="BT63" s="185">
        <v>0</v>
      </c>
      <c r="BU63" s="185">
        <v>0</v>
      </c>
      <c r="BV63" s="185">
        <v>53884.5</v>
      </c>
      <c r="BW63" s="185">
        <v>9438</v>
      </c>
      <c r="BX63" s="185">
        <v>43556.66</v>
      </c>
      <c r="BY63" s="185">
        <v>634.37</v>
      </c>
      <c r="BZ63" s="185">
        <v>0</v>
      </c>
      <c r="CA63" s="185">
        <v>0</v>
      </c>
      <c r="CB63" s="185">
        <v>1017.6</v>
      </c>
      <c r="CC63" s="185">
        <f>1762+57756.31+47368</f>
        <v>106886.31</v>
      </c>
      <c r="CD63" s="245" t="s">
        <v>221</v>
      </c>
      <c r="CE63" s="195">
        <f t="shared" si="0"/>
        <v>5079796.6199999982</v>
      </c>
      <c r="CF63" s="248"/>
    </row>
    <row r="64" spans="1:84" ht="12.6" customHeight="1" x14ac:dyDescent="0.25">
      <c r="A64" s="171" t="s">
        <v>237</v>
      </c>
      <c r="B64" s="175"/>
      <c r="C64" s="184">
        <v>48527.06</v>
      </c>
      <c r="D64" s="184">
        <v>0</v>
      </c>
      <c r="E64" s="185">
        <v>188146.61</v>
      </c>
      <c r="F64" s="185">
        <v>0</v>
      </c>
      <c r="G64" s="184">
        <v>0</v>
      </c>
      <c r="H64" s="184">
        <v>0</v>
      </c>
      <c r="I64" s="185">
        <v>0</v>
      </c>
      <c r="J64" s="185">
        <v>12911.55</v>
      </c>
      <c r="K64" s="185">
        <v>0</v>
      </c>
      <c r="L64" s="185">
        <v>0</v>
      </c>
      <c r="M64" s="184">
        <v>0</v>
      </c>
      <c r="N64" s="184">
        <v>0</v>
      </c>
      <c r="O64" s="184">
        <v>108577.11</v>
      </c>
      <c r="P64" s="185">
        <f>10943498.67+8643.56</f>
        <v>10952142.23</v>
      </c>
      <c r="Q64" s="185">
        <v>20353.740000000002</v>
      </c>
      <c r="R64" s="185">
        <f>204.38+187624.81</f>
        <v>187829.19</v>
      </c>
      <c r="S64" s="185">
        <v>110473.66</v>
      </c>
      <c r="T64" s="185">
        <v>0</v>
      </c>
      <c r="U64" s="185">
        <f>1808301.03+11997.58</f>
        <v>1820298.61</v>
      </c>
      <c r="V64" s="185">
        <v>414.28</v>
      </c>
      <c r="W64" s="185">
        <v>37212</v>
      </c>
      <c r="X64" s="185">
        <v>223506.56</v>
      </c>
      <c r="Y64" s="185">
        <f>60776.15+7681.94+14579.35+99843.57+57870.67+16630.79</f>
        <v>257382.47</v>
      </c>
      <c r="Z64" s="185">
        <v>73305.16</v>
      </c>
      <c r="AA64" s="185">
        <f>146131.49</f>
        <v>146131.49</v>
      </c>
      <c r="AB64" s="185">
        <v>5800608.6699999999</v>
      </c>
      <c r="AC64" s="185">
        <f>95108.59+8381.23</f>
        <v>103489.81999999999</v>
      </c>
      <c r="AD64" s="185">
        <v>0</v>
      </c>
      <c r="AE64" s="185">
        <v>20794.73</v>
      </c>
      <c r="AF64" s="185">
        <v>0</v>
      </c>
      <c r="AG64" s="185">
        <v>383465.81</v>
      </c>
      <c r="AH64" s="185">
        <v>0</v>
      </c>
      <c r="AI64" s="185">
        <v>27710.95</v>
      </c>
      <c r="AJ64" s="185">
        <f>254180.93+445.82+105436.99+190091.54+5509.44+377460.34+804.49</f>
        <v>933929.55</v>
      </c>
      <c r="AK64" s="185">
        <v>0</v>
      </c>
      <c r="AL64" s="185">
        <v>456.56</v>
      </c>
      <c r="AM64" s="185">
        <v>0</v>
      </c>
      <c r="AN64" s="185">
        <v>0</v>
      </c>
      <c r="AO64" s="185">
        <v>0</v>
      </c>
      <c r="AP64" s="185">
        <v>13845.67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f>239.14</f>
        <v>239.14</v>
      </c>
      <c r="AW64" s="185">
        <v>0</v>
      </c>
      <c r="AX64" s="185">
        <v>0</v>
      </c>
      <c r="AY64" s="185">
        <f>543556.06</f>
        <v>543556.06000000006</v>
      </c>
      <c r="AZ64" s="185">
        <v>0</v>
      </c>
      <c r="BA64" s="185">
        <v>0</v>
      </c>
      <c r="BB64" s="185">
        <v>0</v>
      </c>
      <c r="BC64" s="185">
        <v>0</v>
      </c>
      <c r="BD64" s="185">
        <v>148073.95000000001</v>
      </c>
      <c r="BE64" s="185">
        <v>92343.22</v>
      </c>
      <c r="BF64" s="185">
        <v>214926.07</v>
      </c>
      <c r="BG64" s="185">
        <v>0</v>
      </c>
      <c r="BH64" s="185">
        <v>217982.6</v>
      </c>
      <c r="BI64" s="185">
        <v>0</v>
      </c>
      <c r="BJ64" s="185">
        <v>7124.81</v>
      </c>
      <c r="BK64" s="185">
        <v>13484.54</v>
      </c>
      <c r="BL64" s="185">
        <v>63692.99</v>
      </c>
      <c r="BM64" s="185">
        <v>0</v>
      </c>
      <c r="BN64" s="185">
        <v>11951.49</v>
      </c>
      <c r="BO64" s="185">
        <v>26499.39</v>
      </c>
      <c r="BP64" s="185">
        <v>76633.100000000006</v>
      </c>
      <c r="BQ64" s="185">
        <v>0</v>
      </c>
      <c r="BR64" s="185">
        <v>8398.7099999999991</v>
      </c>
      <c r="BS64" s="185">
        <v>2370.15</v>
      </c>
      <c r="BT64" s="185">
        <v>560.24</v>
      </c>
      <c r="BU64" s="185">
        <v>373.43</v>
      </c>
      <c r="BV64" s="185">
        <v>8941.07</v>
      </c>
      <c r="BW64" s="185">
        <v>876.71</v>
      </c>
      <c r="BX64" s="185">
        <v>1627.75</v>
      </c>
      <c r="BY64" s="185">
        <v>10326.99</v>
      </c>
      <c r="BZ64" s="185">
        <v>0</v>
      </c>
      <c r="CA64" s="185">
        <v>0</v>
      </c>
      <c r="CB64" s="185">
        <f>2202.04+1243.17</f>
        <v>3445.21</v>
      </c>
      <c r="CC64" s="185">
        <f>1805.09+228.29+1596.43+2973.63+4.78+703.14+380.8</f>
        <v>7692.1600000000008</v>
      </c>
      <c r="CD64" s="245" t="s">
        <v>221</v>
      </c>
      <c r="CE64" s="195">
        <f t="shared" si="0"/>
        <v>22932633.259999994</v>
      </c>
      <c r="CF64" s="248"/>
    </row>
    <row r="65" spans="1:84" ht="12.6" customHeight="1" x14ac:dyDescent="0.25">
      <c r="A65" s="171" t="s">
        <v>238</v>
      </c>
      <c r="B65" s="175"/>
      <c r="C65" s="184">
        <v>1090.51</v>
      </c>
      <c r="D65" s="184">
        <v>0</v>
      </c>
      <c r="E65" s="184">
        <v>363.14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300</v>
      </c>
      <c r="P65" s="185">
        <f>556.72+4157.84</f>
        <v>4714.5600000000004</v>
      </c>
      <c r="Q65" s="185">
        <v>0</v>
      </c>
      <c r="R65" s="185">
        <v>0</v>
      </c>
      <c r="S65" s="185">
        <v>0</v>
      </c>
      <c r="T65" s="185">
        <v>0</v>
      </c>
      <c r="U65" s="185">
        <f>2425.21</f>
        <v>2425.21</v>
      </c>
      <c r="V65" s="185">
        <v>0</v>
      </c>
      <c r="W65" s="185">
        <v>0</v>
      </c>
      <c r="X65" s="185">
        <v>672.8</v>
      </c>
      <c r="Y65" s="185">
        <f>600+672.8+383.86</f>
        <v>1656.6599999999999</v>
      </c>
      <c r="Z65" s="185">
        <v>0</v>
      </c>
      <c r="AA65" s="185">
        <v>0</v>
      </c>
      <c r="AB65" s="185">
        <v>600.77</v>
      </c>
      <c r="AC65" s="185">
        <v>637.86</v>
      </c>
      <c r="AD65" s="185">
        <v>0</v>
      </c>
      <c r="AE65" s="185">
        <v>0</v>
      </c>
      <c r="AF65" s="185">
        <v>0</v>
      </c>
      <c r="AG65" s="185">
        <v>364.14</v>
      </c>
      <c r="AH65" s="185">
        <v>204.59</v>
      </c>
      <c r="AI65" s="185">
        <v>10197.959999999999</v>
      </c>
      <c r="AJ65" s="185">
        <f>335.32+4.23+8504.59+397.89+10417.07+3166.12+100</f>
        <v>22925.219999999998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462.74</v>
      </c>
      <c r="AZ65" s="185">
        <v>0</v>
      </c>
      <c r="BA65" s="185">
        <v>0</v>
      </c>
      <c r="BB65" s="185">
        <v>0</v>
      </c>
      <c r="BC65" s="185">
        <v>0</v>
      </c>
      <c r="BD65" s="185">
        <v>568.25</v>
      </c>
      <c r="BE65" s="185">
        <v>582809.16</v>
      </c>
      <c r="BF65" s="185">
        <v>30173.83</v>
      </c>
      <c r="BG65" s="185">
        <v>0</v>
      </c>
      <c r="BH65" s="185">
        <v>-18418.71</v>
      </c>
      <c r="BI65" s="185">
        <v>0</v>
      </c>
      <c r="BJ65" s="185">
        <v>0</v>
      </c>
      <c r="BK65" s="185">
        <v>0</v>
      </c>
      <c r="BL65" s="185">
        <v>678.26</v>
      </c>
      <c r="BM65" s="185">
        <v>0</v>
      </c>
      <c r="BN65" s="185">
        <v>0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336.21</v>
      </c>
      <c r="BU65" s="185">
        <v>0</v>
      </c>
      <c r="BV65" s="185">
        <v>50</v>
      </c>
      <c r="BW65" s="185">
        <v>0</v>
      </c>
      <c r="BX65" s="185">
        <v>413.05</v>
      </c>
      <c r="BY65" s="185">
        <v>891.7</v>
      </c>
      <c r="BZ65" s="185">
        <v>0</v>
      </c>
      <c r="CA65" s="185">
        <v>0</v>
      </c>
      <c r="CB65" s="185">
        <v>0</v>
      </c>
      <c r="CC65" s="185">
        <f>31250.82+616.65+85867.48+4948.9</f>
        <v>122683.84999999999</v>
      </c>
      <c r="CD65" s="245" t="s">
        <v>221</v>
      </c>
      <c r="CE65" s="195">
        <f t="shared" si="0"/>
        <v>766801.76</v>
      </c>
      <c r="CF65" s="248"/>
    </row>
    <row r="66" spans="1:84" ht="12.6" customHeight="1" x14ac:dyDescent="0.25">
      <c r="A66" s="171" t="s">
        <v>239</v>
      </c>
      <c r="B66" s="175"/>
      <c r="C66" s="184">
        <v>541.44000000000005</v>
      </c>
      <c r="D66" s="184">
        <v>0</v>
      </c>
      <c r="E66" s="184">
        <v>20433.93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83599.320000000007</v>
      </c>
      <c r="P66" s="185">
        <f>522600.52+27613.77</f>
        <v>550214.29</v>
      </c>
      <c r="Q66" s="185">
        <v>1460.38</v>
      </c>
      <c r="R66" s="185">
        <v>8650.1200000000008</v>
      </c>
      <c r="S66" s="184">
        <v>12597.94</v>
      </c>
      <c r="T66" s="184">
        <v>0</v>
      </c>
      <c r="U66" s="185">
        <v>1134592.47</v>
      </c>
      <c r="V66" s="185">
        <v>0</v>
      </c>
      <c r="W66" s="185">
        <v>53484.03</v>
      </c>
      <c r="X66" s="185">
        <v>117530.21</v>
      </c>
      <c r="Y66" s="185">
        <f>192659.65+285667.04+383984.42+513390</f>
        <v>1375701.1099999999</v>
      </c>
      <c r="Z66" s="185">
        <v>11799.71</v>
      </c>
      <c r="AA66" s="185">
        <v>30812.11</v>
      </c>
      <c r="AB66" s="185">
        <v>376377.61</v>
      </c>
      <c r="AC66" s="185">
        <f>21650.76+233.43</f>
        <v>21884.19</v>
      </c>
      <c r="AD66" s="185">
        <v>0</v>
      </c>
      <c r="AE66" s="185">
        <v>2859.89</v>
      </c>
      <c r="AF66" s="185">
        <v>0</v>
      </c>
      <c r="AG66" s="185">
        <v>12820.21</v>
      </c>
      <c r="AH66" s="185">
        <v>0</v>
      </c>
      <c r="AI66" s="185">
        <v>87130.38</v>
      </c>
      <c r="AJ66" s="185">
        <f>729667+109.34+29280.41+500+201214.78+31531.25+74712.79+625</f>
        <v>1067640.57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185071.76</v>
      </c>
      <c r="AY66" s="185">
        <v>114000.11</v>
      </c>
      <c r="AZ66" s="185">
        <v>0</v>
      </c>
      <c r="BA66" s="185">
        <v>286473.15999999997</v>
      </c>
      <c r="BB66" s="185">
        <v>0</v>
      </c>
      <c r="BC66" s="185">
        <v>0</v>
      </c>
      <c r="BD66" s="185">
        <v>26</v>
      </c>
      <c r="BE66" s="185">
        <v>625774.13</v>
      </c>
      <c r="BF66" s="185">
        <v>104441.88</v>
      </c>
      <c r="BG66" s="185">
        <v>0</v>
      </c>
      <c r="BH66" s="185">
        <v>1004246.58</v>
      </c>
      <c r="BI66" s="185">
        <v>0</v>
      </c>
      <c r="BJ66" s="185">
        <v>167736.31</v>
      </c>
      <c r="BK66" s="185">
        <v>186349.41</v>
      </c>
      <c r="BL66" s="185">
        <v>69466.665999999997</v>
      </c>
      <c r="BM66" s="185">
        <v>0</v>
      </c>
      <c r="BN66" s="185">
        <v>14475.82</v>
      </c>
      <c r="BO66" s="185">
        <v>55239.77</v>
      </c>
      <c r="BP66" s="185">
        <v>144533.72</v>
      </c>
      <c r="BQ66" s="185">
        <v>0</v>
      </c>
      <c r="BR66" s="185">
        <v>57576.1</v>
      </c>
      <c r="BS66" s="185">
        <v>0</v>
      </c>
      <c r="BT66" s="185">
        <v>0</v>
      </c>
      <c r="BU66" s="185">
        <v>0</v>
      </c>
      <c r="BV66" s="185">
        <v>134398.96</v>
      </c>
      <c r="BW66" s="185">
        <v>0</v>
      </c>
      <c r="BX66" s="185">
        <v>28963.69</v>
      </c>
      <c r="BY66" s="185">
        <v>27527.21</v>
      </c>
      <c r="BZ66" s="185">
        <v>0</v>
      </c>
      <c r="CA66" s="185">
        <v>0</v>
      </c>
      <c r="CB66" s="185">
        <v>1306.71</v>
      </c>
      <c r="CC66" s="185">
        <f>134038.44+7214.86+13554.29-86498.35+234144.26-500+3611.34+1217.45+872.85+6169.55</f>
        <v>313824.69</v>
      </c>
      <c r="CD66" s="245" t="s">
        <v>221</v>
      </c>
      <c r="CE66" s="195">
        <f t="shared" si="0"/>
        <v>8491562.5859999992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84647</v>
      </c>
      <c r="D67" s="195">
        <f>ROUND(D51+D52,0)</f>
        <v>0</v>
      </c>
      <c r="E67" s="195">
        <f t="shared" ref="E67:BP67" si="3">ROUND(E51+E52,0)</f>
        <v>178825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74284</v>
      </c>
      <c r="P67" s="195">
        <f t="shared" si="3"/>
        <v>464286</v>
      </c>
      <c r="Q67" s="195">
        <f t="shared" si="3"/>
        <v>3330</v>
      </c>
      <c r="R67" s="195">
        <f t="shared" si="3"/>
        <v>15729</v>
      </c>
      <c r="S67" s="195">
        <f t="shared" si="3"/>
        <v>53145</v>
      </c>
      <c r="T67" s="195">
        <f t="shared" si="3"/>
        <v>0</v>
      </c>
      <c r="U67" s="195">
        <f t="shared" si="3"/>
        <v>70672</v>
      </c>
      <c r="V67" s="195">
        <f t="shared" si="3"/>
        <v>2891</v>
      </c>
      <c r="W67" s="195">
        <f t="shared" si="3"/>
        <v>262469</v>
      </c>
      <c r="X67" s="195">
        <f t="shared" si="3"/>
        <v>116040</v>
      </c>
      <c r="Y67" s="195">
        <f t="shared" si="3"/>
        <v>266166</v>
      </c>
      <c r="Z67" s="195">
        <f t="shared" si="3"/>
        <v>54183</v>
      </c>
      <c r="AA67" s="195">
        <f t="shared" si="3"/>
        <v>5184</v>
      </c>
      <c r="AB67" s="195">
        <f t="shared" si="3"/>
        <v>33919</v>
      </c>
      <c r="AC67" s="195">
        <f t="shared" si="3"/>
        <v>48620</v>
      </c>
      <c r="AD67" s="195">
        <f t="shared" si="3"/>
        <v>0</v>
      </c>
      <c r="AE67" s="195">
        <f t="shared" si="3"/>
        <v>49907</v>
      </c>
      <c r="AF67" s="195">
        <f t="shared" si="3"/>
        <v>0</v>
      </c>
      <c r="AG67" s="195">
        <f t="shared" si="3"/>
        <v>87353</v>
      </c>
      <c r="AH67" s="195">
        <f t="shared" si="3"/>
        <v>636</v>
      </c>
      <c r="AI67" s="195">
        <f t="shared" si="3"/>
        <v>6810</v>
      </c>
      <c r="AJ67" s="195">
        <f t="shared" si="3"/>
        <v>196042</v>
      </c>
      <c r="AK67" s="195">
        <f t="shared" si="3"/>
        <v>0</v>
      </c>
      <c r="AL67" s="195">
        <f t="shared" si="3"/>
        <v>632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6659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43878</v>
      </c>
      <c r="AZ67" s="195">
        <f>ROUND(AZ51+AZ52,0)</f>
        <v>0</v>
      </c>
      <c r="BA67" s="195">
        <f>ROUND(BA51+BA52,0)</f>
        <v>1693</v>
      </c>
      <c r="BB67" s="195">
        <f t="shared" si="3"/>
        <v>0</v>
      </c>
      <c r="BC67" s="195">
        <f t="shared" si="3"/>
        <v>0</v>
      </c>
      <c r="BD67" s="195">
        <f t="shared" si="3"/>
        <v>33225</v>
      </c>
      <c r="BE67" s="195">
        <f t="shared" si="3"/>
        <v>162091</v>
      </c>
      <c r="BF67" s="195">
        <f t="shared" si="3"/>
        <v>23032</v>
      </c>
      <c r="BG67" s="195">
        <f t="shared" si="3"/>
        <v>0</v>
      </c>
      <c r="BH67" s="195">
        <f t="shared" si="3"/>
        <v>1045760</v>
      </c>
      <c r="BI67" s="195">
        <f t="shared" si="3"/>
        <v>0</v>
      </c>
      <c r="BJ67" s="195">
        <f t="shared" si="3"/>
        <v>19814</v>
      </c>
      <c r="BK67" s="195">
        <f t="shared" si="3"/>
        <v>23073</v>
      </c>
      <c r="BL67" s="195">
        <f t="shared" si="3"/>
        <v>98357</v>
      </c>
      <c r="BM67" s="195">
        <f t="shared" si="3"/>
        <v>0</v>
      </c>
      <c r="BN67" s="195">
        <f t="shared" si="3"/>
        <v>10362</v>
      </c>
      <c r="BO67" s="195">
        <f t="shared" si="3"/>
        <v>0</v>
      </c>
      <c r="BP67" s="195">
        <f t="shared" si="3"/>
        <v>21292</v>
      </c>
      <c r="BQ67" s="195">
        <f t="shared" ref="BQ67:CC67" si="4">ROUND(BQ51+BQ52,0)</f>
        <v>0</v>
      </c>
      <c r="BR67" s="195">
        <f t="shared" si="4"/>
        <v>7036</v>
      </c>
      <c r="BS67" s="195">
        <f t="shared" si="4"/>
        <v>6647</v>
      </c>
      <c r="BT67" s="195">
        <f t="shared" si="4"/>
        <v>2306</v>
      </c>
      <c r="BU67" s="195">
        <f t="shared" si="4"/>
        <v>3291</v>
      </c>
      <c r="BV67" s="195">
        <f t="shared" si="4"/>
        <v>9497</v>
      </c>
      <c r="BW67" s="195">
        <f t="shared" si="4"/>
        <v>1451</v>
      </c>
      <c r="BX67" s="195">
        <f t="shared" si="4"/>
        <v>2620</v>
      </c>
      <c r="BY67" s="195">
        <f t="shared" si="4"/>
        <v>3492</v>
      </c>
      <c r="BZ67" s="195">
        <f t="shared" si="4"/>
        <v>0</v>
      </c>
      <c r="CA67" s="195">
        <f t="shared" si="4"/>
        <v>0</v>
      </c>
      <c r="CB67" s="195">
        <f t="shared" si="4"/>
        <v>3792</v>
      </c>
      <c r="CC67" s="195">
        <f t="shared" si="4"/>
        <v>969995</v>
      </c>
      <c r="CD67" s="245" t="s">
        <v>221</v>
      </c>
      <c r="CE67" s="195">
        <f t="shared" si="0"/>
        <v>4575133</v>
      </c>
      <c r="CF67" s="248"/>
    </row>
    <row r="68" spans="1:84" ht="12.6" customHeight="1" x14ac:dyDescent="0.25">
      <c r="A68" s="171" t="s">
        <v>240</v>
      </c>
      <c r="B68" s="175"/>
      <c r="C68" s="184">
        <v>1299.47</v>
      </c>
      <c r="D68" s="184">
        <v>0</v>
      </c>
      <c r="E68" s="184">
        <v>32409.15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84324.98</v>
      </c>
      <c r="Q68" s="185">
        <v>0</v>
      </c>
      <c r="R68" s="185">
        <v>0</v>
      </c>
      <c r="S68" s="185">
        <v>0</v>
      </c>
      <c r="T68" s="185">
        <v>0</v>
      </c>
      <c r="U68" s="185">
        <v>141945.63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271.42</v>
      </c>
      <c r="AD68" s="185">
        <v>0</v>
      </c>
      <c r="AE68" s="185">
        <v>19136</v>
      </c>
      <c r="AF68" s="185">
        <v>0</v>
      </c>
      <c r="AG68" s="185">
        <v>0</v>
      </c>
      <c r="AH68" s="185">
        <v>0</v>
      </c>
      <c r="AI68" s="185">
        <v>118997.34</v>
      </c>
      <c r="AJ68" s="185">
        <f>425360.25+21600</f>
        <v>446960.25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396.17</v>
      </c>
      <c r="BF68" s="185">
        <v>0</v>
      </c>
      <c r="BG68" s="185">
        <v>0</v>
      </c>
      <c r="BH68" s="185">
        <v>10698.28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1256.97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3171.78</v>
      </c>
      <c r="CD68" s="245" t="s">
        <v>221</v>
      </c>
      <c r="CE68" s="195">
        <f t="shared" si="0"/>
        <v>860867.44000000006</v>
      </c>
      <c r="CF68" s="248"/>
    </row>
    <row r="69" spans="1:84" ht="12.6" customHeight="1" x14ac:dyDescent="0.25">
      <c r="A69" s="171" t="s">
        <v>241</v>
      </c>
      <c r="B69" s="175"/>
      <c r="C69" s="184">
        <v>708.4</v>
      </c>
      <c r="D69" s="184">
        <v>0</v>
      </c>
      <c r="E69" s="185">
        <v>2215.2199999999998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7748.86</v>
      </c>
      <c r="P69" s="185">
        <f>3969.68+42138.06</f>
        <v>46107.74</v>
      </c>
      <c r="Q69" s="185">
        <v>86.33</v>
      </c>
      <c r="R69" s="220">
        <v>0</v>
      </c>
      <c r="S69" s="185">
        <v>670.3</v>
      </c>
      <c r="T69" s="184">
        <v>0</v>
      </c>
      <c r="U69" s="185">
        <v>5039.18</v>
      </c>
      <c r="V69" s="185">
        <v>0</v>
      </c>
      <c r="W69" s="184">
        <v>217.06</v>
      </c>
      <c r="X69" s="185"/>
      <c r="Y69" s="185">
        <f>7487.08+7329.66</f>
        <v>14816.74</v>
      </c>
      <c r="Z69" s="185">
        <v>2959.4</v>
      </c>
      <c r="AA69" s="185"/>
      <c r="AB69" s="185">
        <v>10096.209999999999</v>
      </c>
      <c r="AC69" s="185">
        <f>3042.21+453.15</f>
        <v>3495.36</v>
      </c>
      <c r="AD69" s="185">
        <v>0</v>
      </c>
      <c r="AE69" s="185">
        <v>7644.18</v>
      </c>
      <c r="AF69" s="185">
        <v>0</v>
      </c>
      <c r="AG69" s="185">
        <v>4552.66</v>
      </c>
      <c r="AH69" s="185">
        <v>0</v>
      </c>
      <c r="AI69" s="185">
        <v>17225.21</v>
      </c>
      <c r="AJ69" s="185">
        <f>4080.18+541.46+18226.83+41367.47+12514.86+171961.17+267.57+2815.14</f>
        <v>251774.68000000005</v>
      </c>
      <c r="AK69" s="185">
        <v>0</v>
      </c>
      <c r="AL69" s="185">
        <v>557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f>671.11</f>
        <v>671.11</v>
      </c>
      <c r="AW69" s="185">
        <v>0</v>
      </c>
      <c r="AX69" s="185">
        <v>0</v>
      </c>
      <c r="AY69" s="185">
        <v>17366.939999999999</v>
      </c>
      <c r="AZ69" s="185">
        <v>0</v>
      </c>
      <c r="BA69" s="185">
        <v>0</v>
      </c>
      <c r="BB69" s="185">
        <v>0</v>
      </c>
      <c r="BC69" s="185">
        <v>0</v>
      </c>
      <c r="BD69" s="185">
        <v>14387.33</v>
      </c>
      <c r="BE69" s="185">
        <v>1278.05</v>
      </c>
      <c r="BF69" s="185">
        <v>2765.1</v>
      </c>
      <c r="BG69" s="185">
        <v>0</v>
      </c>
      <c r="BH69" s="220">
        <v>16194.68</v>
      </c>
      <c r="BI69" s="185">
        <v>0</v>
      </c>
      <c r="BJ69" s="185">
        <v>556.11</v>
      </c>
      <c r="BK69" s="185">
        <v>9045.17</v>
      </c>
      <c r="BL69" s="185">
        <v>12336.91</v>
      </c>
      <c r="BM69" s="185">
        <v>0</v>
      </c>
      <c r="BN69" s="185">
        <v>197318.8</v>
      </c>
      <c r="BO69" s="185">
        <v>-52</v>
      </c>
      <c r="BP69" s="185">
        <v>1316.1</v>
      </c>
      <c r="BQ69" s="185">
        <v>0</v>
      </c>
      <c r="BR69" s="185">
        <v>34821.300000000003</v>
      </c>
      <c r="BS69" s="185">
        <v>1248.5</v>
      </c>
      <c r="BT69" s="185">
        <v>400</v>
      </c>
      <c r="BU69" s="185">
        <v>2602.0100000000002</v>
      </c>
      <c r="BV69" s="185">
        <v>5112.22</v>
      </c>
      <c r="BW69" s="185">
        <v>4194.0200000000004</v>
      </c>
      <c r="BX69" s="185">
        <v>3876.79</v>
      </c>
      <c r="BY69" s="185">
        <v>84254.26</v>
      </c>
      <c r="BZ69" s="185">
        <v>0</v>
      </c>
      <c r="CA69" s="185">
        <v>0</v>
      </c>
      <c r="CB69" s="185">
        <f>113.32+2084.1</f>
        <v>2197.42</v>
      </c>
      <c r="CC69" s="185">
        <f>3644.83+157.63+2829.19+581488.47+561679.59+560747.35+4052.68+38055.81+303.96+9649.36+698.36+433</f>
        <v>1763740.2300000002</v>
      </c>
      <c r="CD69" s="188">
        <v>0</v>
      </c>
      <c r="CE69" s="195">
        <f t="shared" si="0"/>
        <v>2551545.58</v>
      </c>
      <c r="CF69" s="248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1530</v>
      </c>
      <c r="P70" s="184">
        <v>5962.71</v>
      </c>
      <c r="Q70" s="184">
        <v>0</v>
      </c>
      <c r="R70" s="184">
        <v>0</v>
      </c>
      <c r="S70" s="184">
        <v>27.5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84835.81</v>
      </c>
      <c r="AA70" s="185">
        <v>0</v>
      </c>
      <c r="AB70" s="185">
        <v>3941.54</v>
      </c>
      <c r="AC70" s="185">
        <v>12440</v>
      </c>
      <c r="AD70" s="185">
        <v>0</v>
      </c>
      <c r="AE70" s="185">
        <v>5620</v>
      </c>
      <c r="AF70" s="185">
        <v>0</v>
      </c>
      <c r="AG70" s="185">
        <v>8978</v>
      </c>
      <c r="AH70" s="185">
        <v>0</v>
      </c>
      <c r="AI70" s="185">
        <v>14031.55</v>
      </c>
      <c r="AJ70" s="185">
        <f>55152+10745+8401.98+549.44+3144.07</f>
        <v>77992.490000000005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6053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f>1000+1061.26</f>
        <v>2061.2600000000002</v>
      </c>
      <c r="AW70" s="185">
        <v>0</v>
      </c>
      <c r="AX70" s="185">
        <v>0</v>
      </c>
      <c r="AY70" s="185">
        <v>473174.46</v>
      </c>
      <c r="AZ70" s="185">
        <v>0</v>
      </c>
      <c r="BA70" s="185">
        <v>5291.04</v>
      </c>
      <c r="BB70" s="185">
        <v>0</v>
      </c>
      <c r="BC70" s="185">
        <v>0</v>
      </c>
      <c r="BD70" s="185">
        <f>126312.64+13821.37</f>
        <v>140134.01</v>
      </c>
      <c r="BE70" s="185">
        <v>3769.66</v>
      </c>
      <c r="BF70" s="185">
        <v>600</v>
      </c>
      <c r="BG70" s="185">
        <v>0</v>
      </c>
      <c r="BH70" s="185">
        <v>24800</v>
      </c>
      <c r="BI70" s="185">
        <v>0</v>
      </c>
      <c r="BJ70" s="185">
        <v>4992</v>
      </c>
      <c r="BK70" s="185">
        <v>882</v>
      </c>
      <c r="BL70" s="185">
        <v>4484.3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10046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f>50855+55768</f>
        <v>106623</v>
      </c>
      <c r="CC70" s="185">
        <f>48480+760.58</f>
        <v>49240.58</v>
      </c>
      <c r="CD70" s="188">
        <v>0</v>
      </c>
      <c r="CE70" s="195">
        <f t="shared" si="0"/>
        <v>1047510.9100000001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1629038.6099999999</v>
      </c>
      <c r="D71" s="195">
        <f t="shared" ref="D71:AI71" si="5">SUM(D61:D69)-D70</f>
        <v>0</v>
      </c>
      <c r="E71" s="195">
        <f t="shared" si="5"/>
        <v>6029061.6299999999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12911.55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2315308.13</v>
      </c>
      <c r="P71" s="195">
        <f t="shared" si="5"/>
        <v>16559026.890000002</v>
      </c>
      <c r="Q71" s="195">
        <f t="shared" si="5"/>
        <v>1225888.72</v>
      </c>
      <c r="R71" s="195">
        <f t="shared" si="5"/>
        <v>328109.21999999997</v>
      </c>
      <c r="S71" s="195">
        <f t="shared" si="5"/>
        <v>542653.71</v>
      </c>
      <c r="T71" s="195">
        <f t="shared" si="5"/>
        <v>0</v>
      </c>
      <c r="U71" s="195">
        <f t="shared" si="5"/>
        <v>5200282.1099999994</v>
      </c>
      <c r="V71" s="195">
        <f t="shared" si="5"/>
        <v>108186.79</v>
      </c>
      <c r="W71" s="195">
        <f t="shared" si="5"/>
        <v>674075.87000000011</v>
      </c>
      <c r="X71" s="195">
        <f t="shared" si="5"/>
        <v>801564.29</v>
      </c>
      <c r="Y71" s="195">
        <f t="shared" si="5"/>
        <v>4263245.49</v>
      </c>
      <c r="Z71" s="195">
        <f t="shared" si="5"/>
        <v>1263623.9899999995</v>
      </c>
      <c r="AA71" s="195">
        <f t="shared" si="5"/>
        <v>425776.18999999994</v>
      </c>
      <c r="AB71" s="195">
        <f t="shared" si="5"/>
        <v>7693795.9399999995</v>
      </c>
      <c r="AC71" s="195">
        <f t="shared" si="5"/>
        <v>1073550.1099999999</v>
      </c>
      <c r="AD71" s="195">
        <f t="shared" si="5"/>
        <v>0</v>
      </c>
      <c r="AE71" s="195">
        <f t="shared" si="5"/>
        <v>1861470.48</v>
      </c>
      <c r="AF71" s="195">
        <f t="shared" si="5"/>
        <v>0</v>
      </c>
      <c r="AG71" s="195">
        <f t="shared" si="5"/>
        <v>3541910.52</v>
      </c>
      <c r="AH71" s="195">
        <f t="shared" si="5"/>
        <v>840.59</v>
      </c>
      <c r="AI71" s="195">
        <f t="shared" si="5"/>
        <v>1275629.7999999998</v>
      </c>
      <c r="AJ71" s="195">
        <f t="shared" ref="AJ71:BO71" si="6">SUM(AJ61:AJ69)-AJ70</f>
        <v>14759212.310000001</v>
      </c>
      <c r="AK71" s="195">
        <f t="shared" si="6"/>
        <v>0</v>
      </c>
      <c r="AL71" s="195">
        <f t="shared" si="6"/>
        <v>209571.17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14571.690000000002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37230.29</v>
      </c>
      <c r="AW71" s="195">
        <f t="shared" si="6"/>
        <v>0</v>
      </c>
      <c r="AX71" s="195">
        <f t="shared" si="6"/>
        <v>185071.76</v>
      </c>
      <c r="AY71" s="195">
        <f t="shared" si="6"/>
        <v>1308612.6600000001</v>
      </c>
      <c r="AZ71" s="195">
        <f t="shared" si="6"/>
        <v>0</v>
      </c>
      <c r="BA71" s="195">
        <f t="shared" si="6"/>
        <v>282875.12</v>
      </c>
      <c r="BB71" s="195">
        <f t="shared" si="6"/>
        <v>0</v>
      </c>
      <c r="BC71" s="195">
        <f t="shared" si="6"/>
        <v>0</v>
      </c>
      <c r="BD71" s="195">
        <f t="shared" si="6"/>
        <v>747590.69999999984</v>
      </c>
      <c r="BE71" s="195">
        <f t="shared" si="6"/>
        <v>2039464.96</v>
      </c>
      <c r="BF71" s="195">
        <f t="shared" si="6"/>
        <v>1731477.8000000003</v>
      </c>
      <c r="BG71" s="195">
        <f t="shared" si="6"/>
        <v>0</v>
      </c>
      <c r="BH71" s="195">
        <f t="shared" si="6"/>
        <v>3995846.7800000003</v>
      </c>
      <c r="BI71" s="195">
        <f t="shared" si="6"/>
        <v>0</v>
      </c>
      <c r="BJ71" s="195">
        <f t="shared" si="6"/>
        <v>667204.32999999996</v>
      </c>
      <c r="BK71" s="195">
        <f t="shared" si="6"/>
        <v>1850467.5799999998</v>
      </c>
      <c r="BL71" s="195">
        <f t="shared" si="6"/>
        <v>1744653.8759999999</v>
      </c>
      <c r="BM71" s="195">
        <f t="shared" si="6"/>
        <v>0</v>
      </c>
      <c r="BN71" s="195">
        <f t="shared" si="6"/>
        <v>2814716.72</v>
      </c>
      <c r="BO71" s="195">
        <f t="shared" si="6"/>
        <v>144095.75</v>
      </c>
      <c r="BP71" s="195">
        <f t="shared" ref="BP71:CC71" si="7">SUM(BP61:BP69)-BP70</f>
        <v>517325.06999999995</v>
      </c>
      <c r="BQ71" s="195">
        <f t="shared" si="7"/>
        <v>0</v>
      </c>
      <c r="BR71" s="195">
        <f t="shared" si="7"/>
        <v>754009.42</v>
      </c>
      <c r="BS71" s="195">
        <f t="shared" si="7"/>
        <v>82421.72</v>
      </c>
      <c r="BT71" s="195">
        <f t="shared" si="7"/>
        <v>383.11000000000058</v>
      </c>
      <c r="BU71" s="195">
        <f t="shared" si="7"/>
        <v>21127.85</v>
      </c>
      <c r="BV71" s="195">
        <f t="shared" si="7"/>
        <v>974475.42999999993</v>
      </c>
      <c r="BW71" s="195">
        <f t="shared" si="7"/>
        <v>120054.73000000001</v>
      </c>
      <c r="BX71" s="195">
        <f t="shared" si="7"/>
        <v>705803.95000000007</v>
      </c>
      <c r="BY71" s="195">
        <f t="shared" si="7"/>
        <v>356048.75</v>
      </c>
      <c r="BZ71" s="195">
        <f t="shared" si="7"/>
        <v>0</v>
      </c>
      <c r="CA71" s="195">
        <f t="shared" si="7"/>
        <v>0</v>
      </c>
      <c r="CB71" s="195">
        <f t="shared" si="7"/>
        <v>-17623.849999999991</v>
      </c>
      <c r="CC71" s="195">
        <f t="shared" si="7"/>
        <v>3745953.23</v>
      </c>
      <c r="CD71" s="241">
        <f>CD69-CD70</f>
        <v>0</v>
      </c>
      <c r="CE71" s="195">
        <f>SUM(CE61:CE69)-CE70</f>
        <v>96618593.535999984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5517553</v>
      </c>
      <c r="CF72" s="248"/>
    </row>
    <row r="73" spans="1:84" ht="12.6" customHeight="1" x14ac:dyDescent="0.25">
      <c r="A73" s="171" t="s">
        <v>245</v>
      </c>
      <c r="B73" s="175"/>
      <c r="C73" s="184">
        <v>1919846</v>
      </c>
      <c r="D73" s="184">
        <v>0</v>
      </c>
      <c r="E73" s="185">
        <f>6810368+468</f>
        <v>6810836</v>
      </c>
      <c r="F73" s="185">
        <v>0</v>
      </c>
      <c r="G73" s="184">
        <v>0</v>
      </c>
      <c r="H73" s="184">
        <v>0</v>
      </c>
      <c r="I73" s="185">
        <v>0</v>
      </c>
      <c r="J73" s="185">
        <v>667344</v>
      </c>
      <c r="K73" s="185">
        <v>0</v>
      </c>
      <c r="L73" s="185">
        <v>0</v>
      </c>
      <c r="M73" s="184">
        <v>0</v>
      </c>
      <c r="N73" s="184">
        <v>0</v>
      </c>
      <c r="O73" s="184">
        <f>1954185+598142.88</f>
        <v>2552327.88</v>
      </c>
      <c r="P73" s="185">
        <f>24857555.87+525+383088</f>
        <v>25241168.870000001</v>
      </c>
      <c r="Q73" s="185">
        <v>1820206</v>
      </c>
      <c r="R73" s="185">
        <v>5000702</v>
      </c>
      <c r="S73" s="185">
        <v>0</v>
      </c>
      <c r="T73" s="185">
        <v>0</v>
      </c>
      <c r="U73" s="185">
        <f>2391248.08+19703</f>
        <v>2410951.08</v>
      </c>
      <c r="V73" s="185">
        <f>42370+13161</f>
        <v>55531</v>
      </c>
      <c r="W73" s="185">
        <v>292214</v>
      </c>
      <c r="X73" s="185">
        <v>540513.5</v>
      </c>
      <c r="Y73" s="185">
        <f>61014+897914+120686+364643</f>
        <v>1444257</v>
      </c>
      <c r="Z73" s="185">
        <f>6570+3257</f>
        <v>9827</v>
      </c>
      <c r="AA73" s="185">
        <f>58687+1188</f>
        <v>59875</v>
      </c>
      <c r="AB73" s="185">
        <f>6273229.81+1570176.12</f>
        <v>7843405.9299999997</v>
      </c>
      <c r="AC73" s="185">
        <f>1256865+1012</f>
        <v>1257877</v>
      </c>
      <c r="AD73" s="185">
        <v>0</v>
      </c>
      <c r="AE73" s="185">
        <v>1420302</v>
      </c>
      <c r="AF73" s="185">
        <v>0</v>
      </c>
      <c r="AG73" s="185">
        <v>1867215.01</v>
      </c>
      <c r="AH73" s="185">
        <v>0</v>
      </c>
      <c r="AI73" s="185">
        <v>0</v>
      </c>
      <c r="AJ73" s="185">
        <f>4175+300402+2697+1235659.36</f>
        <v>1542933.36</v>
      </c>
      <c r="AK73" s="185">
        <v>0</v>
      </c>
      <c r="AL73" s="185">
        <v>99505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62856837.629999995</v>
      </c>
      <c r="CF73" s="248"/>
    </row>
    <row r="74" spans="1:84" ht="12.6" customHeight="1" x14ac:dyDescent="0.25">
      <c r="A74" s="171" t="s">
        <v>246</v>
      </c>
      <c r="B74" s="175"/>
      <c r="C74" s="184">
        <v>-4694</v>
      </c>
      <c r="D74" s="184">
        <v>0</v>
      </c>
      <c r="E74" s="185">
        <f>2515709.54+544804</f>
        <v>3060513.54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317347</v>
      </c>
      <c r="P74" s="185">
        <f>24055479.98+378876+2181092</f>
        <v>26615447.98</v>
      </c>
      <c r="Q74" s="185">
        <v>4015171.25</v>
      </c>
      <c r="R74" s="185">
        <v>4259626</v>
      </c>
      <c r="S74" s="185">
        <v>0.01</v>
      </c>
      <c r="T74" s="185">
        <v>0</v>
      </c>
      <c r="U74" s="185">
        <f>18853687.84+161123</f>
        <v>19014810.84</v>
      </c>
      <c r="V74" s="185">
        <f>585810.7+74169</f>
        <v>659979.69999999995</v>
      </c>
      <c r="W74" s="185">
        <v>10279524</v>
      </c>
      <c r="X74" s="185">
        <v>17386291.68</v>
      </c>
      <c r="Y74" s="185">
        <f>1925043+2227905+6121102.77+3665863.17+1819941.72</f>
        <v>15759855.66</v>
      </c>
      <c r="Z74" s="185">
        <f>2646408.76+544833</f>
        <v>3191241.76</v>
      </c>
      <c r="AA74" s="185">
        <f>2154262+52371</f>
        <v>2206633</v>
      </c>
      <c r="AB74" s="185">
        <f>20271361.3+2197990.29</f>
        <v>22469351.59</v>
      </c>
      <c r="AC74" s="185">
        <f>567855.61+315040.09+722009</f>
        <v>1604904.7</v>
      </c>
      <c r="AD74" s="185">
        <v>0</v>
      </c>
      <c r="AE74" s="185">
        <v>4346003</v>
      </c>
      <c r="AF74" s="185">
        <v>0</v>
      </c>
      <c r="AG74" s="185">
        <v>20521812.84</v>
      </c>
      <c r="AH74" s="185">
        <v>0</v>
      </c>
      <c r="AI74" s="185">
        <f>3079246+941955</f>
        <v>4021201</v>
      </c>
      <c r="AJ74" s="185">
        <f>3278289.43+1256103.5+1117131+3983785.22+760820.19+1195826+6013748.73</f>
        <v>17605704.07</v>
      </c>
      <c r="AK74" s="185">
        <v>0</v>
      </c>
      <c r="AL74" s="185">
        <v>601258</v>
      </c>
      <c r="AM74" s="185">
        <v>0</v>
      </c>
      <c r="AN74" s="185">
        <v>0</v>
      </c>
      <c r="AO74" s="185">
        <v>0</v>
      </c>
      <c r="AP74" s="185">
        <v>43593.52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f>7767+27961+88600</f>
        <v>124328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178099905.14000002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1915152</v>
      </c>
      <c r="D75" s="195">
        <f t="shared" si="9"/>
        <v>0</v>
      </c>
      <c r="E75" s="195">
        <f t="shared" si="9"/>
        <v>9871349.5399999991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667344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2869674.88</v>
      </c>
      <c r="P75" s="195">
        <f t="shared" si="9"/>
        <v>51856616.850000001</v>
      </c>
      <c r="Q75" s="195">
        <f t="shared" si="9"/>
        <v>5835377.25</v>
      </c>
      <c r="R75" s="195">
        <f t="shared" si="9"/>
        <v>9260328</v>
      </c>
      <c r="S75" s="195">
        <f t="shared" si="9"/>
        <v>0.01</v>
      </c>
      <c r="T75" s="195">
        <f t="shared" si="9"/>
        <v>0</v>
      </c>
      <c r="U75" s="195">
        <f t="shared" si="9"/>
        <v>21425761.920000002</v>
      </c>
      <c r="V75" s="195">
        <f t="shared" si="9"/>
        <v>715510.7</v>
      </c>
      <c r="W75" s="195">
        <f t="shared" si="9"/>
        <v>10571738</v>
      </c>
      <c r="X75" s="195">
        <f t="shared" si="9"/>
        <v>17926805.18</v>
      </c>
      <c r="Y75" s="195">
        <f t="shared" si="9"/>
        <v>17204112.66</v>
      </c>
      <c r="Z75" s="195">
        <f t="shared" si="9"/>
        <v>3201068.76</v>
      </c>
      <c r="AA75" s="195">
        <f t="shared" si="9"/>
        <v>2266508</v>
      </c>
      <c r="AB75" s="195">
        <f t="shared" si="9"/>
        <v>30312757.52</v>
      </c>
      <c r="AC75" s="195">
        <f t="shared" si="9"/>
        <v>2862781.7</v>
      </c>
      <c r="AD75" s="195">
        <f t="shared" si="9"/>
        <v>0</v>
      </c>
      <c r="AE75" s="195">
        <f t="shared" si="9"/>
        <v>5766305</v>
      </c>
      <c r="AF75" s="195">
        <f t="shared" si="9"/>
        <v>0</v>
      </c>
      <c r="AG75" s="195">
        <f t="shared" si="9"/>
        <v>22389027.850000001</v>
      </c>
      <c r="AH75" s="195">
        <f t="shared" si="9"/>
        <v>0</v>
      </c>
      <c r="AI75" s="195">
        <f t="shared" si="9"/>
        <v>4021201</v>
      </c>
      <c r="AJ75" s="195">
        <f t="shared" si="9"/>
        <v>19148637.43</v>
      </c>
      <c r="AK75" s="195">
        <f t="shared" si="9"/>
        <v>0</v>
      </c>
      <c r="AL75" s="195">
        <f t="shared" si="9"/>
        <v>700763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43593.52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124328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240956742.77000001</v>
      </c>
      <c r="CF75" s="248"/>
    </row>
    <row r="76" spans="1:84" ht="12.6" customHeight="1" x14ac:dyDescent="0.25">
      <c r="A76" s="171" t="s">
        <v>248</v>
      </c>
      <c r="B76" s="175"/>
      <c r="C76" s="184">
        <v>3692</v>
      </c>
      <c r="D76" s="184">
        <v>0</v>
      </c>
      <c r="E76" s="185">
        <v>23161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5313</v>
      </c>
      <c r="P76" s="185">
        <v>11604</v>
      </c>
      <c r="Q76" s="185">
        <v>0</v>
      </c>
      <c r="R76" s="185">
        <v>500</v>
      </c>
      <c r="S76" s="185">
        <v>3031</v>
      </c>
      <c r="T76" s="185">
        <v>0</v>
      </c>
      <c r="U76" s="185">
        <v>3940</v>
      </c>
      <c r="V76" s="185">
        <v>10</v>
      </c>
      <c r="W76" s="185">
        <v>0</v>
      </c>
      <c r="X76" s="185">
        <v>0</v>
      </c>
      <c r="Y76" s="185">
        <v>10925</v>
      </c>
      <c r="Z76" s="185">
        <v>7700</v>
      </c>
      <c r="AA76" s="185">
        <v>0</v>
      </c>
      <c r="AB76" s="185">
        <v>1896</v>
      </c>
      <c r="AC76" s="185">
        <v>4147</v>
      </c>
      <c r="AD76" s="185">
        <v>0</v>
      </c>
      <c r="AE76" s="185">
        <v>7400</v>
      </c>
      <c r="AF76" s="185">
        <v>0</v>
      </c>
      <c r="AG76" s="185">
        <v>7100</v>
      </c>
      <c r="AH76" s="185">
        <v>0</v>
      </c>
      <c r="AI76" s="185">
        <v>0</v>
      </c>
      <c r="AJ76" s="185">
        <v>19013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1129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4202</v>
      </c>
      <c r="AZ76" s="185">
        <v>0</v>
      </c>
      <c r="BA76" s="185">
        <v>287</v>
      </c>
      <c r="BB76" s="185">
        <v>0</v>
      </c>
      <c r="BC76" s="185">
        <v>0</v>
      </c>
      <c r="BD76" s="185">
        <v>4791</v>
      </c>
      <c r="BE76" s="185">
        <v>11813</v>
      </c>
      <c r="BF76" s="185">
        <v>2393</v>
      </c>
      <c r="BG76" s="185">
        <v>0</v>
      </c>
      <c r="BH76" s="185">
        <v>1780</v>
      </c>
      <c r="BI76" s="185">
        <v>0</v>
      </c>
      <c r="BJ76" s="185">
        <v>1241</v>
      </c>
      <c r="BK76" s="185">
        <v>3442</v>
      </c>
      <c r="BL76" s="185">
        <v>12125</v>
      </c>
      <c r="BM76" s="185">
        <v>0</v>
      </c>
      <c r="BN76" s="185">
        <v>1627</v>
      </c>
      <c r="BO76" s="185">
        <v>0</v>
      </c>
      <c r="BP76" s="185">
        <v>129</v>
      </c>
      <c r="BQ76" s="185">
        <v>0</v>
      </c>
      <c r="BR76" s="185">
        <v>1193</v>
      </c>
      <c r="BS76" s="185">
        <v>1127</v>
      </c>
      <c r="BT76" s="185">
        <v>391</v>
      </c>
      <c r="BU76" s="185">
        <v>558</v>
      </c>
      <c r="BV76" s="185">
        <v>1426</v>
      </c>
      <c r="BW76" s="185">
        <v>246</v>
      </c>
      <c r="BX76" s="185">
        <v>200</v>
      </c>
      <c r="BY76" s="185">
        <v>0</v>
      </c>
      <c r="BZ76" s="185">
        <v>0</v>
      </c>
      <c r="CA76" s="185">
        <v>0</v>
      </c>
      <c r="CB76" s="185">
        <v>643</v>
      </c>
      <c r="CC76" s="185">
        <v>45760</v>
      </c>
      <c r="CD76" s="245" t="s">
        <v>221</v>
      </c>
      <c r="CE76" s="195">
        <f t="shared" si="8"/>
        <v>205935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3129</v>
      </c>
      <c r="D77" s="184">
        <v>0</v>
      </c>
      <c r="E77" s="184">
        <v>17423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2395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22947</v>
      </c>
      <c r="CF77" s="195">
        <f>AY59-CE77</f>
        <v>185246</v>
      </c>
    </row>
    <row r="78" spans="1:84" ht="12.6" customHeight="1" x14ac:dyDescent="0.25">
      <c r="A78" s="171" t="s">
        <v>250</v>
      </c>
      <c r="B78" s="175"/>
      <c r="C78" s="184">
        <v>3692</v>
      </c>
      <c r="D78" s="184">
        <v>0</v>
      </c>
      <c r="E78" s="185">
        <v>23161</v>
      </c>
      <c r="F78" s="185">
        <v>0</v>
      </c>
      <c r="G78" s="184">
        <v>0</v>
      </c>
      <c r="H78" s="184">
        <v>0</v>
      </c>
      <c r="I78" s="185">
        <v>0</v>
      </c>
      <c r="J78" s="185">
        <v>0</v>
      </c>
      <c r="K78" s="185">
        <v>0</v>
      </c>
      <c r="L78" s="185">
        <v>0</v>
      </c>
      <c r="M78" s="185">
        <v>0</v>
      </c>
      <c r="N78" s="185">
        <v>0</v>
      </c>
      <c r="O78" s="185">
        <v>5313</v>
      </c>
      <c r="P78" s="185">
        <v>11604</v>
      </c>
      <c r="Q78" s="185">
        <v>0</v>
      </c>
      <c r="R78" s="185">
        <v>500</v>
      </c>
      <c r="S78" s="185">
        <v>3031</v>
      </c>
      <c r="T78" s="185">
        <v>0</v>
      </c>
      <c r="U78" s="185">
        <v>3940</v>
      </c>
      <c r="V78" s="185">
        <v>10</v>
      </c>
      <c r="W78" s="185">
        <v>0</v>
      </c>
      <c r="X78" s="185">
        <v>0</v>
      </c>
      <c r="Y78" s="185">
        <v>10925</v>
      </c>
      <c r="Z78" s="185">
        <v>7700</v>
      </c>
      <c r="AA78" s="185">
        <v>0</v>
      </c>
      <c r="AB78" s="185">
        <v>1896</v>
      </c>
      <c r="AC78" s="185">
        <v>4147</v>
      </c>
      <c r="AD78" s="185">
        <v>0</v>
      </c>
      <c r="AE78" s="185">
        <v>7400</v>
      </c>
      <c r="AF78" s="185">
        <v>0</v>
      </c>
      <c r="AG78" s="185">
        <v>7100</v>
      </c>
      <c r="AH78" s="185">
        <v>0</v>
      </c>
      <c r="AI78" s="185">
        <v>0</v>
      </c>
      <c r="AJ78" s="185">
        <v>19013</v>
      </c>
      <c r="AK78" s="185">
        <v>0</v>
      </c>
      <c r="AL78" s="185">
        <v>0</v>
      </c>
      <c r="AM78" s="185">
        <v>0</v>
      </c>
      <c r="AN78" s="185">
        <v>0</v>
      </c>
      <c r="AO78" s="185">
        <v>0</v>
      </c>
      <c r="AP78" s="185">
        <v>1129</v>
      </c>
      <c r="AQ78" s="185">
        <v>0</v>
      </c>
      <c r="AR78" s="185">
        <v>0</v>
      </c>
      <c r="AS78" s="185">
        <v>0</v>
      </c>
      <c r="AT78" s="185">
        <v>0</v>
      </c>
      <c r="AU78" s="185">
        <v>0</v>
      </c>
      <c r="AV78" s="185">
        <v>0</v>
      </c>
      <c r="AW78" s="185">
        <v>0</v>
      </c>
      <c r="AX78" s="245" t="s">
        <v>221</v>
      </c>
      <c r="AY78" s="245" t="s">
        <v>221</v>
      </c>
      <c r="AZ78" s="245" t="s">
        <v>221</v>
      </c>
      <c r="BA78" s="184">
        <v>287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1780</v>
      </c>
      <c r="BI78" s="184">
        <v>0</v>
      </c>
      <c r="BJ78" s="245" t="s">
        <v>221</v>
      </c>
      <c r="BK78" s="184">
        <v>3442</v>
      </c>
      <c r="BL78" s="184">
        <v>12125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1127</v>
      </c>
      <c r="BT78" s="184">
        <v>391</v>
      </c>
      <c r="BU78" s="184">
        <v>558</v>
      </c>
      <c r="BV78" s="184">
        <v>1426</v>
      </c>
      <c r="BW78" s="184">
        <v>246</v>
      </c>
      <c r="BX78" s="184">
        <v>200</v>
      </c>
      <c r="BY78" s="184">
        <v>0</v>
      </c>
      <c r="BZ78" s="184">
        <v>0</v>
      </c>
      <c r="CA78" s="184">
        <v>0</v>
      </c>
      <c r="CB78" s="184">
        <v>643</v>
      </c>
      <c r="CC78" s="245" t="s">
        <v>221</v>
      </c>
      <c r="CD78" s="245" t="s">
        <v>221</v>
      </c>
      <c r="CE78" s="195">
        <f t="shared" si="8"/>
        <v>132786</v>
      </c>
      <c r="CF78" s="195"/>
    </row>
    <row r="79" spans="1:84" ht="12.6" customHeight="1" x14ac:dyDescent="0.25">
      <c r="A79" s="171" t="s">
        <v>251</v>
      </c>
      <c r="B79" s="175"/>
      <c r="C79" s="221">
        <v>39258.54</v>
      </c>
      <c r="D79" s="184">
        <v>0</v>
      </c>
      <c r="E79" s="184">
        <v>396947.46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2297</v>
      </c>
      <c r="P79" s="184">
        <v>24091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462594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9.25</v>
      </c>
      <c r="D80" s="187">
        <v>0</v>
      </c>
      <c r="E80" s="187">
        <v>23.59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11.85</v>
      </c>
      <c r="P80" s="187">
        <f>10.16+0.92</f>
        <v>11.08</v>
      </c>
      <c r="Q80" s="187">
        <v>8.4</v>
      </c>
      <c r="R80" s="187">
        <v>1.05</v>
      </c>
      <c r="S80" s="187">
        <v>0</v>
      </c>
      <c r="T80" s="187">
        <v>0</v>
      </c>
      <c r="U80" s="187">
        <v>0</v>
      </c>
      <c r="V80" s="187">
        <f>0.7+0.06</f>
        <v>0.76</v>
      </c>
      <c r="W80" s="187">
        <v>0</v>
      </c>
      <c r="X80" s="187">
        <v>0</v>
      </c>
      <c r="Y80" s="187">
        <f>0.63+1.6</f>
        <v>2.23</v>
      </c>
      <c r="Z80" s="187">
        <v>2.93</v>
      </c>
      <c r="AA80" s="187">
        <v>0</v>
      </c>
      <c r="AB80" s="187">
        <v>0</v>
      </c>
      <c r="AC80" s="187">
        <v>0.82</v>
      </c>
      <c r="AD80" s="187">
        <v>0</v>
      </c>
      <c r="AE80" s="187">
        <v>0</v>
      </c>
      <c r="AF80" s="187">
        <v>0</v>
      </c>
      <c r="AG80" s="187">
        <v>17.72</v>
      </c>
      <c r="AH80" s="187">
        <v>0</v>
      </c>
      <c r="AI80" s="187">
        <v>0</v>
      </c>
      <c r="AJ80" s="187">
        <f>0.04+4.56+0.89+9.87</f>
        <v>15.36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105.04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1013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2471</v>
      </c>
      <c r="D111" s="174">
        <v>7004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424</v>
      </c>
      <c r="D114" s="174">
        <v>673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43</v>
      </c>
    </row>
    <row r="128" spans="1:5" ht="12.6" customHeight="1" x14ac:dyDescent="0.25">
      <c r="A128" s="173" t="s">
        <v>292</v>
      </c>
      <c r="B128" s="172" t="s">
        <v>256</v>
      </c>
      <c r="C128" s="189">
        <v>43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1017+342</f>
        <v>1359</v>
      </c>
      <c r="C138" s="189">
        <v>450</v>
      </c>
      <c r="D138" s="174">
        <f>2471-1359-450</f>
        <v>662</v>
      </c>
      <c r="E138" s="175">
        <f>SUM(B138:D138)</f>
        <v>2471</v>
      </c>
    </row>
    <row r="139" spans="1:6" ht="12.6" customHeight="1" x14ac:dyDescent="0.25">
      <c r="A139" s="173" t="s">
        <v>215</v>
      </c>
      <c r="B139" s="174">
        <f>3225+1070</f>
        <v>4295</v>
      </c>
      <c r="C139" s="189">
        <v>1146</v>
      </c>
      <c r="D139" s="174">
        <f>7004-4295-1146</f>
        <v>1563</v>
      </c>
      <c r="E139" s="175">
        <f>SUM(B139:D139)</f>
        <v>7004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37212957.329999998</v>
      </c>
      <c r="C141" s="189">
        <v>6169251.7000000002</v>
      </c>
      <c r="D141" s="174">
        <f>62856838-37212957-6169252</f>
        <v>19474629</v>
      </c>
      <c r="E141" s="175">
        <f>SUM(B141:D141)</f>
        <v>62856838.030000001</v>
      </c>
      <c r="F141" s="199"/>
    </row>
    <row r="142" spans="1:6" ht="12.6" customHeight="1" x14ac:dyDescent="0.25">
      <c r="A142" s="173" t="s">
        <v>246</v>
      </c>
      <c r="B142" s="174">
        <v>90998368.079999998</v>
      </c>
      <c r="C142" s="189">
        <v>19243027.57</v>
      </c>
      <c r="D142" s="174">
        <f>178099905-90998368-19243028</f>
        <v>67858509</v>
      </c>
      <c r="E142" s="175">
        <f>SUM(B142:D142)</f>
        <v>178099904.65000001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2916875.56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141991.13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524432.72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3997524.47+1023919.98</f>
        <v>5021444.45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32001.54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1657219.74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-786761.27+27792.75+1595.08+15833.87+17750.08+18240.63+85378.01+786761.27</f>
        <v>166590.41999999993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55724.24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10516279.799999999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f>21600+19136+608494.82</f>
        <v>649230.81999999995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171864.16+39772.46</f>
        <v>211636.62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860867.44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f>326123.72+200713.6+15088.92</f>
        <v>541926.24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130017.28+2496.71+58982.32+105+504+300</f>
        <v>192405.31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734331.55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68191.240000000005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617282.76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685474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v>1864232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1864232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4708577</v>
      </c>
      <c r="C195" s="189">
        <v>439188</v>
      </c>
      <c r="D195" s="174">
        <v>0</v>
      </c>
      <c r="E195" s="175">
        <f t="shared" ref="E195:E203" si="10">SUM(B195:C195)-D195</f>
        <v>5147765</v>
      </c>
    </row>
    <row r="196" spans="1:8" ht="12.6" customHeight="1" x14ac:dyDescent="0.25">
      <c r="A196" s="173" t="s">
        <v>333</v>
      </c>
      <c r="B196" s="174">
        <v>2130330</v>
      </c>
      <c r="C196" s="189">
        <v>0</v>
      </c>
      <c r="D196" s="174">
        <v>0</v>
      </c>
      <c r="E196" s="175">
        <f t="shared" si="10"/>
        <v>2130330</v>
      </c>
    </row>
    <row r="197" spans="1:8" ht="12.6" customHeight="1" x14ac:dyDescent="0.25">
      <c r="A197" s="173" t="s">
        <v>334</v>
      </c>
      <c r="B197" s="174">
        <f>73192902+313545</f>
        <v>73506447</v>
      </c>
      <c r="C197" s="189">
        <f>10604805+230</f>
        <v>10605035</v>
      </c>
      <c r="D197" s="174">
        <v>0</v>
      </c>
      <c r="E197" s="175">
        <f t="shared" si="10"/>
        <v>84111482</v>
      </c>
    </row>
    <row r="198" spans="1:8" ht="12.6" customHeight="1" x14ac:dyDescent="0.25">
      <c r="A198" s="173" t="s">
        <v>335</v>
      </c>
      <c r="B198" s="174">
        <v>8808918</v>
      </c>
      <c r="C198" s="189">
        <v>110258</v>
      </c>
      <c r="D198" s="174">
        <v>12920</v>
      </c>
      <c r="E198" s="175">
        <f t="shared" si="10"/>
        <v>8906256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35213997</v>
      </c>
      <c r="C200" s="189">
        <f>1380660+558380</f>
        <v>1939040</v>
      </c>
      <c r="D200" s="174">
        <v>2661738</v>
      </c>
      <c r="E200" s="175">
        <f t="shared" si="10"/>
        <v>34491299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566534</v>
      </c>
      <c r="C203" s="189">
        <f>5563199-558380</f>
        <v>5004819</v>
      </c>
      <c r="D203" s="174">
        <v>0</v>
      </c>
      <c r="E203" s="175">
        <f t="shared" si="10"/>
        <v>5571353</v>
      </c>
    </row>
    <row r="204" spans="1:8" ht="12.6" customHeight="1" x14ac:dyDescent="0.25">
      <c r="A204" s="173" t="s">
        <v>203</v>
      </c>
      <c r="B204" s="175">
        <f>SUM(B195:B203)</f>
        <v>124934803</v>
      </c>
      <c r="C204" s="191">
        <f>SUM(C195:C203)</f>
        <v>18098340</v>
      </c>
      <c r="D204" s="175">
        <f>SUM(D195:D203)</f>
        <v>2674658</v>
      </c>
      <c r="E204" s="175">
        <f>SUM(E195:E203)</f>
        <v>140358485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1854296</v>
      </c>
      <c r="C209" s="189">
        <v>49640</v>
      </c>
      <c r="D209" s="174">
        <v>0</v>
      </c>
      <c r="E209" s="175">
        <f t="shared" ref="E209:E216" si="11">SUM(B209:C209)-D209</f>
        <v>1903936</v>
      </c>
      <c r="H209" s="255"/>
    </row>
    <row r="210" spans="1:8" ht="12.6" customHeight="1" x14ac:dyDescent="0.25">
      <c r="A210" s="173" t="s">
        <v>334</v>
      </c>
      <c r="B210" s="174">
        <v>25281134</v>
      </c>
      <c r="C210" s="189">
        <v>1776379</v>
      </c>
      <c r="D210" s="174">
        <v>26213</v>
      </c>
      <c r="E210" s="175">
        <f t="shared" si="11"/>
        <v>27031300</v>
      </c>
      <c r="H210" s="255"/>
    </row>
    <row r="211" spans="1:8" ht="12.6" customHeight="1" x14ac:dyDescent="0.25">
      <c r="A211" s="173" t="s">
        <v>335</v>
      </c>
      <c r="B211" s="174">
        <v>7134811</v>
      </c>
      <c r="C211" s="189">
        <v>259775</v>
      </c>
      <c r="D211" s="174">
        <v>12920</v>
      </c>
      <c r="E211" s="175">
        <f t="shared" si="11"/>
        <v>7381666</v>
      </c>
      <c r="H211" s="255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22486100</v>
      </c>
      <c r="C213" s="189">
        <v>2489341</v>
      </c>
      <c r="D213" s="174">
        <v>2438381</v>
      </c>
      <c r="E213" s="175">
        <f t="shared" si="11"/>
        <v>22537060</v>
      </c>
      <c r="H213" s="255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56756341</v>
      </c>
      <c r="C217" s="191">
        <f>SUM(C208:C216)</f>
        <v>4575135</v>
      </c>
      <c r="D217" s="175">
        <f>SUM(D208:D216)</f>
        <v>2477514</v>
      </c>
      <c r="E217" s="175">
        <f>SUM(E208:E216)</f>
        <v>58853962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1856639</v>
      </c>
      <c r="D221" s="172">
        <f>C221</f>
        <v>1856639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82062604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17025952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2267584.7599999998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13621916.26+30817.76</f>
        <v>13652734.02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15547844.789999999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10052228.07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140608947.63999999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1878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197414.49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558962.87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756377.36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143221964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31208960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16046439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16046438.47-9231361.98</f>
        <v>6815076.4900000002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539569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1723946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959844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229940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43893621.509999998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11453127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258261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11711388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5147765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2130330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83797707+313775</f>
        <v>84111482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8906256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34491299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5571353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140358485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58853962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81504523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598703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1389997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1988700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139098232.50999999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5397713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4299521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128134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1725000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1155551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432893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3285617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16424429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4679670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4679670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322522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5140000+9680000+561417+15000000+12165000+15980000</f>
        <v>58526417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263079+328655+7733619</f>
        <v>8325353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67174292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3285617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63888675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54105459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>
        <v>0</v>
      </c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218">
        <v>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218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139098233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139098232.50999999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62856840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178099908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240956748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1856639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141365325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755934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143977898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96978850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792424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5517553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6309977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103288827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41891488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11383608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5079799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22932003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766803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8491565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4575135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857722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734331.55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685474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1043632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98441560.549999997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4847266.450000003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797950-1864230+650081-40203</f>
        <v>-456402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4390864.450000003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4390864.450000003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Island Hospital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2471</v>
      </c>
      <c r="C414" s="194">
        <f>E138</f>
        <v>2471</v>
      </c>
      <c r="D414" s="179"/>
    </row>
    <row r="415" spans="1:5" ht="12.6" customHeight="1" x14ac:dyDescent="0.25">
      <c r="A415" s="179" t="s">
        <v>464</v>
      </c>
      <c r="B415" s="179">
        <f>D111</f>
        <v>7004</v>
      </c>
      <c r="C415" s="179">
        <f>E139</f>
        <v>7004</v>
      </c>
      <c r="D415" s="194">
        <f>SUM(C59:H59)+N59</f>
        <v>6270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424</v>
      </c>
    </row>
    <row r="424" spans="1:7" ht="12.6" customHeight="1" x14ac:dyDescent="0.25">
      <c r="A424" s="179" t="s">
        <v>980</v>
      </c>
      <c r="B424" s="179">
        <f>D114</f>
        <v>673</v>
      </c>
      <c r="D424" s="179">
        <f>J59</f>
        <v>673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41891488</v>
      </c>
      <c r="C427" s="179">
        <f t="shared" ref="C427:C434" si="13">CE61</f>
        <v>41891481.199999996</v>
      </c>
      <c r="D427" s="179"/>
    </row>
    <row r="428" spans="1:7" ht="12.6" customHeight="1" x14ac:dyDescent="0.25">
      <c r="A428" s="179" t="s">
        <v>3</v>
      </c>
      <c r="B428" s="179">
        <f t="shared" si="12"/>
        <v>11383608</v>
      </c>
      <c r="C428" s="179">
        <f t="shared" si="13"/>
        <v>10516283</v>
      </c>
      <c r="D428" s="179">
        <f>D173</f>
        <v>10516279.799999999</v>
      </c>
    </row>
    <row r="429" spans="1:7" ht="12.6" customHeight="1" x14ac:dyDescent="0.25">
      <c r="A429" s="179" t="s">
        <v>236</v>
      </c>
      <c r="B429" s="179">
        <f t="shared" si="12"/>
        <v>5079799</v>
      </c>
      <c r="C429" s="179">
        <f t="shared" si="13"/>
        <v>5079796.6199999982</v>
      </c>
      <c r="D429" s="179"/>
    </row>
    <row r="430" spans="1:7" ht="12.6" customHeight="1" x14ac:dyDescent="0.25">
      <c r="A430" s="179" t="s">
        <v>237</v>
      </c>
      <c r="B430" s="179">
        <f t="shared" si="12"/>
        <v>22932003</v>
      </c>
      <c r="C430" s="179">
        <f t="shared" si="13"/>
        <v>22932633.259999994</v>
      </c>
      <c r="D430" s="179"/>
    </row>
    <row r="431" spans="1:7" ht="12.6" customHeight="1" x14ac:dyDescent="0.25">
      <c r="A431" s="179" t="s">
        <v>444</v>
      </c>
      <c r="B431" s="179">
        <f t="shared" si="12"/>
        <v>766803</v>
      </c>
      <c r="C431" s="179">
        <f t="shared" si="13"/>
        <v>766801.76</v>
      </c>
      <c r="D431" s="179"/>
    </row>
    <row r="432" spans="1:7" ht="12.6" customHeight="1" x14ac:dyDescent="0.25">
      <c r="A432" s="179" t="s">
        <v>445</v>
      </c>
      <c r="B432" s="179">
        <f t="shared" si="12"/>
        <v>8491565</v>
      </c>
      <c r="C432" s="179">
        <f t="shared" si="13"/>
        <v>8491562.5859999992</v>
      </c>
      <c r="D432" s="179"/>
    </row>
    <row r="433" spans="1:7" ht="12.6" customHeight="1" x14ac:dyDescent="0.25">
      <c r="A433" s="179" t="s">
        <v>6</v>
      </c>
      <c r="B433" s="179">
        <f t="shared" si="12"/>
        <v>4575135</v>
      </c>
      <c r="C433" s="179">
        <f t="shared" si="13"/>
        <v>4575133</v>
      </c>
      <c r="D433" s="179">
        <f>C217</f>
        <v>4575135</v>
      </c>
    </row>
    <row r="434" spans="1:7" ht="12.6" customHeight="1" x14ac:dyDescent="0.25">
      <c r="A434" s="179" t="s">
        <v>474</v>
      </c>
      <c r="B434" s="179">
        <f t="shared" si="12"/>
        <v>857722</v>
      </c>
      <c r="C434" s="179">
        <f t="shared" si="13"/>
        <v>860867.44000000006</v>
      </c>
      <c r="D434" s="179">
        <f>D177</f>
        <v>860867.44</v>
      </c>
    </row>
    <row r="435" spans="1:7" ht="12.6" customHeight="1" x14ac:dyDescent="0.25">
      <c r="A435" s="179" t="s">
        <v>447</v>
      </c>
      <c r="B435" s="179">
        <f t="shared" si="12"/>
        <v>734331.55</v>
      </c>
      <c r="C435" s="179"/>
      <c r="D435" s="179">
        <f>D181</f>
        <v>734331.55</v>
      </c>
    </row>
    <row r="436" spans="1:7" ht="12.6" customHeight="1" x14ac:dyDescent="0.25">
      <c r="A436" s="179" t="s">
        <v>475</v>
      </c>
      <c r="B436" s="179">
        <f t="shared" si="12"/>
        <v>685474</v>
      </c>
      <c r="C436" s="179"/>
      <c r="D436" s="179">
        <f>D186</f>
        <v>685474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1864232</v>
      </c>
    </row>
    <row r="438" spans="1:7" ht="12.6" customHeight="1" x14ac:dyDescent="0.25">
      <c r="A438" s="194" t="s">
        <v>476</v>
      </c>
      <c r="B438" s="194">
        <f>C386+C387+C388</f>
        <v>1419805.55</v>
      </c>
      <c r="C438" s="194">
        <f>CD69</f>
        <v>0</v>
      </c>
      <c r="D438" s="194">
        <f>D181+D186+D190</f>
        <v>3284037.55</v>
      </c>
    </row>
    <row r="439" spans="1:7" ht="12.6" customHeight="1" x14ac:dyDescent="0.25">
      <c r="A439" s="179" t="s">
        <v>451</v>
      </c>
      <c r="B439" s="194">
        <f>C389</f>
        <v>1043632</v>
      </c>
      <c r="C439" s="194">
        <f>SUM(C69:CC69)</f>
        <v>2551545.58</v>
      </c>
      <c r="D439" s="179"/>
    </row>
    <row r="440" spans="1:7" ht="12.6" customHeight="1" x14ac:dyDescent="0.25">
      <c r="A440" s="179" t="s">
        <v>477</v>
      </c>
      <c r="B440" s="194">
        <f>B438+B439</f>
        <v>2463437.5499999998</v>
      </c>
      <c r="C440" s="194">
        <f>CE69</f>
        <v>2551545.58</v>
      </c>
      <c r="D440" s="179"/>
    </row>
    <row r="441" spans="1:7" ht="12.6" customHeight="1" x14ac:dyDescent="0.25">
      <c r="A441" s="179" t="s">
        <v>478</v>
      </c>
      <c r="B441" s="179">
        <f>D390</f>
        <v>98441560.549999997</v>
      </c>
      <c r="C441" s="179">
        <f>SUM(C427:C437)+C440</f>
        <v>97666104.44599998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1856639</v>
      </c>
      <c r="C444" s="179">
        <f>C363</f>
        <v>1856639</v>
      </c>
      <c r="D444" s="179"/>
    </row>
    <row r="445" spans="1:7" ht="12.6" customHeight="1" x14ac:dyDescent="0.25">
      <c r="A445" s="179" t="s">
        <v>343</v>
      </c>
      <c r="B445" s="179">
        <f>D229</f>
        <v>140608947.63999999</v>
      </c>
      <c r="C445" s="179">
        <f>C364</f>
        <v>141365325</v>
      </c>
      <c r="D445" s="179"/>
    </row>
    <row r="446" spans="1:7" ht="12.6" customHeight="1" x14ac:dyDescent="0.25">
      <c r="A446" s="179" t="s">
        <v>351</v>
      </c>
      <c r="B446" s="179">
        <f>D236</f>
        <v>756377.36</v>
      </c>
      <c r="C446" s="179">
        <f>C365</f>
        <v>755934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143221964</v>
      </c>
      <c r="C448" s="179">
        <f>D367</f>
        <v>143977898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1878</v>
      </c>
    </row>
    <row r="454" spans="1:7" ht="12.6" customHeight="1" x14ac:dyDescent="0.25">
      <c r="A454" s="179" t="s">
        <v>168</v>
      </c>
      <c r="B454" s="179">
        <f>C233</f>
        <v>197414.49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558962.87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792424</v>
      </c>
      <c r="C458" s="194">
        <f>CE70</f>
        <v>1047510.9100000001</v>
      </c>
      <c r="D458" s="194"/>
    </row>
    <row r="459" spans="1:7" ht="12.6" customHeight="1" x14ac:dyDescent="0.25">
      <c r="A459" s="179" t="s">
        <v>244</v>
      </c>
      <c r="B459" s="194">
        <f>C371</f>
        <v>5517553</v>
      </c>
      <c r="C459" s="194">
        <f>CE72</f>
        <v>5517553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62856840</v>
      </c>
      <c r="C463" s="194">
        <f>CE73</f>
        <v>62856837.629999995</v>
      </c>
      <c r="D463" s="194">
        <f>E141+E147+E153</f>
        <v>62856838.030000001</v>
      </c>
    </row>
    <row r="464" spans="1:7" ht="12.6" customHeight="1" x14ac:dyDescent="0.25">
      <c r="A464" s="179" t="s">
        <v>246</v>
      </c>
      <c r="B464" s="194">
        <f>C360</f>
        <v>178099908</v>
      </c>
      <c r="C464" s="194">
        <f>CE74</f>
        <v>178099905.14000002</v>
      </c>
      <c r="D464" s="194">
        <f>E142+E148+E154</f>
        <v>178099904.65000001</v>
      </c>
    </row>
    <row r="465" spans="1:7" ht="12.6" customHeight="1" x14ac:dyDescent="0.25">
      <c r="A465" s="179" t="s">
        <v>247</v>
      </c>
      <c r="B465" s="194">
        <f>D361</f>
        <v>240956748</v>
      </c>
      <c r="C465" s="194">
        <f>CE75</f>
        <v>240956742.77000001</v>
      </c>
      <c r="D465" s="194">
        <f>D463+D464</f>
        <v>240956742.68000001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5147765</v>
      </c>
      <c r="C468" s="179">
        <f>E195</f>
        <v>5147765</v>
      </c>
      <c r="D468" s="179"/>
    </row>
    <row r="469" spans="1:7" ht="12.6" customHeight="1" x14ac:dyDescent="0.25">
      <c r="A469" s="179" t="s">
        <v>333</v>
      </c>
      <c r="B469" s="179">
        <f t="shared" si="14"/>
        <v>2130330</v>
      </c>
      <c r="C469" s="179">
        <f>E196</f>
        <v>2130330</v>
      </c>
      <c r="D469" s="179"/>
    </row>
    <row r="470" spans="1:7" ht="12.6" customHeight="1" x14ac:dyDescent="0.25">
      <c r="A470" s="179" t="s">
        <v>334</v>
      </c>
      <c r="B470" s="179">
        <f t="shared" si="14"/>
        <v>84111482</v>
      </c>
      <c r="C470" s="179">
        <f>E197</f>
        <v>84111482</v>
      </c>
      <c r="D470" s="179"/>
    </row>
    <row r="471" spans="1:7" ht="12.6" customHeight="1" x14ac:dyDescent="0.25">
      <c r="A471" s="179" t="s">
        <v>494</v>
      </c>
      <c r="B471" s="179">
        <f t="shared" si="14"/>
        <v>8906256</v>
      </c>
      <c r="C471" s="179">
        <f>E198</f>
        <v>8906256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34491299</v>
      </c>
      <c r="C473" s="179">
        <f>SUM(E200:E201)</f>
        <v>34491299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5571353</v>
      </c>
      <c r="C475" s="179">
        <f>E203</f>
        <v>5571353</v>
      </c>
      <c r="D475" s="179"/>
    </row>
    <row r="476" spans="1:7" ht="12.6" customHeight="1" x14ac:dyDescent="0.25">
      <c r="A476" s="179" t="s">
        <v>203</v>
      </c>
      <c r="B476" s="179">
        <f>D275</f>
        <v>140358485</v>
      </c>
      <c r="C476" s="179">
        <f>E204</f>
        <v>140358485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58853962</v>
      </c>
      <c r="C478" s="179">
        <f>E217</f>
        <v>58853962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139098232.50999999</v>
      </c>
    </row>
    <row r="482" spans="1:12" ht="12.6" customHeight="1" x14ac:dyDescent="0.25">
      <c r="A482" s="180" t="s">
        <v>499</v>
      </c>
      <c r="C482" s="180">
        <f>D339</f>
        <v>139098233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134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1656514.7800000003</v>
      </c>
      <c r="C496" s="236">
        <f>C71</f>
        <v>1629038.6099999999</v>
      </c>
      <c r="D496" s="236">
        <f>'Prior Year'!C59</f>
        <v>701</v>
      </c>
      <c r="E496" s="180">
        <f>C59</f>
        <v>569</v>
      </c>
      <c r="F496" s="259">
        <f t="shared" ref="F496:G511" si="15">IF(B496=0,"",IF(D496=0,"",B496/D496))</f>
        <v>2363.0738659058493</v>
      </c>
      <c r="G496" s="260">
        <f t="shared" si="15"/>
        <v>2862.98525483304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6745473.9199999999</v>
      </c>
      <c r="C498" s="236">
        <f>E71</f>
        <v>6029061.6299999999</v>
      </c>
      <c r="D498" s="236">
        <f>'Prior Year'!E59</f>
        <v>6745</v>
      </c>
      <c r="E498" s="180">
        <f>E59</f>
        <v>5701</v>
      </c>
      <c r="F498" s="259">
        <f t="shared" si="15"/>
        <v>1000.0702624166049</v>
      </c>
      <c r="G498" s="259">
        <f t="shared" si="15"/>
        <v>1057.5445763901071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14705.18</v>
      </c>
      <c r="C503" s="236">
        <f>J71</f>
        <v>12911.55</v>
      </c>
      <c r="D503" s="236">
        <f>'Prior Year'!J59</f>
        <v>704</v>
      </c>
      <c r="E503" s="180">
        <f>J59</f>
        <v>673</v>
      </c>
      <c r="F503" s="259">
        <f t="shared" si="15"/>
        <v>20.888039772727272</v>
      </c>
      <c r="G503" s="259">
        <f t="shared" si="15"/>
        <v>19.185066864784545</v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2336072.2799999998</v>
      </c>
      <c r="C508" s="236">
        <f>O71</f>
        <v>2315308.13</v>
      </c>
      <c r="D508" s="236">
        <f>'Prior Year'!O59</f>
        <v>2149</v>
      </c>
      <c r="E508" s="180">
        <f>O59</f>
        <v>2034</v>
      </c>
      <c r="F508" s="259">
        <f t="shared" si="15"/>
        <v>1087.0508515588645</v>
      </c>
      <c r="G508" s="259">
        <f t="shared" si="15"/>
        <v>1138.3029154375613</v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18127108.219999995</v>
      </c>
      <c r="C509" s="236">
        <f>P71</f>
        <v>16559026.890000002</v>
      </c>
      <c r="D509" s="236">
        <f>'Prior Year'!P59</f>
        <v>385376</v>
      </c>
      <c r="E509" s="180">
        <f>P59</f>
        <v>378708</v>
      </c>
      <c r="F509" s="259">
        <f t="shared" si="15"/>
        <v>47.037460090924178</v>
      </c>
      <c r="G509" s="259">
        <f t="shared" si="15"/>
        <v>43.725051728508511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1351171.55</v>
      </c>
      <c r="C510" s="236">
        <f>Q71</f>
        <v>1225888.72</v>
      </c>
      <c r="D510" s="236">
        <f>'Prior Year'!Q59</f>
        <v>255979</v>
      </c>
      <c r="E510" s="180">
        <f>Q59</f>
        <v>278704</v>
      </c>
      <c r="F510" s="259">
        <f t="shared" si="15"/>
        <v>5.278446864781877</v>
      </c>
      <c r="G510" s="259">
        <f t="shared" si="15"/>
        <v>4.3985329238188182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423279.89</v>
      </c>
      <c r="C511" s="236">
        <f>R71</f>
        <v>328109.21999999997</v>
      </c>
      <c r="D511" s="236">
        <f>'Prior Year'!R59</f>
        <v>385376</v>
      </c>
      <c r="E511" s="180">
        <f>R59</f>
        <v>378708</v>
      </c>
      <c r="F511" s="259">
        <f t="shared" si="15"/>
        <v>1.0983556059536661</v>
      </c>
      <c r="G511" s="259">
        <f t="shared" si="15"/>
        <v>0.86639104534364197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635214.39</v>
      </c>
      <c r="C512" s="236">
        <f>S71</f>
        <v>542653.71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4749081.2700000005</v>
      </c>
      <c r="C514" s="236">
        <f>U71</f>
        <v>5200282.1099999994</v>
      </c>
      <c r="D514" s="236">
        <f>'Prior Year'!U59</f>
        <v>237844</v>
      </c>
      <c r="E514" s="180">
        <f>U59</f>
        <v>257846</v>
      </c>
      <c r="F514" s="259">
        <f t="shared" si="17"/>
        <v>19.967210734767328</v>
      </c>
      <c r="G514" s="259">
        <f t="shared" si="17"/>
        <v>20.168170574684112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114735.15000000001</v>
      </c>
      <c r="C515" s="236">
        <f>V71</f>
        <v>108186.79</v>
      </c>
      <c r="D515" s="236">
        <f>'Prior Year'!V59</f>
        <v>5896</v>
      </c>
      <c r="E515" s="180">
        <f>V59</f>
        <v>6614</v>
      </c>
      <c r="F515" s="259">
        <f t="shared" si="17"/>
        <v>19.459828697421983</v>
      </c>
      <c r="G515" s="259">
        <f t="shared" si="17"/>
        <v>16.357240701542182</v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463085.75</v>
      </c>
      <c r="C516" s="236">
        <f>W71</f>
        <v>674075.87000000011</v>
      </c>
      <c r="D516" s="236">
        <f>'Prior Year'!W59</f>
        <v>4439</v>
      </c>
      <c r="E516" s="180">
        <f>W59</f>
        <v>4877</v>
      </c>
      <c r="F516" s="259">
        <f t="shared" si="17"/>
        <v>104.32208830817751</v>
      </c>
      <c r="G516" s="259">
        <f t="shared" si="17"/>
        <v>138.21526963297111</v>
      </c>
      <c r="H516" s="261">
        <f t="shared" si="16"/>
        <v>0.32488978963563175</v>
      </c>
      <c r="I516" s="263" t="s">
        <v>1015</v>
      </c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708984.35</v>
      </c>
      <c r="C517" s="236">
        <f>X71</f>
        <v>801564.29</v>
      </c>
      <c r="D517" s="236">
        <f>'Prior Year'!X59</f>
        <v>9980</v>
      </c>
      <c r="E517" s="180">
        <f>X59</f>
        <v>10389</v>
      </c>
      <c r="F517" s="259">
        <f t="shared" si="17"/>
        <v>71.040516032064133</v>
      </c>
      <c r="G517" s="259">
        <f t="shared" si="17"/>
        <v>77.155095774376747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3737306.05</v>
      </c>
      <c r="C518" s="236">
        <f>Y71</f>
        <v>4263245.49</v>
      </c>
      <c r="D518" s="236">
        <f>'Prior Year'!Y59</f>
        <v>32914</v>
      </c>
      <c r="E518" s="180">
        <f>Y59</f>
        <v>37050</v>
      </c>
      <c r="F518" s="259">
        <f t="shared" si="17"/>
        <v>113.54761043932672</v>
      </c>
      <c r="G518" s="259">
        <f t="shared" si="17"/>
        <v>115.06735465587045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1584523.74</v>
      </c>
      <c r="C519" s="236">
        <f>Z71</f>
        <v>1263623.9899999995</v>
      </c>
      <c r="D519" s="236">
        <f>'Prior Year'!Z59</f>
        <v>10854</v>
      </c>
      <c r="E519" s="180">
        <f>Z59</f>
        <v>10774</v>
      </c>
      <c r="F519" s="259">
        <f t="shared" si="17"/>
        <v>145.98523493642895</v>
      </c>
      <c r="G519" s="259">
        <f t="shared" si="17"/>
        <v>117.28457304622235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424170.69999999995</v>
      </c>
      <c r="C520" s="236">
        <f>AA71</f>
        <v>425776.18999999994</v>
      </c>
      <c r="D520" s="236">
        <f>'Prior Year'!AA59</f>
        <v>967</v>
      </c>
      <c r="E520" s="180">
        <f>AA59</f>
        <v>1142</v>
      </c>
      <c r="F520" s="259">
        <f t="shared" si="17"/>
        <v>438.64601861427087</v>
      </c>
      <c r="G520" s="259">
        <f t="shared" si="17"/>
        <v>372.8337915936952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7368687.0699999994</v>
      </c>
      <c r="C521" s="236">
        <f>AB71</f>
        <v>7693795.9399999995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1122671.21</v>
      </c>
      <c r="C522" s="236">
        <f>AC71</f>
        <v>1073550.1099999999</v>
      </c>
      <c r="D522" s="236">
        <f>'Prior Year'!AC59</f>
        <v>12001</v>
      </c>
      <c r="E522" s="180">
        <f>AC59</f>
        <v>12047</v>
      </c>
      <c r="F522" s="259">
        <f t="shared" si="17"/>
        <v>93.548138488459287</v>
      </c>
      <c r="G522" s="259">
        <f t="shared" si="17"/>
        <v>89.113481364655087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1828937.13</v>
      </c>
      <c r="C524" s="236">
        <f>AE71</f>
        <v>1861470.48</v>
      </c>
      <c r="D524" s="236">
        <f>'Prior Year'!AE59</f>
        <v>16203</v>
      </c>
      <c r="E524" s="180">
        <f>AE59</f>
        <v>16913</v>
      </c>
      <c r="F524" s="259">
        <f t="shared" si="17"/>
        <v>112.87645065728569</v>
      </c>
      <c r="G524" s="259">
        <f t="shared" si="17"/>
        <v>110.06151954118134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3477180.0400000005</v>
      </c>
      <c r="C526" s="236">
        <f>AG71</f>
        <v>3541910.52</v>
      </c>
      <c r="D526" s="236">
        <f>'Prior Year'!AG59</f>
        <v>17418</v>
      </c>
      <c r="E526" s="180">
        <f>AG59</f>
        <v>17869</v>
      </c>
      <c r="F526" s="259">
        <f t="shared" si="17"/>
        <v>199.63141807325758</v>
      </c>
      <c r="G526" s="259">
        <f t="shared" si="17"/>
        <v>198.21537411158991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57296.07</v>
      </c>
      <c r="C527" s="236">
        <f>AH71</f>
        <v>840.59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1144900.54</v>
      </c>
      <c r="C528" s="236">
        <f>AI71</f>
        <v>1275629.7999999998</v>
      </c>
      <c r="D528" s="236">
        <f>'Prior Year'!AI59</f>
        <v>524</v>
      </c>
      <c r="E528" s="180">
        <f>AI59</f>
        <v>764</v>
      </c>
      <c r="F528" s="259">
        <f t="shared" ref="F528:G540" si="18">IF(B528=0,"",IF(D528=0,"",B528/D528))</f>
        <v>2184.9246946564886</v>
      </c>
      <c r="G528" s="259">
        <f t="shared" si="18"/>
        <v>1669.672513089005</v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13462715.880000001</v>
      </c>
      <c r="C529" s="236">
        <f>AJ71</f>
        <v>14759212.310000001</v>
      </c>
      <c r="D529" s="236">
        <f>'Prior Year'!AJ59</f>
        <v>57892</v>
      </c>
      <c r="E529" s="180">
        <f>AJ59</f>
        <v>56267</v>
      </c>
      <c r="F529" s="259">
        <f t="shared" si="18"/>
        <v>232.5488129620673</v>
      </c>
      <c r="G529" s="259">
        <f t="shared" si="18"/>
        <v>262.30672170188564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286930.59999999998</v>
      </c>
      <c r="C531" s="236">
        <f>AL71</f>
        <v>209571.17</v>
      </c>
      <c r="D531" s="236">
        <f>'Prior Year'!AL59</f>
        <v>2687</v>
      </c>
      <c r="E531" s="180">
        <f>AL59</f>
        <v>2743</v>
      </c>
      <c r="F531" s="259">
        <f t="shared" si="18"/>
        <v>106.78474134722738</v>
      </c>
      <c r="G531" s="259">
        <f t="shared" si="18"/>
        <v>76.402176449143283</v>
      </c>
      <c r="H531" s="261">
        <f t="shared" si="16"/>
        <v>-0.2845215947032208</v>
      </c>
      <c r="I531" s="263" t="s">
        <v>1016</v>
      </c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12911.89</v>
      </c>
      <c r="C535" s="236">
        <f>AP71</f>
        <v>14571.690000000002</v>
      </c>
      <c r="D535" s="236">
        <f>'Prior Year'!AP59</f>
        <v>508.24</v>
      </c>
      <c r="E535" s="180">
        <f>AP59</f>
        <v>126</v>
      </c>
      <c r="F535" s="259">
        <f t="shared" si="18"/>
        <v>25.405103887926963</v>
      </c>
      <c r="G535" s="259">
        <f t="shared" si="18"/>
        <v>115.64833333333335</v>
      </c>
      <c r="H535" s="261">
        <f t="shared" si="16"/>
        <v>3.5521692744697599</v>
      </c>
      <c r="I535" s="263" t="s">
        <v>1017</v>
      </c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40.07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-29386.42</v>
      </c>
      <c r="C541" s="236">
        <f>AV71</f>
        <v>37230.29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187117.6</v>
      </c>
      <c r="C543" s="236">
        <f>AX71</f>
        <v>185071.76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1355294.1900000002</v>
      </c>
      <c r="C544" s="236">
        <f>AY71</f>
        <v>1308612.6600000001</v>
      </c>
      <c r="D544" s="236">
        <f>'Prior Year'!AY59</f>
        <v>201221</v>
      </c>
      <c r="E544" s="180">
        <f>AY59</f>
        <v>208193</v>
      </c>
      <c r="F544" s="259">
        <f t="shared" ref="F544:G550" si="19">IF(B544=0,"",IF(D544=0,"",B544/D544))</f>
        <v>6.7353516283091732</v>
      </c>
      <c r="G544" s="259">
        <f t="shared" si="19"/>
        <v>6.2855747311388956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0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272971.66000000003</v>
      </c>
      <c r="C546" s="236">
        <f>BA71</f>
        <v>282875.12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720535.07</v>
      </c>
      <c r="C549" s="236">
        <f>BD71</f>
        <v>747590.69999999984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2054322.7799999998</v>
      </c>
      <c r="C550" s="236">
        <f>BE71</f>
        <v>2039464.96</v>
      </c>
      <c r="D550" s="236">
        <f>'Prior Year'!BE59</f>
        <v>205935</v>
      </c>
      <c r="E550" s="180">
        <f>BE59</f>
        <v>205935</v>
      </c>
      <c r="F550" s="259">
        <f t="shared" si="19"/>
        <v>9.9755883167018702</v>
      </c>
      <c r="G550" s="259">
        <f t="shared" si="19"/>
        <v>9.9034402117172888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1763830.35</v>
      </c>
      <c r="C551" s="236">
        <f>BF71</f>
        <v>1731477.8000000003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3443802.49</v>
      </c>
      <c r="C553" s="236">
        <f>BH71</f>
        <v>3995846.7800000003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675237.88</v>
      </c>
      <c r="C555" s="236">
        <f>BJ71</f>
        <v>667204.32999999996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1799787.05</v>
      </c>
      <c r="C556" s="236">
        <f>BK71</f>
        <v>1850467.5799999998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1867451.38</v>
      </c>
      <c r="C557" s="236">
        <f>BL71</f>
        <v>1744653.8759999999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2234095.9300000002</v>
      </c>
      <c r="C559" s="236">
        <f>BN71</f>
        <v>2814716.72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160243.18</v>
      </c>
      <c r="C560" s="236">
        <f>BO71</f>
        <v>144095.75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490576.35000000003</v>
      </c>
      <c r="C561" s="236">
        <f>BP71</f>
        <v>517325.06999999995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763024.28999999992</v>
      </c>
      <c r="C563" s="236">
        <f>BR71</f>
        <v>754009.42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79397.570000000007</v>
      </c>
      <c r="C564" s="236">
        <f>BS71</f>
        <v>82421.72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-1252.83</v>
      </c>
      <c r="C565" s="236">
        <f>BT71</f>
        <v>383.11000000000058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24744.67</v>
      </c>
      <c r="C566" s="236">
        <f>BU71</f>
        <v>21127.85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780489</v>
      </c>
      <c r="C567" s="236">
        <f>BV71</f>
        <v>974475.42999999993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119150.24</v>
      </c>
      <c r="C568" s="236">
        <f>BW71</f>
        <v>120054.73000000001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780382.13000000012</v>
      </c>
      <c r="C569" s="236">
        <f>BX71</f>
        <v>705803.95000000007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348505.89999999997</v>
      </c>
      <c r="C570" s="236">
        <f>BY71</f>
        <v>356048.75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35746.99000000002</v>
      </c>
      <c r="C573" s="236">
        <f>CB71</f>
        <v>-17623.849999999991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4104359.5900000003</v>
      </c>
      <c r="C574" s="236">
        <f>CC71</f>
        <v>3745953.23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194122</v>
      </c>
      <c r="E612" s="180">
        <f>SUM(C624:D647)+SUM(C668:D713)</f>
        <v>88186944.982875049</v>
      </c>
      <c r="F612" s="180">
        <f>CE64-(AX64+BD64+BE64+BG64+BJ64+BN64+BP64+BQ64+CB64+CC64+CD64)</f>
        <v>22585369.319999993</v>
      </c>
      <c r="G612" s="180">
        <f>CE77-(AX77+AY77+BD77+BE77+BG77+BJ77+BN77+BP77+BQ77+CB77+CC77+CD77)</f>
        <v>22947</v>
      </c>
      <c r="H612" s="197">
        <f>CE60-(AX60+AY60+AZ60+BD60+BE60+BG60+BJ60+BN60+BO60+BP60+BQ60+BR60+CB60+CC60+CD60)</f>
        <v>474.78</v>
      </c>
      <c r="I612" s="180">
        <f>CE78-(AX78+AY78+AZ78+BD78+BE78+BF78+BG78+BJ78+BN78+BO78+BP78+BQ78+BR78+CB78+CC78+CD78)</f>
        <v>132143</v>
      </c>
      <c r="J612" s="180">
        <f>CE79-(AX79+AY79+AZ79+BA79+BD79+BE79+BF79+BG79+BJ79+BN79+BO79+BP79+BQ79+BR79+CB79+CC79+CD79)</f>
        <v>462594</v>
      </c>
      <c r="K612" s="180">
        <f>CE75-(AW75+AX75+AY75+AZ75+BA75+BB75+BC75+BD75+BE75+BF75+BG75+BH75+BI75+BJ75+BK75+BL75+BM75+BN75+BO75+BP75+BQ75+BR75+BS75+BT75+BU75+BV75+BW75+BX75+CB75+CC75+CD75)</f>
        <v>240956742.77000001</v>
      </c>
      <c r="L612" s="197">
        <f>CE80-(AW80+AX80+AY80+AZ80+BA80+BB80+BC80+BD80+BE80+BF80+BG80+BH80+BI80+BJ80+BK80+BL80+BM80+BN80+BO80+BP80+BQ80+BR80+BS80+BT80+BU80+BV80+BW80+BX80+BY80+BZ80+CA80+CB80+CC80+CD80)</f>
        <v>105.04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2039464.96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0</v>
      </c>
      <c r="D615" s="262">
        <f>SUM(C614:C615)</f>
        <v>2039464.96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185071.76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667204.32999999996</v>
      </c>
      <c r="D617" s="180">
        <f>(D615/D612)*BJ76</f>
        <v>13038.068922430224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2814716.72</v>
      </c>
      <c r="D619" s="180">
        <f>(D615/D612)*BN76</f>
        <v>17093.42315615953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3745953.23</v>
      </c>
      <c r="D620" s="180">
        <f>(D615/D612)*CC76</f>
        <v>480759.0925788937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517325.06999999995</v>
      </c>
      <c r="D621" s="180">
        <f>(D615/D612)*BP76</f>
        <v>1355.2867775934722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-17623.849999999991</v>
      </c>
      <c r="D622" s="180">
        <f>(D615/D612)*CB76</f>
        <v>6755.4216898651366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8431648.5531249419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747590.69999999984</v>
      </c>
      <c r="D624" s="180">
        <f>(D615/D612)*BD76</f>
        <v>50334.720553878491</v>
      </c>
      <c r="E624" s="180">
        <f>(E623/E612)*SUM(C624:D624)</f>
        <v>76290.506707327149</v>
      </c>
      <c r="F624" s="180">
        <f>SUM(C624:E624)</f>
        <v>874215.92726120539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1308612.6600000001</v>
      </c>
      <c r="D625" s="180">
        <f>(D615/D612)*AY76</f>
        <v>44146.628212773408</v>
      </c>
      <c r="E625" s="180">
        <f>(E623/E612)*SUM(C625:D625)</f>
        <v>129338.76887787052</v>
      </c>
      <c r="F625" s="180">
        <f>(F624/F612)*AY64</f>
        <v>21039.521571628989</v>
      </c>
      <c r="G625" s="180">
        <f>SUM(C625:F625)</f>
        <v>1503137.5786622732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754009.42</v>
      </c>
      <c r="D626" s="180">
        <f>(D615/D612)*BR76</f>
        <v>12533.776167976839</v>
      </c>
      <c r="E626" s="180">
        <f>(E623/E612)*SUM(C626:D626)</f>
        <v>73290.018518416517</v>
      </c>
      <c r="F626" s="180">
        <f>(F624/F612)*BR64</f>
        <v>325.09036918631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144095.75</v>
      </c>
      <c r="D627" s="180">
        <f>(D615/D612)*BO76</f>
        <v>0</v>
      </c>
      <c r="E627" s="180">
        <f>(E623/E612)*SUM(C627:D627)</f>
        <v>13777.149466226394</v>
      </c>
      <c r="F627" s="180">
        <f>(F624/F612)*BO64</f>
        <v>1025.7166253284149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999056.9211471345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1731477.8000000003</v>
      </c>
      <c r="D629" s="180">
        <f>(D615/D612)*BF76</f>
        <v>25141.095029311466</v>
      </c>
      <c r="E629" s="180">
        <f>(E623/E612)*SUM(C629:D629)</f>
        <v>167952.21977064753</v>
      </c>
      <c r="F629" s="180">
        <f>(F624/F612)*BF64</f>
        <v>8319.1818081661022</v>
      </c>
      <c r="G629" s="180">
        <f>(G625/G612)*BF77</f>
        <v>0</v>
      </c>
      <c r="H629" s="180">
        <f>(H628/H612)*BF60</f>
        <v>56520.217578693359</v>
      </c>
      <c r="I629" s="180">
        <f>SUM(C629:H629)</f>
        <v>1989410.5141868189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282875.12</v>
      </c>
      <c r="D630" s="180">
        <f>(D615/D612)*BA76</f>
        <v>3015.250427669198</v>
      </c>
      <c r="E630" s="180">
        <f>(E623/E612)*SUM(C630:D630)</f>
        <v>27334.285461832351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4320.7798942934323</v>
      </c>
      <c r="J630" s="180">
        <f>SUM(C630:I630)</f>
        <v>317545.43578379502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1850467.5799999998</v>
      </c>
      <c r="D635" s="180">
        <f>(D615/D612)*BK76</f>
        <v>36161.992933928152</v>
      </c>
      <c r="E635" s="180">
        <f>(E623/E612)*SUM(C635:D635)</f>
        <v>180382.68036159012</v>
      </c>
      <c r="F635" s="180">
        <f>(F624/F612)*BK64</f>
        <v>521.94850005626643</v>
      </c>
      <c r="G635" s="180">
        <f>(G625/G612)*BK77</f>
        <v>0</v>
      </c>
      <c r="H635" s="180">
        <f>(H628/H612)*BK60</f>
        <v>48545.101248713923</v>
      </c>
      <c r="I635" s="180">
        <f>(I629/I612)*BK78</f>
        <v>51819.248767101024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3995846.7800000003</v>
      </c>
      <c r="D636" s="180">
        <f>(D615/D612)*BH76</f>
        <v>18700.856310979692</v>
      </c>
      <c r="E636" s="180">
        <f>(E623/E612)*SUM(C636:D636)</f>
        <v>383835.21252182836</v>
      </c>
      <c r="F636" s="180">
        <f>(F624/F612)*BH64</f>
        <v>8437.4914612115135</v>
      </c>
      <c r="G636" s="180">
        <f>(G625/G612)*BH77</f>
        <v>0</v>
      </c>
      <c r="H636" s="180">
        <f>(H628/H612)*BH60</f>
        <v>33205.1017643999</v>
      </c>
      <c r="I636" s="180">
        <f>(I629/I612)*BH78</f>
        <v>26797.868333945327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1744653.8759999999</v>
      </c>
      <c r="D637" s="180">
        <f>(D615/D612)*BL76</f>
        <v>127386.45099473526</v>
      </c>
      <c r="E637" s="180">
        <f>(E623/E612)*SUM(C637:D637)</f>
        <v>178987.78688344246</v>
      </c>
      <c r="F637" s="180">
        <f>(F624/F612)*BL64</f>
        <v>2465.3759486492513</v>
      </c>
      <c r="G637" s="180">
        <f>(G625/G612)*BL77</f>
        <v>0</v>
      </c>
      <c r="H637" s="180">
        <f>(H628/H612)*BL60</f>
        <v>56372.919915606668</v>
      </c>
      <c r="I637" s="180">
        <f>(I629/I612)*BL78</f>
        <v>182541.65929723994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82421.72</v>
      </c>
      <c r="D639" s="180">
        <f>(D615/D612)*BS76</f>
        <v>11840.373630603435</v>
      </c>
      <c r="E639" s="180">
        <f>(E623/E612)*SUM(C639:D639)</f>
        <v>9012.5000421473269</v>
      </c>
      <c r="F639" s="180">
        <f>(F624/F612)*BS64</f>
        <v>91.741819699326783</v>
      </c>
      <c r="G639" s="180">
        <f>(G625/G612)*BS77</f>
        <v>0</v>
      </c>
      <c r="H639" s="180">
        <f>(H628/H612)*BS60</f>
        <v>2125.2948531079783</v>
      </c>
      <c r="I639" s="180">
        <f>(I629/I612)*BS78</f>
        <v>16966.964950762012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383.11000000000058</v>
      </c>
      <c r="D640" s="180">
        <f>(D615/D612)*BT76</f>
        <v>4107.8847289848654</v>
      </c>
      <c r="E640" s="180">
        <f>(E623/E612)*SUM(C640:D640)</f>
        <v>429.38883092151849</v>
      </c>
      <c r="F640" s="180">
        <f>(F624/F612)*BT64</f>
        <v>21.685309819357776</v>
      </c>
      <c r="G640" s="180">
        <f>(G625/G612)*BT77</f>
        <v>0</v>
      </c>
      <c r="H640" s="180">
        <f>(H628/H612)*BT60</f>
        <v>231.46775627908676</v>
      </c>
      <c r="I640" s="180">
        <f>(I629/I612)*BT78</f>
        <v>5886.4980441419229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21127.85</v>
      </c>
      <c r="D641" s="180">
        <f>(D615/D612)*BU76</f>
        <v>5862.4032705206009</v>
      </c>
      <c r="E641" s="180">
        <f>(E623/E612)*SUM(C641:D641)</f>
        <v>2580.5671120714392</v>
      </c>
      <c r="F641" s="180">
        <f>(F624/F612)*BU64</f>
        <v>14.454421758251417</v>
      </c>
      <c r="G641" s="180">
        <f>(G625/G612)*BU77</f>
        <v>0</v>
      </c>
      <c r="H641" s="180">
        <f>(H628/H612)*BU60</f>
        <v>694.40326883726027</v>
      </c>
      <c r="I641" s="180">
        <f>(I629/I612)*BU78</f>
        <v>8400.6800732255579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974475.42999999993</v>
      </c>
      <c r="D642" s="180">
        <f>(D615/D612)*BV76</f>
        <v>14981.697246885979</v>
      </c>
      <c r="E642" s="180">
        <f>(E623/E612)*SUM(C642:D642)</f>
        <v>94603.058955613451</v>
      </c>
      <c r="F642" s="180">
        <f>(F624/F612)*BV64</f>
        <v>346.08359464973086</v>
      </c>
      <c r="G642" s="180">
        <f>(G625/G612)*BV77</f>
        <v>0</v>
      </c>
      <c r="H642" s="180">
        <f>(H628/H612)*BV60</f>
        <v>27839.258323384707</v>
      </c>
      <c r="I642" s="180">
        <f>(I629/I612)*BV78</f>
        <v>21468.404631576424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120054.73000000001</v>
      </c>
      <c r="D643" s="180">
        <f>(D615/D612)*BW76</f>
        <v>2584.5003665735981</v>
      </c>
      <c r="E643" s="180">
        <f>(E623/E612)*SUM(C643:D643)</f>
        <v>11725.668572343428</v>
      </c>
      <c r="F643" s="180">
        <f>(F624/F612)*BW64</f>
        <v>33.934970676369332</v>
      </c>
      <c r="G643" s="180">
        <f>(G625/G612)*BW77</f>
        <v>0</v>
      </c>
      <c r="H643" s="180">
        <f>(H628/H612)*BW60</f>
        <v>2041.1247599155831</v>
      </c>
      <c r="I643" s="180">
        <f>(I629/I612)*BW78</f>
        <v>3703.5256236800847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705803.95000000007</v>
      </c>
      <c r="D644" s="180">
        <f>(D615/D612)*BX76</f>
        <v>2101.2198102224374</v>
      </c>
      <c r="E644" s="180">
        <f>(E623/E612)*SUM(C644:D644)</f>
        <v>67683.573820808815</v>
      </c>
      <c r="F644" s="180">
        <f>(F624/F612)*BX64</f>
        <v>63.00561020002074</v>
      </c>
      <c r="G644" s="180">
        <f>(G625/G612)*BX77</f>
        <v>0</v>
      </c>
      <c r="H644" s="180">
        <f>(H628/H612)*BX60</f>
        <v>13972.235469937599</v>
      </c>
      <c r="I644" s="180">
        <f>(I629/I612)*BX78</f>
        <v>3010.9964420163292</v>
      </c>
      <c r="J644" s="180">
        <f>(J630/J612)*BX79</f>
        <v>0</v>
      </c>
      <c r="K644" s="180">
        <f>SUM(C631:J644)</f>
        <v>11165821.317554794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356048.75</v>
      </c>
      <c r="D645" s="180">
        <f>(D615/D612)*BY76</f>
        <v>0</v>
      </c>
      <c r="E645" s="180">
        <f>(E623/E612)*SUM(C645:D645)</f>
        <v>34042.203507133796</v>
      </c>
      <c r="F645" s="180">
        <f>(F624/F612)*BY64</f>
        <v>399.72864781416814</v>
      </c>
      <c r="G645" s="180">
        <f>(G625/G612)*BY77</f>
        <v>0</v>
      </c>
      <c r="H645" s="180">
        <f>(H628/H612)*BY60</f>
        <v>5176.4607313323031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395667.14288628031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24772057.445999999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1629038.6099999999</v>
      </c>
      <c r="D668" s="180">
        <f>(D615/D612)*C76</f>
        <v>38788.517696706193</v>
      </c>
      <c r="E668" s="180">
        <f>(E623/E612)*SUM(C668:D668)</f>
        <v>159462.7435028762</v>
      </c>
      <c r="F668" s="180">
        <f>(F624/F612)*C64</f>
        <v>1878.3455853251533</v>
      </c>
      <c r="G668" s="180">
        <f>(G625/G612)*C77</f>
        <v>204964.37371483215</v>
      </c>
      <c r="H668" s="180">
        <f>(H628/H612)*C60</f>
        <v>28975.55458148204</v>
      </c>
      <c r="I668" s="180">
        <f>(I629/I612)*C78</f>
        <v>55582.994319621437</v>
      </c>
      <c r="J668" s="180">
        <f>(J630/J612)*C79</f>
        <v>26948.83676082169</v>
      </c>
      <c r="K668" s="180">
        <f>(K644/K612)*C75</f>
        <v>88747.2364629761</v>
      </c>
      <c r="L668" s="180">
        <f>(L647/L612)*C80</f>
        <v>34843.117590423579</v>
      </c>
      <c r="M668" s="180">
        <f t="shared" ref="M668:M713" si="20">ROUND(SUM(D668:L668),0)</f>
        <v>640192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6029061.6299999999</v>
      </c>
      <c r="D670" s="180">
        <f>(D615/D612)*E76</f>
        <v>243331.76012280936</v>
      </c>
      <c r="E670" s="180">
        <f>(E623/E612)*SUM(C670:D670)</f>
        <v>599710.27075186069</v>
      </c>
      <c r="F670" s="180">
        <f>(F624/F612)*E64</f>
        <v>7282.6244632869439</v>
      </c>
      <c r="G670" s="180">
        <f>(G625/G612)*E77</f>
        <v>1141289.3203047365</v>
      </c>
      <c r="H670" s="180">
        <f>(H628/H612)*E60</f>
        <v>107274.78377370765</v>
      </c>
      <c r="I670" s="180">
        <f>(I629/I612)*E78</f>
        <v>348688.442967701</v>
      </c>
      <c r="J670" s="180">
        <f>(J630/J612)*E79</f>
        <v>272482.68280386378</v>
      </c>
      <c r="K670" s="180">
        <f>(K644/K612)*E75</f>
        <v>457433.6615762458</v>
      </c>
      <c r="L670" s="180">
        <f>(L647/L612)*E80</f>
        <v>88859.366914388345</v>
      </c>
      <c r="M670" s="180">
        <f t="shared" si="20"/>
        <v>3266353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12911.55</v>
      </c>
      <c r="D675" s="180">
        <f>(D615/D612)*J76</f>
        <v>0</v>
      </c>
      <c r="E675" s="180">
        <f>(E623/E612)*SUM(C675:D675)</f>
        <v>1234.4871669751217</v>
      </c>
      <c r="F675" s="180">
        <f>(F624/F612)*J64</f>
        <v>499.76967370792676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30924.404835829388</v>
      </c>
      <c r="L675" s="180">
        <f>(L647/L612)*J80</f>
        <v>0</v>
      </c>
      <c r="M675" s="180">
        <f t="shared" si="20"/>
        <v>32659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2315308.13</v>
      </c>
      <c r="D680" s="180">
        <f>(D615/D612)*O76</f>
        <v>55818.904258559051</v>
      </c>
      <c r="E680" s="180">
        <f>(E623/E612)*SUM(C680:D680)</f>
        <v>226706.00315686117</v>
      </c>
      <c r="F680" s="180">
        <f>(F624/F612)*O64</f>
        <v>4202.7136042419133</v>
      </c>
      <c r="G680" s="180">
        <f>(G625/G612)*O77</f>
        <v>156883.88464270468</v>
      </c>
      <c r="H680" s="180">
        <f>(H628/H612)*O60</f>
        <v>28281.151312644779</v>
      </c>
      <c r="I680" s="180">
        <f>(I629/I612)*O78</f>
        <v>79987.12048216378</v>
      </c>
      <c r="J680" s="180">
        <f>(J630/J612)*O79</f>
        <v>1576.7646489046056</v>
      </c>
      <c r="K680" s="180">
        <f>(K644/K612)*O75</f>
        <v>132979.37455994228</v>
      </c>
      <c r="L680" s="180">
        <f>(L647/L612)*O80</f>
        <v>44636.858750975072</v>
      </c>
      <c r="M680" s="180">
        <f t="shared" si="20"/>
        <v>731073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16559026.890000002</v>
      </c>
      <c r="D681" s="180">
        <f>(D615/D612)*P76</f>
        <v>121912.77338910582</v>
      </c>
      <c r="E681" s="180">
        <f>(E623/E612)*SUM(C681:D681)</f>
        <v>1594882.5623213451</v>
      </c>
      <c r="F681" s="180">
        <f>(F624/F612)*P64</f>
        <v>423926.52692278661</v>
      </c>
      <c r="G681" s="180">
        <f>(G625/G612)*P77</f>
        <v>0</v>
      </c>
      <c r="H681" s="180">
        <f>(H628/H612)*P60</f>
        <v>59213.66056085001</v>
      </c>
      <c r="I681" s="180">
        <f>(I629/I612)*P78</f>
        <v>174698.01356578741</v>
      </c>
      <c r="J681" s="180">
        <f>(J630/J612)*P79</f>
        <v>16537.151570204987</v>
      </c>
      <c r="K681" s="180">
        <f>(K644/K612)*P75</f>
        <v>2403011.0600917842</v>
      </c>
      <c r="L681" s="180">
        <f>(L647/L612)*P80</f>
        <v>41736.404638042513</v>
      </c>
      <c r="M681" s="180">
        <f t="shared" si="20"/>
        <v>4835918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1225888.72</v>
      </c>
      <c r="D682" s="180">
        <f>(D615/D612)*Q76</f>
        <v>0</v>
      </c>
      <c r="E682" s="180">
        <f>(E623/E612)*SUM(C682:D682)</f>
        <v>117208.53754813003</v>
      </c>
      <c r="F682" s="180">
        <f>(F624/F612)*Q64</f>
        <v>787.8358522823346</v>
      </c>
      <c r="G682" s="180">
        <f>(G625/G612)*Q77</f>
        <v>0</v>
      </c>
      <c r="H682" s="180">
        <f>(H628/H612)*Q60</f>
        <v>19758.92937691477</v>
      </c>
      <c r="I682" s="180">
        <f>(I629/I612)*Q78</f>
        <v>0</v>
      </c>
      <c r="J682" s="180">
        <f>(J630/J612)*Q79</f>
        <v>0</v>
      </c>
      <c r="K682" s="180">
        <f>(K644/K612)*Q75</f>
        <v>270408.61751778511</v>
      </c>
      <c r="L682" s="180">
        <f>(L647/L612)*Q80</f>
        <v>31641.317595627901</v>
      </c>
      <c r="M682" s="180">
        <f t="shared" si="20"/>
        <v>439805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328109.21999999997</v>
      </c>
      <c r="D683" s="180">
        <f>(D615/D612)*R76</f>
        <v>5253.0495255560936</v>
      </c>
      <c r="E683" s="180">
        <f>(E623/E612)*SUM(C683:D683)</f>
        <v>31873.124735837348</v>
      </c>
      <c r="F683" s="180">
        <f>(F624/F612)*R64</f>
        <v>7270.3380306101262</v>
      </c>
      <c r="G683" s="180">
        <f>(G625/G612)*R77</f>
        <v>0</v>
      </c>
      <c r="H683" s="180">
        <f>(H628/H612)*R60</f>
        <v>2209.4649463003734</v>
      </c>
      <c r="I683" s="180">
        <f>(I629/I612)*R78</f>
        <v>7527.4911050408227</v>
      </c>
      <c r="J683" s="180">
        <f>(J630/J612)*R79</f>
        <v>0</v>
      </c>
      <c r="K683" s="180">
        <f>(K644/K612)*R75</f>
        <v>429119.21285658714</v>
      </c>
      <c r="L683" s="180">
        <f>(L647/L612)*R80</f>
        <v>3955.1646994534876</v>
      </c>
      <c r="M683" s="180">
        <f t="shared" si="20"/>
        <v>487208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542653.71</v>
      </c>
      <c r="D684" s="180">
        <f>(D615/D612)*S76</f>
        <v>31843.986223921038</v>
      </c>
      <c r="E684" s="180">
        <f>(E623/E612)*SUM(C684:D684)</f>
        <v>54928.341945405657</v>
      </c>
      <c r="F684" s="180">
        <f>(F624/F612)*S64</f>
        <v>4276.1237040882343</v>
      </c>
      <c r="G684" s="180">
        <f>(G625/G612)*S77</f>
        <v>0</v>
      </c>
      <c r="H684" s="180">
        <f>(H628/H612)*S60</f>
        <v>12772.811641945969</v>
      </c>
      <c r="I684" s="180">
        <f>(I629/I612)*S78</f>
        <v>45631.651078757466</v>
      </c>
      <c r="J684" s="180">
        <f>(J630/J612)*S79</f>
        <v>0</v>
      </c>
      <c r="K684" s="180">
        <f>(K644/K612)*S75</f>
        <v>4.6339526295028336E-4</v>
      </c>
      <c r="L684" s="180">
        <f>(L647/L612)*S80</f>
        <v>0</v>
      </c>
      <c r="M684" s="180">
        <f t="shared" si="20"/>
        <v>149453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5200282.1099999994</v>
      </c>
      <c r="D686" s="180">
        <f>(D615/D612)*U76</f>
        <v>41394.030261382017</v>
      </c>
      <c r="E686" s="180">
        <f>(E623/E612)*SUM(C686:D686)</f>
        <v>501162.28714541357</v>
      </c>
      <c r="F686" s="180">
        <f>(F624/F612)*U64</f>
        <v>70458.623664137354</v>
      </c>
      <c r="G686" s="180">
        <f>(G625/G612)*U77</f>
        <v>0</v>
      </c>
      <c r="H686" s="180">
        <f>(H628/H612)*U60</f>
        <v>49513.057320426466</v>
      </c>
      <c r="I686" s="180">
        <f>(I629/I612)*U78</f>
        <v>59316.629907721683</v>
      </c>
      <c r="J686" s="180">
        <f>(J630/J612)*U79</f>
        <v>0</v>
      </c>
      <c r="K686" s="180">
        <f>(K644/K612)*U75</f>
        <v>992859.6578828569</v>
      </c>
      <c r="L686" s="180">
        <f>(L647/L612)*U80</f>
        <v>0</v>
      </c>
      <c r="M686" s="180">
        <f t="shared" si="20"/>
        <v>1714704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108186.79</v>
      </c>
      <c r="D687" s="180">
        <f>(D615/D612)*V76</f>
        <v>105.06099051112187</v>
      </c>
      <c r="E687" s="180">
        <f>(E623/E612)*SUM(C687:D687)</f>
        <v>10353.900216145086</v>
      </c>
      <c r="F687" s="180">
        <f>(F624/F612)*V64</f>
        <v>16.035610009930636</v>
      </c>
      <c r="G687" s="180">
        <f>(G625/G612)*V77</f>
        <v>0</v>
      </c>
      <c r="H687" s="180">
        <f>(H628/H612)*V60</f>
        <v>2230.5074695984722</v>
      </c>
      <c r="I687" s="180">
        <f>(I629/I612)*V78</f>
        <v>150.54982210081644</v>
      </c>
      <c r="J687" s="180">
        <f>(J630/J612)*V79</f>
        <v>0</v>
      </c>
      <c r="K687" s="180">
        <f>(K644/K612)*V75</f>
        <v>33156.426897024125</v>
      </c>
      <c r="L687" s="180">
        <f>(L647/L612)*V80</f>
        <v>2862.7858776996673</v>
      </c>
      <c r="M687" s="180">
        <f t="shared" si="20"/>
        <v>48875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674075.87000000011</v>
      </c>
      <c r="D688" s="180">
        <f>(D615/D612)*W76</f>
        <v>0</v>
      </c>
      <c r="E688" s="180">
        <f>(E623/E612)*SUM(C688:D688)</f>
        <v>64449.118121572596</v>
      </c>
      <c r="F688" s="180">
        <f>(F624/F612)*W64</f>
        <v>1440.3715354097201</v>
      </c>
      <c r="G688" s="180">
        <f>(G625/G612)*W77</f>
        <v>0</v>
      </c>
      <c r="H688" s="180">
        <f>(H628/H612)*W60</f>
        <v>5786.6939069771688</v>
      </c>
      <c r="I688" s="180">
        <f>(I629/I612)*W78</f>
        <v>0</v>
      </c>
      <c r="J688" s="180">
        <f>(J630/J612)*W79</f>
        <v>0</v>
      </c>
      <c r="K688" s="180">
        <f>(K644/K612)*W75</f>
        <v>489889.33103515027</v>
      </c>
      <c r="L688" s="180">
        <f>(L647/L612)*W80</f>
        <v>0</v>
      </c>
      <c r="M688" s="180">
        <f t="shared" si="20"/>
        <v>561566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801564.29</v>
      </c>
      <c r="D689" s="180">
        <f>(D615/D612)*X76</f>
        <v>0</v>
      </c>
      <c r="E689" s="180">
        <f>(E623/E612)*SUM(C689:D689)</f>
        <v>76638.42292447653</v>
      </c>
      <c r="F689" s="180">
        <f>(F624/F612)*X64</f>
        <v>8651.308368304437</v>
      </c>
      <c r="G689" s="180">
        <f>(G625/G612)*X77</f>
        <v>0</v>
      </c>
      <c r="H689" s="180">
        <f>(H628/H612)*X60</f>
        <v>7385.9256776326765</v>
      </c>
      <c r="I689" s="180">
        <f>(I629/I612)*X78</f>
        <v>0</v>
      </c>
      <c r="J689" s="180">
        <f>(J630/J612)*X79</f>
        <v>0</v>
      </c>
      <c r="K689" s="180">
        <f>(K644/K612)*X75</f>
        <v>830719.66002446017</v>
      </c>
      <c r="L689" s="180">
        <f>(L647/L612)*X80</f>
        <v>0</v>
      </c>
      <c r="M689" s="180">
        <f t="shared" si="20"/>
        <v>923395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4263245.49</v>
      </c>
      <c r="D690" s="180">
        <f>(D615/D612)*Y76</f>
        <v>114779.13213340065</v>
      </c>
      <c r="E690" s="180">
        <f>(E623/E612)*SUM(C690:D690)</f>
        <v>418587.63763644104</v>
      </c>
      <c r="F690" s="180">
        <f>(F624/F612)*Y64</f>
        <v>9962.5492717791622</v>
      </c>
      <c r="G690" s="180">
        <f>(G625/G612)*Y77</f>
        <v>0</v>
      </c>
      <c r="H690" s="180">
        <f>(H628/H612)*Y60</f>
        <v>51259.58675416866</v>
      </c>
      <c r="I690" s="180">
        <f>(I629/I612)*Y78</f>
        <v>164475.68064514198</v>
      </c>
      <c r="J690" s="180">
        <f>(J630/J612)*Y79</f>
        <v>0</v>
      </c>
      <c r="K690" s="180">
        <f>(K644/K612)*Y75</f>
        <v>797230.43099069991</v>
      </c>
      <c r="L690" s="180">
        <f>(L647/L612)*Y80</f>
        <v>8400.0164569345488</v>
      </c>
      <c r="M690" s="180">
        <f t="shared" si="20"/>
        <v>1564695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1263623.9899999995</v>
      </c>
      <c r="D691" s="180">
        <f>(D615/D612)*Z76</f>
        <v>80896.962693563837</v>
      </c>
      <c r="E691" s="180">
        <f>(E623/E612)*SUM(C691:D691)</f>
        <v>128551.09276805409</v>
      </c>
      <c r="F691" s="180">
        <f>(F624/F612)*Z64</f>
        <v>2837.435930953864</v>
      </c>
      <c r="G691" s="180">
        <f>(G625/G612)*Z77</f>
        <v>0</v>
      </c>
      <c r="H691" s="180">
        <f>(H628/H612)*Z60</f>
        <v>13740.767713658513</v>
      </c>
      <c r="I691" s="180">
        <f>(I629/I612)*Z78</f>
        <v>115923.36301762867</v>
      </c>
      <c r="J691" s="180">
        <f>(J630/J612)*Z79</f>
        <v>0</v>
      </c>
      <c r="K691" s="180">
        <f>(K644/K612)*Z75</f>
        <v>148336.00997621374</v>
      </c>
      <c r="L691" s="180">
        <f>(L647/L612)*Z80</f>
        <v>11036.792923236875</v>
      </c>
      <c r="M691" s="180">
        <f t="shared" si="20"/>
        <v>501322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425776.18999999994</v>
      </c>
      <c r="D692" s="180">
        <f>(D615/D612)*AA76</f>
        <v>0</v>
      </c>
      <c r="E692" s="180">
        <f>(E623/E612)*SUM(C692:D692)</f>
        <v>40708.918956946385</v>
      </c>
      <c r="F692" s="180">
        <f>(F624/F612)*AA64</f>
        <v>5656.3377035098929</v>
      </c>
      <c r="G692" s="180">
        <f>(G625/G612)*AA77</f>
        <v>0</v>
      </c>
      <c r="H692" s="180">
        <f>(H628/H612)*AA60</f>
        <v>3387.8462509939063</v>
      </c>
      <c r="I692" s="180">
        <f>(I629/I612)*AA78</f>
        <v>0</v>
      </c>
      <c r="J692" s="180">
        <f>(J630/J612)*AA79</f>
        <v>0</v>
      </c>
      <c r="K692" s="180">
        <f>(K644/K612)*AA75</f>
        <v>105028.90706389208</v>
      </c>
      <c r="L692" s="180">
        <f>(L647/L612)*AA80</f>
        <v>0</v>
      </c>
      <c r="M692" s="180">
        <f t="shared" si="20"/>
        <v>154782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7693795.9399999995</v>
      </c>
      <c r="D693" s="180">
        <f>(D615/D612)*AB76</f>
        <v>19919.563800908705</v>
      </c>
      <c r="E693" s="180">
        <f>(E623/E612)*SUM(C693:D693)</f>
        <v>737516.62651960901</v>
      </c>
      <c r="F693" s="180">
        <f>(F624/F612)*AB64</f>
        <v>224525.19661181432</v>
      </c>
      <c r="G693" s="180">
        <f>(G625/G612)*AB77</f>
        <v>0</v>
      </c>
      <c r="H693" s="180">
        <f>(H628/H612)*AB60</f>
        <v>25735.005993574829</v>
      </c>
      <c r="I693" s="180">
        <f>(I629/I612)*AB78</f>
        <v>28544.246270314801</v>
      </c>
      <c r="J693" s="180">
        <f>(J630/J612)*AB79</f>
        <v>0</v>
      </c>
      <c r="K693" s="180">
        <f>(K644/K612)*AB75</f>
        <v>1404678.8241728579</v>
      </c>
      <c r="L693" s="180">
        <f>(L647/L612)*AB80</f>
        <v>0</v>
      </c>
      <c r="M693" s="180">
        <f t="shared" si="20"/>
        <v>2440919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1073550.1099999999</v>
      </c>
      <c r="D694" s="180">
        <f>(D615/D612)*AC76</f>
        <v>43568.792764962243</v>
      </c>
      <c r="E694" s="180">
        <f>(E623/E612)*SUM(C694:D694)</f>
        <v>106808.93846584451</v>
      </c>
      <c r="F694" s="180">
        <f>(F624/F612)*AC64</f>
        <v>4005.7989608909907</v>
      </c>
      <c r="G694" s="180">
        <f>(G625/G612)*AC77</f>
        <v>0</v>
      </c>
      <c r="H694" s="180">
        <f>(H628/H612)*AC60</f>
        <v>19632.674237126175</v>
      </c>
      <c r="I694" s="180">
        <f>(I629/I612)*AC78</f>
        <v>62433.011225208582</v>
      </c>
      <c r="J694" s="180">
        <f>(J630/J612)*AC79</f>
        <v>0</v>
      </c>
      <c r="K694" s="180">
        <f>(K644/K612)*AC75</f>
        <v>132659.94786407592</v>
      </c>
      <c r="L694" s="180">
        <f>(L647/L612)*AC80</f>
        <v>3088.7952890970091</v>
      </c>
      <c r="M694" s="180">
        <f t="shared" si="20"/>
        <v>372198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1861470.48</v>
      </c>
      <c r="D696" s="180">
        <f>(D615/D612)*AE76</f>
        <v>77745.132978230191</v>
      </c>
      <c r="E696" s="180">
        <f>(E623/E612)*SUM(C696:D696)</f>
        <v>185410.48814583995</v>
      </c>
      <c r="F696" s="180">
        <f>(F624/F612)*AE64</f>
        <v>804.90533103650887</v>
      </c>
      <c r="G696" s="180">
        <f>(G625/G612)*AE77</f>
        <v>0</v>
      </c>
      <c r="H696" s="180">
        <f>(H628/H612)*AE60</f>
        <v>37245.266237634867</v>
      </c>
      <c r="I696" s="180">
        <f>(I629/I612)*AE78</f>
        <v>111406.86835460417</v>
      </c>
      <c r="J696" s="180">
        <f>(J630/J612)*AE79</f>
        <v>0</v>
      </c>
      <c r="K696" s="180">
        <f>(K644/K612)*AE75</f>
        <v>267207.84217265336</v>
      </c>
      <c r="L696" s="180">
        <f>(L647/L612)*AE80</f>
        <v>0</v>
      </c>
      <c r="M696" s="180">
        <f t="shared" si="20"/>
        <v>679821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3541910.52</v>
      </c>
      <c r="D698" s="180">
        <f>(D615/D612)*AG76</f>
        <v>74593.30326289653</v>
      </c>
      <c r="E698" s="180">
        <f>(E623/E612)*SUM(C698:D698)</f>
        <v>345777.81591942947</v>
      </c>
      <c r="F698" s="180">
        <f>(F624/F612)*AG64</f>
        <v>14842.879649759001</v>
      </c>
      <c r="G698" s="180">
        <f>(G625/G612)*AG77</f>
        <v>0</v>
      </c>
      <c r="H698" s="180">
        <f>(H628/H612)*AG60</f>
        <v>55994.154496240895</v>
      </c>
      <c r="I698" s="180">
        <f>(I629/I612)*AG78</f>
        <v>106890.37369157968</v>
      </c>
      <c r="J698" s="180">
        <f>(J630/J612)*AG79</f>
        <v>0</v>
      </c>
      <c r="K698" s="180">
        <f>(K644/K612)*AG75</f>
        <v>1037496.9447751967</v>
      </c>
      <c r="L698" s="180">
        <f>(L647/L612)*AG80</f>
        <v>66748.112832681712</v>
      </c>
      <c r="M698" s="180">
        <f t="shared" si="20"/>
        <v>1702344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840.59</v>
      </c>
      <c r="D699" s="180">
        <f>(D615/D612)*AH76</f>
        <v>0</v>
      </c>
      <c r="E699" s="180">
        <f>(E623/E612)*SUM(C699:D699)</f>
        <v>80.36971298470111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80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1275629.7999999998</v>
      </c>
      <c r="D700" s="180">
        <f>(D615/D612)*AI76</f>
        <v>0</v>
      </c>
      <c r="E700" s="180">
        <f>(E623/E612)*SUM(C700:D700)</f>
        <v>121964.33564607201</v>
      </c>
      <c r="F700" s="180">
        <f>(F624/F612)*AI64</f>
        <v>1072.6126948071048</v>
      </c>
      <c r="G700" s="180">
        <f>(G625/G612)*AI77</f>
        <v>0</v>
      </c>
      <c r="H700" s="180">
        <f>(H628/H612)*AI60</f>
        <v>21042.523298098793</v>
      </c>
      <c r="I700" s="180">
        <f>(I629/I612)*AI78</f>
        <v>0</v>
      </c>
      <c r="J700" s="180">
        <f>(J630/J612)*AI79</f>
        <v>0</v>
      </c>
      <c r="K700" s="180">
        <f>(K644/K612)*AI75</f>
        <v>186340.54947709423</v>
      </c>
      <c r="L700" s="180">
        <f>(L647/L612)*AI80</f>
        <v>0</v>
      </c>
      <c r="M700" s="180">
        <f t="shared" si="20"/>
        <v>330420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14759212.310000001</v>
      </c>
      <c r="D701" s="180">
        <f>(D615/D612)*AJ76</f>
        <v>199752.46125879601</v>
      </c>
      <c r="E701" s="180">
        <f>(E623/E612)*SUM(C701:D701)</f>
        <v>1430242.6928875248</v>
      </c>
      <c r="F701" s="180">
        <f>(F624/F612)*AJ64</f>
        <v>36149.778025852116</v>
      </c>
      <c r="G701" s="180">
        <f>(G625/G612)*AJ77</f>
        <v>0</v>
      </c>
      <c r="H701" s="180">
        <f>(H628/H612)*AJ60</f>
        <v>194475.00032102905</v>
      </c>
      <c r="I701" s="180">
        <f>(I629/I612)*AJ78</f>
        <v>286240.37676028232</v>
      </c>
      <c r="J701" s="180">
        <f>(J630/J612)*AJ79</f>
        <v>0</v>
      </c>
      <c r="K701" s="180">
        <f>(K644/K612)*AJ75</f>
        <v>887338.78770144877</v>
      </c>
      <c r="L701" s="180">
        <f>(L647/L612)*AJ80</f>
        <v>57858.409317719583</v>
      </c>
      <c r="M701" s="180">
        <f t="shared" si="20"/>
        <v>3092058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209571.17</v>
      </c>
      <c r="D703" s="180">
        <f>(D615/D612)*AL76</f>
        <v>0</v>
      </c>
      <c r="E703" s="180">
        <f>(E623/E612)*SUM(C703:D703)</f>
        <v>20037.324715697312</v>
      </c>
      <c r="F703" s="180">
        <f>(F624/F612)*AL64</f>
        <v>17.672149527213314</v>
      </c>
      <c r="G703" s="180">
        <f>(G625/G612)*AL77</f>
        <v>0</v>
      </c>
      <c r="H703" s="180">
        <f>(H628/H612)*AL60</f>
        <v>5639.3962438904773</v>
      </c>
      <c r="I703" s="180">
        <f>(I629/I612)*AL78</f>
        <v>0</v>
      </c>
      <c r="J703" s="180">
        <f>(J630/J612)*AL79</f>
        <v>0</v>
      </c>
      <c r="K703" s="180">
        <f>(K644/K612)*AL75</f>
        <v>32473.025465082941</v>
      </c>
      <c r="L703" s="180">
        <f>(L647/L612)*AL80</f>
        <v>0</v>
      </c>
      <c r="M703" s="180">
        <f t="shared" si="20"/>
        <v>58167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14571.690000000002</v>
      </c>
      <c r="D707" s="180">
        <f>(D615/D612)*AP76</f>
        <v>11861.385828705659</v>
      </c>
      <c r="E707" s="180">
        <f>(E623/E612)*SUM(C707:D707)</f>
        <v>2527.2947782580263</v>
      </c>
      <c r="F707" s="180">
        <f>(F624/F612)*AP64</f>
        <v>535.92682351597057</v>
      </c>
      <c r="G707" s="180">
        <f>(G625/G612)*AP77</f>
        <v>0</v>
      </c>
      <c r="H707" s="180">
        <f>(H628/H612)*AP60</f>
        <v>0</v>
      </c>
      <c r="I707" s="180">
        <f>(I629/I612)*AP78</f>
        <v>16997.074915182176</v>
      </c>
      <c r="J707" s="180">
        <f>(J630/J612)*AP79</f>
        <v>0</v>
      </c>
      <c r="K707" s="180">
        <f>(K644/K612)*AP75</f>
        <v>2020.1030663328434</v>
      </c>
      <c r="L707" s="180">
        <f>(L647/L612)*AP80</f>
        <v>0</v>
      </c>
      <c r="M707" s="180">
        <f t="shared" si="20"/>
        <v>33942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37230.29</v>
      </c>
      <c r="D713" s="180">
        <f>(D615/D612)*AV76</f>
        <v>0</v>
      </c>
      <c r="E713" s="180">
        <f>(E623/E612)*SUM(C713:D713)</f>
        <v>3559.6280251218645</v>
      </c>
      <c r="F713" s="180">
        <f>(F624/F612)*AV64</f>
        <v>9.2564347247629915</v>
      </c>
      <c r="G713" s="180">
        <f>(G625/G612)*AV77</f>
        <v>0</v>
      </c>
      <c r="H713" s="180">
        <f>(H628/H612)*AV60</f>
        <v>778.57336202965541</v>
      </c>
      <c r="I713" s="180">
        <f>(I629/I612)*AV78</f>
        <v>0</v>
      </c>
      <c r="J713" s="180">
        <f>(J630/J612)*AV79</f>
        <v>0</v>
      </c>
      <c r="K713" s="180">
        <f>(K644/K612)*AV75</f>
        <v>5761.3006252082823</v>
      </c>
      <c r="L713" s="180">
        <f>(L647/L612)*AV80</f>
        <v>0</v>
      </c>
      <c r="M713" s="180">
        <f t="shared" si="20"/>
        <v>10109</v>
      </c>
      <c r="N713" s="199" t="s">
        <v>741</v>
      </c>
    </row>
    <row r="715" spans="1:15" ht="12.6" customHeight="1" x14ac:dyDescent="0.25">
      <c r="C715" s="180">
        <f>SUM(C614:C647)+SUM(C668:C713)</f>
        <v>96618593.535999998</v>
      </c>
      <c r="D715" s="180">
        <f>SUM(D616:D647)+SUM(D668:D713)</f>
        <v>2039464.96</v>
      </c>
      <c r="E715" s="180">
        <f>SUM(E624:E647)+SUM(E668:E713)</f>
        <v>8431648.5531249456</v>
      </c>
      <c r="F715" s="180">
        <f>SUM(F625:F648)+SUM(F668:F713)</f>
        <v>874215.92726120574</v>
      </c>
      <c r="G715" s="180">
        <f>SUM(G626:G647)+SUM(G668:G713)</f>
        <v>1503137.5786622732</v>
      </c>
      <c r="H715" s="180">
        <f>SUM(H629:H647)+SUM(H668:H713)</f>
        <v>999056.92114713462</v>
      </c>
      <c r="I715" s="180">
        <f>SUM(I630:I647)+SUM(I668:I713)</f>
        <v>1989410.5141868186</v>
      </c>
      <c r="J715" s="180">
        <f>SUM(J631:J647)+SUM(J668:J713)</f>
        <v>317545.43578379508</v>
      </c>
      <c r="K715" s="180">
        <f>SUM(K668:K713)</f>
        <v>11165821.317554791</v>
      </c>
      <c r="L715" s="180">
        <f>SUM(L668:L713)</f>
        <v>395667.14288628026</v>
      </c>
      <c r="M715" s="180">
        <f>SUM(M668:M713)</f>
        <v>24772058</v>
      </c>
      <c r="N715" s="198" t="s">
        <v>742</v>
      </c>
    </row>
    <row r="716" spans="1:15" ht="12.6" customHeight="1" x14ac:dyDescent="0.25">
      <c r="C716" s="180">
        <f>CE71</f>
        <v>96618593.535999984</v>
      </c>
      <c r="D716" s="180">
        <f>D615</f>
        <v>2039464.96</v>
      </c>
      <c r="E716" s="180">
        <f>E623</f>
        <v>8431648.5531249419</v>
      </c>
      <c r="F716" s="180">
        <f>F624</f>
        <v>874215.92726120539</v>
      </c>
      <c r="G716" s="180">
        <f>G625</f>
        <v>1503137.5786622732</v>
      </c>
      <c r="H716" s="180">
        <f>H628</f>
        <v>999056.9211471345</v>
      </c>
      <c r="I716" s="180">
        <f>I629</f>
        <v>1989410.5141868189</v>
      </c>
      <c r="J716" s="180">
        <f>J630</f>
        <v>317545.43578379502</v>
      </c>
      <c r="K716" s="180">
        <f>K644</f>
        <v>11165821.317554794</v>
      </c>
      <c r="L716" s="180">
        <f>L647</f>
        <v>395667.14288628031</v>
      </c>
      <c r="M716" s="180">
        <f>C648</f>
        <v>24772057.445999999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ignoredErrors>
    <ignoredError sqref="C44:CE44 C55:V55 W55:CA55 CE55 C83" numberStoredAsText="1"/>
    <ignoredError sqref="E59 O59 Y59:Y61 AC59:AE59 AJ59:AJ61 B138:B139 D138:D139 AC60:AC61 AI60 AY60:AY61 BK60 P47 O51:P51 AJ47 AP47 P60:P61 CB48:CC54 CB56:CC60 E63 CC63:CC64 O63:CB63 P64:U64 Y64:AA64 AC64 CB64 AY47 CB47:CC47 CB61:CC61 AY64 AJ64:AJ66 P65:P66 U65 Y65:Y66 AC66 AJ68:AJ70 AC69 Y69 CB69:CC69 P69 BD70 CB70:CC70 E73:E74 O73:P73 U73:V73 AA73:AA74 Y73:Z73 AB73:AC73 AJ73:AJ74 P74 U74:V74 Y74:Z74 AB74:AC74 AI74 AV74 AV69:AV70 CC65:CC66 AV64 AJ51 Y80 V80 AJ80 P80 D141:D142 C168 C171 C175:C176 C179:C180 B197:C197 C200 C203 C226 C253 C269 C325:C327 C392" unlockedFormula="1"/>
    <ignoredError sqref="CB55:CC55" numberStoredAsText="1" unlockedFormula="1"/>
    <ignoredError sqref="CD71 C493 E49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1" transitionEvaluation="1" transitionEntry="1" codeName="Sheet10">
    <pageSetUpPr autoPageBreaks="0" fitToPage="1"/>
  </sheetPr>
  <dimension ref="A1:CF719"/>
  <sheetViews>
    <sheetView showGridLines="0" topLeftCell="A41" zoomScale="75" workbookViewId="0">
      <selection activeCell="K89" sqref="K8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10346597.26</v>
      </c>
      <c r="C47" s="184">
        <v>334777.65000000002</v>
      </c>
      <c r="D47" s="184">
        <v>0</v>
      </c>
      <c r="E47" s="184">
        <v>1226150.73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331856.57</v>
      </c>
      <c r="P47" s="184">
        <f>418136.73+211021.14</f>
        <v>629157.87</v>
      </c>
      <c r="Q47" s="184">
        <f>202122.57</f>
        <v>202122.57</v>
      </c>
      <c r="R47" s="184">
        <f>36310.71+90.85</f>
        <v>36401.56</v>
      </c>
      <c r="S47" s="184">
        <v>107945.8</v>
      </c>
      <c r="T47" s="184">
        <v>0</v>
      </c>
      <c r="U47" s="184">
        <v>399964.5</v>
      </c>
      <c r="V47" s="184">
        <f>21407.28</f>
        <v>21407.279999999999</v>
      </c>
      <c r="W47" s="184">
        <f>46086.13</f>
        <v>46086.13</v>
      </c>
      <c r="X47" s="184">
        <f>66781.88</f>
        <v>66781.88</v>
      </c>
      <c r="Y47" s="184">
        <f>11732.55+47249.13+119043.34+226191.68+65431.34</f>
        <v>469648.03999999992</v>
      </c>
      <c r="Z47" s="184">
        <f>203507.68</f>
        <v>203507.68</v>
      </c>
      <c r="AA47" s="184">
        <f>41132.57</f>
        <v>41132.57</v>
      </c>
      <c r="AB47" s="184">
        <f>270281.68</f>
        <v>270281.68</v>
      </c>
      <c r="AC47" s="184">
        <f>146831.5+45878.93</f>
        <v>192710.43</v>
      </c>
      <c r="AD47" s="184">
        <v>0</v>
      </c>
      <c r="AE47" s="184">
        <f>334070.08</f>
        <v>334070.08</v>
      </c>
      <c r="AF47" s="184">
        <v>0</v>
      </c>
      <c r="AG47" s="184">
        <f>519758.33</f>
        <v>519758.33</v>
      </c>
      <c r="AH47" s="184">
        <f>3773.56</f>
        <v>3773.56</v>
      </c>
      <c r="AI47" s="184">
        <f>154925.04</f>
        <v>154925.04</v>
      </c>
      <c r="AJ47" s="184">
        <f>7163.84+84031.43+298050.04+116561.83+1096603.65+2033.14+115022.58</f>
        <v>1719466.5099999998</v>
      </c>
      <c r="AK47" s="184">
        <v>0</v>
      </c>
      <c r="AL47" s="184">
        <f>55557.74</f>
        <v>55557.74</v>
      </c>
      <c r="AM47" s="184">
        <v>0</v>
      </c>
      <c r="AN47" s="184">
        <v>0</v>
      </c>
      <c r="AO47" s="184">
        <v>0</v>
      </c>
      <c r="AP47" s="184">
        <f>637.05+202.34</f>
        <v>839.39</v>
      </c>
      <c r="AQ47" s="184">
        <v>0</v>
      </c>
      <c r="AR47" s="184"/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f>236744.95</f>
        <v>236744.95</v>
      </c>
      <c r="AZ47" s="184">
        <v>0</v>
      </c>
      <c r="BA47" s="184">
        <v>0</v>
      </c>
      <c r="BB47" s="184">
        <v>0</v>
      </c>
      <c r="BC47" s="184">
        <v>0</v>
      </c>
      <c r="BD47" s="184">
        <f>117018.14</f>
        <v>117018.14</v>
      </c>
      <c r="BE47" s="184">
        <f>143417.96</f>
        <v>143417.96</v>
      </c>
      <c r="BF47" s="184">
        <f>342202.88</f>
        <v>342202.88</v>
      </c>
      <c r="BG47" s="184">
        <v>0</v>
      </c>
      <c r="BH47" s="184">
        <f>291370.26</f>
        <v>291370.26</v>
      </c>
      <c r="BI47" s="184">
        <v>0</v>
      </c>
      <c r="BJ47" s="184">
        <f>82589.34</f>
        <v>82589.34</v>
      </c>
      <c r="BK47" s="184">
        <f>358079.18</f>
        <v>358079.18</v>
      </c>
      <c r="BL47" s="184">
        <f>397883.13</f>
        <v>397883.13</v>
      </c>
      <c r="BM47" s="184">
        <v>0</v>
      </c>
      <c r="BN47" s="184">
        <f>292191.25</f>
        <v>292191.25</v>
      </c>
      <c r="BO47" s="184">
        <f>21425.36</f>
        <v>21425.360000000001</v>
      </c>
      <c r="BP47" s="184">
        <f>47033.16</f>
        <v>47033.16</v>
      </c>
      <c r="BQ47" s="184">
        <v>0</v>
      </c>
      <c r="BR47" s="184">
        <f>144918.85</f>
        <v>144918.85</v>
      </c>
      <c r="BS47" s="184">
        <v>17636.64</v>
      </c>
      <c r="BT47" s="184">
        <v>530.36</v>
      </c>
      <c r="BU47" s="184">
        <v>1591.86</v>
      </c>
      <c r="BV47" s="184">
        <v>132413.43</v>
      </c>
      <c r="BW47" s="184">
        <f>21995.91</f>
        <v>21995.91</v>
      </c>
      <c r="BX47" s="184">
        <f>139217.51</f>
        <v>139217.51</v>
      </c>
      <c r="BY47" s="184">
        <f>11.8+49085.72</f>
        <v>49097.520000000004</v>
      </c>
      <c r="BZ47" s="184">
        <v>0</v>
      </c>
      <c r="CA47" s="184">
        <v>0</v>
      </c>
      <c r="CB47" s="184">
        <f>20650.25+11196.36</f>
        <v>31846.61</v>
      </c>
      <c r="CC47" s="184">
        <f>24.9+10095.08+30936.71+45573.18+12219.1+9951.06+269.34</f>
        <v>109069.37</v>
      </c>
      <c r="CD47" s="195"/>
      <c r="CE47" s="195">
        <f>SUM(C47:CC47)</f>
        <v>10346597.259999994</v>
      </c>
    </row>
    <row r="48" spans="1:83" ht="12.6" customHeight="1" x14ac:dyDescent="0.25">
      <c r="A48" s="175" t="s">
        <v>205</v>
      </c>
      <c r="B48" s="183">
        <v>0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10346597.26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3415825</v>
      </c>
      <c r="C51" s="184">
        <f>67236</f>
        <v>67236</v>
      </c>
      <c r="D51" s="184">
        <v>0</v>
      </c>
      <c r="E51" s="184">
        <v>47981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f>32505</f>
        <v>32505</v>
      </c>
      <c r="P51" s="184">
        <f>392357+1778</f>
        <v>394135</v>
      </c>
      <c r="Q51" s="184">
        <f>6192</f>
        <v>6192</v>
      </c>
      <c r="R51" s="184">
        <f>27282</f>
        <v>27282</v>
      </c>
      <c r="S51" s="184">
        <f>31512</f>
        <v>31512</v>
      </c>
      <c r="T51" s="184">
        <v>0</v>
      </c>
      <c r="U51" s="184">
        <f>48082</f>
        <v>48082</v>
      </c>
      <c r="V51" s="184">
        <f>3207</f>
        <v>3207</v>
      </c>
      <c r="W51" s="184">
        <f>65154</f>
        <v>65154</v>
      </c>
      <c r="X51" s="184">
        <f>116040</f>
        <v>116040</v>
      </c>
      <c r="Y51" s="184">
        <f>504+42968+59404+76249</f>
        <v>179125</v>
      </c>
      <c r="Z51" s="184">
        <f>53818</f>
        <v>53818</v>
      </c>
      <c r="AA51" s="184">
        <f>5184</f>
        <v>5184</v>
      </c>
      <c r="AB51" s="184">
        <f>87270</f>
        <v>87270</v>
      </c>
      <c r="AC51" s="184">
        <f>16300+4033</f>
        <v>20333</v>
      </c>
      <c r="AD51" s="184">
        <v>0</v>
      </c>
      <c r="AE51" s="184">
        <f>6102</f>
        <v>6102</v>
      </c>
      <c r="AF51" s="184">
        <v>0</v>
      </c>
      <c r="AG51" s="184">
        <f>28683</f>
        <v>28683</v>
      </c>
      <c r="AH51" s="184">
        <f>636</f>
        <v>636</v>
      </c>
      <c r="AI51" s="184">
        <f>17194</f>
        <v>17194</v>
      </c>
      <c r="AJ51" s="184">
        <f>552+9871+1034+5948+6271+29166</f>
        <v>52842</v>
      </c>
      <c r="AK51" s="184">
        <v>0</v>
      </c>
      <c r="AL51" s="184">
        <f>252</f>
        <v>252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f>21802</f>
        <v>21802</v>
      </c>
      <c r="AZ51" s="184">
        <v>0</v>
      </c>
      <c r="BA51" s="184">
        <v>0</v>
      </c>
      <c r="BB51" s="184">
        <v>0</v>
      </c>
      <c r="BC51" s="184">
        <v>0</v>
      </c>
      <c r="BD51" s="184">
        <f>7680</f>
        <v>7680</v>
      </c>
      <c r="BE51" s="184">
        <f>103711</f>
        <v>103711</v>
      </c>
      <c r="BF51" s="184">
        <f>8632</f>
        <v>8632</v>
      </c>
      <c r="BG51" s="184">
        <v>0</v>
      </c>
      <c r="BH51" s="184">
        <f>1025716</f>
        <v>1025716</v>
      </c>
      <c r="BI51" s="184">
        <v>0</v>
      </c>
      <c r="BJ51" s="184">
        <f>9102</f>
        <v>9102</v>
      </c>
      <c r="BK51" s="184">
        <f>2772</f>
        <v>2772</v>
      </c>
      <c r="BL51" s="184">
        <f>34550</f>
        <v>34550</v>
      </c>
      <c r="BM51" s="184">
        <v>0</v>
      </c>
      <c r="BN51" s="184">
        <f>1209</f>
        <v>1209</v>
      </c>
      <c r="BO51" s="184">
        <v>0</v>
      </c>
      <c r="BP51" s="184">
        <v>3420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f>504</f>
        <v>504</v>
      </c>
      <c r="BW51" s="184">
        <v>0</v>
      </c>
      <c r="BX51" s="184">
        <f>1356</f>
        <v>1356</v>
      </c>
      <c r="BY51" s="184">
        <f>4257</f>
        <v>4257</v>
      </c>
      <c r="BZ51" s="184">
        <v>0</v>
      </c>
      <c r="CA51" s="184">
        <v>0</v>
      </c>
      <c r="CB51" s="184">
        <v>0</v>
      </c>
      <c r="CC51" s="184">
        <f>7127+624+132604+166868+9132+577238+324+6432</f>
        <v>900349</v>
      </c>
      <c r="CD51" s="195"/>
      <c r="CE51" s="195">
        <f>SUM(C51:CD51)</f>
        <v>3415825</v>
      </c>
    </row>
    <row r="52" spans="1:84" ht="12.6" customHeight="1" x14ac:dyDescent="0.25">
      <c r="A52" s="171" t="s">
        <v>208</v>
      </c>
      <c r="B52" s="184">
        <v>1393893</v>
      </c>
      <c r="C52" s="195">
        <f>ROUND((B52/(CE76+CF76)*C76),0)</f>
        <v>24990</v>
      </c>
      <c r="D52" s="195">
        <f>ROUND((B52/(CE76+CF76)*D76),0)</f>
        <v>0</v>
      </c>
      <c r="E52" s="195">
        <f>ROUND((B52/(CE76+CF76)*E76),0)</f>
        <v>156768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35962</v>
      </c>
      <c r="P52" s="195">
        <f>ROUND((B52/(CE76+CF76)*P76),0)</f>
        <v>78543</v>
      </c>
      <c r="Q52" s="195">
        <f>ROUND((B52/(CE76+CF76)*Q76),0)</f>
        <v>0</v>
      </c>
      <c r="R52" s="195">
        <f>ROUND((B52/(CE76+CF76)*R76),0)</f>
        <v>3384</v>
      </c>
      <c r="S52" s="195">
        <f>ROUND((B52/(CE76+CF76)*S76),0)</f>
        <v>20516</v>
      </c>
      <c r="T52" s="195">
        <f>ROUND((B52/(CE76+CF76)*T76),0)</f>
        <v>0</v>
      </c>
      <c r="U52" s="195">
        <f>ROUND((B52/(CE76+CF76)*U76),0)</f>
        <v>26668</v>
      </c>
      <c r="V52" s="195">
        <f>ROUND((B52/(CE76+CF76)*V76),0)</f>
        <v>68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73947</v>
      </c>
      <c r="Z52" s="195">
        <f>ROUND((B52/(CE76+CF76)*Z76),0)</f>
        <v>52118</v>
      </c>
      <c r="AA52" s="195">
        <f>ROUND((B52/(CE76+CF76)*AA76),0)</f>
        <v>0</v>
      </c>
      <c r="AB52" s="195">
        <f>ROUND((B52/(CE76+CF76)*AB76),0)</f>
        <v>12833</v>
      </c>
      <c r="AC52" s="195">
        <f>ROUND((B52/(CE76+CF76)*AC76),0)</f>
        <v>28069</v>
      </c>
      <c r="AD52" s="195">
        <f>ROUND((B52/(CE76+CF76)*AD76),0)</f>
        <v>0</v>
      </c>
      <c r="AE52" s="195">
        <f>ROUND((B52/(CE76+CF76)*AE76),0)</f>
        <v>50088</v>
      </c>
      <c r="AF52" s="195">
        <f>ROUND((B52/(CE76+CF76)*AF76),0)</f>
        <v>0</v>
      </c>
      <c r="AG52" s="195">
        <f>ROUND((B52/(CE76+CF76)*AG76),0)</f>
        <v>48057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128692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7642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28442</v>
      </c>
      <c r="AZ52" s="195">
        <f>ROUND((B52/(CE76+CF76)*AZ76),0)</f>
        <v>0</v>
      </c>
      <c r="BA52" s="195">
        <f>ROUND((B52/(CE76+CF76)*BA76),0)</f>
        <v>1943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32428</v>
      </c>
      <c r="BE52" s="195">
        <f>ROUND((B52/(CE76+CF76)*BE76),0)</f>
        <v>79958</v>
      </c>
      <c r="BF52" s="195">
        <f>ROUND((B52/(CE76+CF76)*BF76),0)</f>
        <v>16197</v>
      </c>
      <c r="BG52" s="195">
        <f>ROUND((B52/(CE76+CF76)*BG76),0)</f>
        <v>0</v>
      </c>
      <c r="BH52" s="195">
        <f>ROUND((B52/(CE76+CF76)*BH76),0)</f>
        <v>12048</v>
      </c>
      <c r="BI52" s="195">
        <f>ROUND((B52/(CE76+CF76)*BI76),0)</f>
        <v>0</v>
      </c>
      <c r="BJ52" s="195">
        <f>ROUND((B52/(CE76+CF76)*BJ76),0)</f>
        <v>8400</v>
      </c>
      <c r="BK52" s="195">
        <f>ROUND((B52/(CE76+CF76)*BK76),0)</f>
        <v>23298</v>
      </c>
      <c r="BL52" s="195">
        <f>ROUND((B52/(CE76+CF76)*BL76),0)</f>
        <v>82069</v>
      </c>
      <c r="BM52" s="195">
        <f>ROUND((B52/(CE76+CF76)*BM76),0)</f>
        <v>0</v>
      </c>
      <c r="BN52" s="195">
        <f>ROUND((B52/(CE76+CF76)*BN76),0)</f>
        <v>11013</v>
      </c>
      <c r="BO52" s="195">
        <f>ROUND((B52/(CE76+CF76)*BO76),0)</f>
        <v>0</v>
      </c>
      <c r="BP52" s="195">
        <f>ROUND((B52/(CE76+CF76)*BP76),0)</f>
        <v>873</v>
      </c>
      <c r="BQ52" s="195">
        <f>ROUND((B52/(CE76+CF76)*BQ76),0)</f>
        <v>0</v>
      </c>
      <c r="BR52" s="195">
        <f>ROUND((B52/(CE76+CF76)*BR76),0)</f>
        <v>8075</v>
      </c>
      <c r="BS52" s="195">
        <f>ROUND((B52/(CE76+CF76)*BS76),0)</f>
        <v>7628</v>
      </c>
      <c r="BT52" s="195">
        <f>ROUND((B52/(CE76+CF76)*BT76),0)</f>
        <v>2647</v>
      </c>
      <c r="BU52" s="195">
        <f>ROUND((B52/(CE76+CF76)*BU76),0)</f>
        <v>3777</v>
      </c>
      <c r="BV52" s="195">
        <f>ROUND((B52/(CE76+CF76)*BV76),0)</f>
        <v>9652</v>
      </c>
      <c r="BW52" s="195">
        <f>ROUND((B52/(CE76+CF76)*BW76),0)</f>
        <v>1665</v>
      </c>
      <c r="BX52" s="195">
        <f>ROUND((B52/(CE76+CF76)*BX76),0)</f>
        <v>1354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4352</v>
      </c>
      <c r="CC52" s="195">
        <f>ROUND((B52/(CE76+CF76)*CC76),0)</f>
        <v>309731</v>
      </c>
      <c r="CD52" s="195"/>
      <c r="CE52" s="195">
        <f>SUM(C52:CD52)</f>
        <v>1393895</v>
      </c>
    </row>
    <row r="53" spans="1:84" ht="12.6" customHeight="1" x14ac:dyDescent="0.25">
      <c r="A53" s="175" t="s">
        <v>206</v>
      </c>
      <c r="B53" s="195">
        <f>B51+B52</f>
        <v>4809718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>
        <v>701</v>
      </c>
      <c r="D59" s="184">
        <v>0</v>
      </c>
      <c r="E59" s="184">
        <f>6718+27</f>
        <v>6745</v>
      </c>
      <c r="F59" s="184">
        <v>0</v>
      </c>
      <c r="G59" s="184">
        <v>0</v>
      </c>
      <c r="H59" s="184">
        <v>0</v>
      </c>
      <c r="I59" s="184">
        <v>0</v>
      </c>
      <c r="J59" s="184">
        <v>704</v>
      </c>
      <c r="K59" s="184">
        <v>0</v>
      </c>
      <c r="L59" s="184">
        <v>0</v>
      </c>
      <c r="M59" s="184">
        <v>0</v>
      </c>
      <c r="N59" s="184">
        <v>0</v>
      </c>
      <c r="O59" s="184">
        <f>441+835+873</f>
        <v>2149</v>
      </c>
      <c r="P59" s="185">
        <v>385376</v>
      </c>
      <c r="Q59" s="185">
        <v>255979</v>
      </c>
      <c r="R59" s="185">
        <v>385376</v>
      </c>
      <c r="S59" s="244"/>
      <c r="T59" s="244"/>
      <c r="U59" s="220">
        <v>237844</v>
      </c>
      <c r="V59" s="185">
        <v>5896</v>
      </c>
      <c r="W59" s="185">
        <v>4439</v>
      </c>
      <c r="X59" s="185">
        <v>9980</v>
      </c>
      <c r="Y59" s="185">
        <f>19849+4876+1458+6731</f>
        <v>32914</v>
      </c>
      <c r="Z59" s="185">
        <v>10854</v>
      </c>
      <c r="AA59" s="185">
        <v>967</v>
      </c>
      <c r="AB59" s="244"/>
      <c r="AC59" s="185">
        <f>7208+4793</f>
        <v>12001</v>
      </c>
      <c r="AD59" s="185">
        <v>0</v>
      </c>
      <c r="AE59" s="185">
        <f>2562+13083+558</f>
        <v>16203</v>
      </c>
      <c r="AF59" s="185">
        <v>0</v>
      </c>
      <c r="AG59" s="185">
        <v>17418</v>
      </c>
      <c r="AH59" s="185">
        <v>0</v>
      </c>
      <c r="AI59" s="185">
        <v>524</v>
      </c>
      <c r="AJ59" s="185">
        <f>3+17383+3836+36670</f>
        <v>57892</v>
      </c>
      <c r="AK59" s="185">
        <v>0</v>
      </c>
      <c r="AL59" s="185">
        <v>2687</v>
      </c>
      <c r="AM59" s="185">
        <v>0</v>
      </c>
      <c r="AN59" s="185">
        <v>0</v>
      </c>
      <c r="AO59" s="185">
        <v>0</v>
      </c>
      <c r="AP59" s="185">
        <f>449.31+58.93</f>
        <v>508.24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4"/>
      <c r="AW59" s="244"/>
      <c r="AX59" s="244"/>
      <c r="AY59" s="185">
        <v>201221</v>
      </c>
      <c r="AZ59" s="185">
        <v>0</v>
      </c>
      <c r="BA59" s="244"/>
      <c r="BB59" s="244"/>
      <c r="BC59" s="244"/>
      <c r="BD59" s="244"/>
      <c r="BE59" s="185">
        <v>205935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>
        <v>14.02</v>
      </c>
      <c r="D60" s="187">
        <v>0</v>
      </c>
      <c r="E60" s="187">
        <v>59.93</v>
      </c>
      <c r="F60" s="219">
        <v>0</v>
      </c>
      <c r="G60" s="187">
        <v>0</v>
      </c>
      <c r="H60" s="187">
        <v>0</v>
      </c>
      <c r="I60" s="187">
        <v>0</v>
      </c>
      <c r="J60" s="219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f>13.56</f>
        <v>13.56</v>
      </c>
      <c r="P60" s="217">
        <f>20.36+9.37</f>
        <v>29.729999999999997</v>
      </c>
      <c r="Q60" s="217">
        <f>9.95</f>
        <v>9.9499999999999993</v>
      </c>
      <c r="R60" s="217">
        <f>1.51</f>
        <v>1.51</v>
      </c>
      <c r="S60" s="217">
        <f>7.61</f>
        <v>7.61</v>
      </c>
      <c r="T60" s="217">
        <v>0</v>
      </c>
      <c r="U60" s="217">
        <f>23.53</f>
        <v>23.53</v>
      </c>
      <c r="V60" s="217">
        <f>1</f>
        <v>1</v>
      </c>
      <c r="W60" s="217">
        <f>2.09</f>
        <v>2.09</v>
      </c>
      <c r="X60" s="217">
        <f>3.53</f>
        <v>3.53</v>
      </c>
      <c r="Y60" s="217">
        <f>0.65+2.13+7+12.57+2.78</f>
        <v>25.130000000000003</v>
      </c>
      <c r="Z60" s="217">
        <f>8.96</f>
        <v>8.9600000000000009</v>
      </c>
      <c r="AA60" s="217">
        <f>1.61</f>
        <v>1.61</v>
      </c>
      <c r="AB60" s="217">
        <v>12.68</v>
      </c>
      <c r="AC60" s="217">
        <f>7.79+2.63</f>
        <v>10.42</v>
      </c>
      <c r="AD60" s="217">
        <v>0</v>
      </c>
      <c r="AE60" s="217">
        <f>17.48</f>
        <v>17.48</v>
      </c>
      <c r="AF60" s="217">
        <v>0</v>
      </c>
      <c r="AG60" s="217">
        <f>26.7</f>
        <v>26.7</v>
      </c>
      <c r="AH60" s="217">
        <f>0.3</f>
        <v>0.3</v>
      </c>
      <c r="AI60" s="217">
        <f>8.69</f>
        <v>8.69</v>
      </c>
      <c r="AJ60" s="217">
        <f>0.19+4.98+20.21+6.45+55.44+6.53</f>
        <v>93.8</v>
      </c>
      <c r="AK60" s="217">
        <v>0</v>
      </c>
      <c r="AL60" s="217">
        <f>3.16</f>
        <v>3.16</v>
      </c>
      <c r="AM60" s="217">
        <v>0</v>
      </c>
      <c r="AN60" s="217">
        <v>0</v>
      </c>
      <c r="AO60" s="217">
        <v>0</v>
      </c>
      <c r="AP60" s="217">
        <f>0.09+0.06</f>
        <v>0.15</v>
      </c>
      <c r="AQ60" s="217">
        <v>0</v>
      </c>
      <c r="AR60" s="217">
        <v>0</v>
      </c>
      <c r="AS60" s="217">
        <v>0</v>
      </c>
      <c r="AT60" s="217">
        <v>0</v>
      </c>
      <c r="AU60" s="217">
        <v>0</v>
      </c>
      <c r="AV60" s="217">
        <v>0</v>
      </c>
      <c r="AW60" s="217">
        <v>0</v>
      </c>
      <c r="AX60" s="217">
        <v>0</v>
      </c>
      <c r="AY60" s="217">
        <f>17.73</f>
        <v>17.73</v>
      </c>
      <c r="AZ60" s="217">
        <v>0</v>
      </c>
      <c r="BA60" s="217">
        <v>0</v>
      </c>
      <c r="BB60" s="217">
        <v>0</v>
      </c>
      <c r="BC60" s="217">
        <v>0</v>
      </c>
      <c r="BD60" s="217">
        <f>7.56</f>
        <v>7.56</v>
      </c>
      <c r="BE60" s="217">
        <f>7.49</f>
        <v>7.49</v>
      </c>
      <c r="BF60" s="217">
        <f>27.8</f>
        <v>27.8</v>
      </c>
      <c r="BG60" s="217">
        <v>0</v>
      </c>
      <c r="BH60" s="217">
        <f>13.52</f>
        <v>13.52</v>
      </c>
      <c r="BI60" s="217">
        <v>0</v>
      </c>
      <c r="BJ60" s="217">
        <f>4.27</f>
        <v>4.2699999999999996</v>
      </c>
      <c r="BK60" s="217">
        <f>23.07</f>
        <v>23.07</v>
      </c>
      <c r="BL60" s="217">
        <f>28.5</f>
        <v>28.5</v>
      </c>
      <c r="BM60" s="217">
        <v>0</v>
      </c>
      <c r="BN60" s="217">
        <v>6.92</v>
      </c>
      <c r="BO60" s="217">
        <f>0.92</f>
        <v>0.92</v>
      </c>
      <c r="BP60" s="217">
        <f>2.03</f>
        <v>2.0299999999999998</v>
      </c>
      <c r="BQ60" s="217">
        <v>0</v>
      </c>
      <c r="BR60" s="217">
        <f>5.34</f>
        <v>5.34</v>
      </c>
      <c r="BS60" s="217">
        <f>1.01</f>
        <v>1.01</v>
      </c>
      <c r="BT60" s="217">
        <f>0.09</f>
        <v>0.09</v>
      </c>
      <c r="BU60" s="217">
        <f>0.36</f>
        <v>0.36</v>
      </c>
      <c r="BV60" s="217">
        <v>10</v>
      </c>
      <c r="BW60" s="217">
        <v>1</v>
      </c>
      <c r="BX60" s="217">
        <f>7.17</f>
        <v>7.17</v>
      </c>
      <c r="BY60" s="217">
        <f>2.35</f>
        <v>2.35</v>
      </c>
      <c r="BZ60" s="217">
        <v>0</v>
      </c>
      <c r="CA60" s="217">
        <v>0</v>
      </c>
      <c r="CB60" s="217">
        <v>0</v>
      </c>
      <c r="CC60" s="217">
        <f>0.03+0.4+2.38+2.44+0.53+0.54+1+0.69</f>
        <v>8.01</v>
      </c>
      <c r="CD60" s="245" t="s">
        <v>221</v>
      </c>
      <c r="CE60" s="247">
        <f t="shared" ref="CE60:CE70" si="0">SUM(C60:CD60)</f>
        <v>550.68000000000006</v>
      </c>
    </row>
    <row r="61" spans="1:84" ht="12.6" customHeight="1" x14ac:dyDescent="0.25">
      <c r="A61" s="171" t="s">
        <v>235</v>
      </c>
      <c r="B61" s="175"/>
      <c r="C61" s="184">
        <v>1193074.3500000001</v>
      </c>
      <c r="D61" s="184">
        <v>0</v>
      </c>
      <c r="E61" s="184">
        <v>4408375.5599999996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1391069.17</v>
      </c>
      <c r="P61" s="185">
        <f>1791755.23+1522509.13</f>
        <v>3314264.36</v>
      </c>
      <c r="Q61" s="185">
        <f>1058208.71</f>
        <v>1058208.71</v>
      </c>
      <c r="R61" s="185">
        <f>141123.09+1112.93</f>
        <v>142236.01999999999</v>
      </c>
      <c r="S61" s="185">
        <f>339938.1</f>
        <v>339938.1</v>
      </c>
      <c r="T61" s="185">
        <v>0</v>
      </c>
      <c r="U61" s="185">
        <f>1402498.19</f>
        <v>1402498.19</v>
      </c>
      <c r="V61" s="185">
        <f>82967.1</f>
        <v>82967.100000000006</v>
      </c>
      <c r="W61" s="185">
        <f>220471.08</f>
        <v>220471.08</v>
      </c>
      <c r="X61" s="185">
        <f>263220.11</f>
        <v>263220.11</v>
      </c>
      <c r="Y61" s="185">
        <f>59005.66+175505.15+407958.22+945380.46+343372.79</f>
        <v>1931222.28</v>
      </c>
      <c r="Z61" s="185">
        <f>645803.13</f>
        <v>645803.13</v>
      </c>
      <c r="AA61" s="185">
        <f>188716.96</f>
        <v>188716.96</v>
      </c>
      <c r="AB61" s="185">
        <f>1200219.76</f>
        <v>1200219.76</v>
      </c>
      <c r="AC61" s="185">
        <f>565593.96+192116.67</f>
        <v>757710.63</v>
      </c>
      <c r="AD61" s="185">
        <v>0</v>
      </c>
      <c r="AE61" s="185">
        <f>1344200.28</f>
        <v>1344200.28</v>
      </c>
      <c r="AF61" s="185">
        <v>0</v>
      </c>
      <c r="AG61" s="185">
        <f>2237603.04</f>
        <v>2237603.04</v>
      </c>
      <c r="AH61" s="185">
        <f>41871.54</f>
        <v>41871.54</v>
      </c>
      <c r="AI61" s="185">
        <f>727411.07</f>
        <v>727411.07</v>
      </c>
      <c r="AJ61" s="185">
        <f>69017.89+542087.24+1273962.95+566393.98+5366520.21+11250+433997.26</f>
        <v>8263229.5299999993</v>
      </c>
      <c r="AK61" s="185">
        <v>0</v>
      </c>
      <c r="AL61" s="185">
        <f>228304.3</f>
        <v>228304.3</v>
      </c>
      <c r="AM61" s="185">
        <v>0</v>
      </c>
      <c r="AN61" s="185">
        <v>0</v>
      </c>
      <c r="AO61" s="185">
        <v>0</v>
      </c>
      <c r="AP61" s="185">
        <f>6560.63+2040.75</f>
        <v>8601.380000000001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752800.68</v>
      </c>
      <c r="AZ61" s="185">
        <v>0</v>
      </c>
      <c r="BA61" s="185">
        <v>0</v>
      </c>
      <c r="BB61" s="185">
        <v>0</v>
      </c>
      <c r="BC61" s="185">
        <v>0</v>
      </c>
      <c r="BD61" s="185">
        <v>403399.25</v>
      </c>
      <c r="BE61" s="185">
        <f>486782.93</f>
        <v>486782.93</v>
      </c>
      <c r="BF61" s="185">
        <f>1008935.73</f>
        <v>1008935.73</v>
      </c>
      <c r="BG61" s="185">
        <v>0</v>
      </c>
      <c r="BH61" s="185">
        <f>1127667.62</f>
        <v>1127667.6200000001</v>
      </c>
      <c r="BI61" s="185">
        <v>0</v>
      </c>
      <c r="BJ61" s="185">
        <v>304988.43</v>
      </c>
      <c r="BK61" s="185">
        <f>1032836.3</f>
        <v>1032836.3</v>
      </c>
      <c r="BL61" s="185">
        <f>1212995.38</f>
        <v>1212995.3799999999</v>
      </c>
      <c r="BM61" s="185">
        <v>0</v>
      </c>
      <c r="BN61" s="185">
        <f>1194821.58</f>
        <v>1194821.58</v>
      </c>
      <c r="BO61" s="185">
        <f>68891.28</f>
        <v>68891.28</v>
      </c>
      <c r="BP61" s="185">
        <f>173179.42</f>
        <v>173179.42</v>
      </c>
      <c r="BQ61" s="185">
        <v>0</v>
      </c>
      <c r="BR61" s="185">
        <f>382415.72</f>
        <v>382415.72</v>
      </c>
      <c r="BS61" s="185">
        <v>49319.86</v>
      </c>
      <c r="BT61" s="185">
        <v>4910.46</v>
      </c>
      <c r="BU61" s="185">
        <v>14526.34</v>
      </c>
      <c r="BV61" s="185">
        <v>424896.33</v>
      </c>
      <c r="BW61" s="185">
        <v>84122.3</v>
      </c>
      <c r="BX61" s="185">
        <v>554910.07999999996</v>
      </c>
      <c r="BY61" s="185">
        <f>74.54+195673.97</f>
        <v>195748.51</v>
      </c>
      <c r="BZ61" s="185">
        <v>0</v>
      </c>
      <c r="CA61" s="185">
        <v>0</v>
      </c>
      <c r="CB61" s="185">
        <f>65290.26+28364.29</f>
        <v>93654.55</v>
      </c>
      <c r="CC61" s="185">
        <f>200.54+34739.68+139855.03+181912.03+54263.86+31261.01-112919.72</f>
        <v>329312.43000000005</v>
      </c>
      <c r="CD61" s="245" t="s">
        <v>221</v>
      </c>
      <c r="CE61" s="195">
        <f t="shared" si="0"/>
        <v>41292331.829999983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334778</v>
      </c>
      <c r="D62" s="195">
        <f t="shared" si="1"/>
        <v>0</v>
      </c>
      <c r="E62" s="195">
        <f t="shared" si="1"/>
        <v>1226151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331857</v>
      </c>
      <c r="P62" s="195">
        <f t="shared" si="1"/>
        <v>629158</v>
      </c>
      <c r="Q62" s="195">
        <f t="shared" si="1"/>
        <v>202123</v>
      </c>
      <c r="R62" s="195">
        <f t="shared" si="1"/>
        <v>36402</v>
      </c>
      <c r="S62" s="195">
        <f t="shared" si="1"/>
        <v>107946</v>
      </c>
      <c r="T62" s="195">
        <f t="shared" si="1"/>
        <v>0</v>
      </c>
      <c r="U62" s="195">
        <f t="shared" si="1"/>
        <v>399965</v>
      </c>
      <c r="V62" s="195">
        <f t="shared" si="1"/>
        <v>21407</v>
      </c>
      <c r="W62" s="195">
        <f t="shared" si="1"/>
        <v>46086</v>
      </c>
      <c r="X62" s="195">
        <f t="shared" si="1"/>
        <v>66782</v>
      </c>
      <c r="Y62" s="195">
        <f t="shared" si="1"/>
        <v>469648</v>
      </c>
      <c r="Z62" s="195">
        <f t="shared" si="1"/>
        <v>203508</v>
      </c>
      <c r="AA62" s="195">
        <f t="shared" si="1"/>
        <v>41133</v>
      </c>
      <c r="AB62" s="195">
        <f t="shared" si="1"/>
        <v>270282</v>
      </c>
      <c r="AC62" s="195">
        <f t="shared" si="1"/>
        <v>192710</v>
      </c>
      <c r="AD62" s="195">
        <f t="shared" si="1"/>
        <v>0</v>
      </c>
      <c r="AE62" s="195">
        <f t="shared" si="1"/>
        <v>334070</v>
      </c>
      <c r="AF62" s="195">
        <f t="shared" si="1"/>
        <v>0</v>
      </c>
      <c r="AG62" s="195">
        <f t="shared" si="1"/>
        <v>519758</v>
      </c>
      <c r="AH62" s="195">
        <f t="shared" si="1"/>
        <v>3774</v>
      </c>
      <c r="AI62" s="195">
        <f t="shared" si="1"/>
        <v>154925</v>
      </c>
      <c r="AJ62" s="195">
        <f t="shared" si="1"/>
        <v>1719467</v>
      </c>
      <c r="AK62" s="195">
        <f t="shared" si="1"/>
        <v>0</v>
      </c>
      <c r="AL62" s="195">
        <f t="shared" si="1"/>
        <v>55558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839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236745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117018</v>
      </c>
      <c r="BE62" s="195">
        <f t="shared" si="1"/>
        <v>143418</v>
      </c>
      <c r="BF62" s="195">
        <f t="shared" si="1"/>
        <v>342203</v>
      </c>
      <c r="BG62" s="195">
        <f t="shared" si="1"/>
        <v>0</v>
      </c>
      <c r="BH62" s="195">
        <f t="shared" si="1"/>
        <v>291370</v>
      </c>
      <c r="BI62" s="195">
        <f t="shared" si="1"/>
        <v>0</v>
      </c>
      <c r="BJ62" s="195">
        <f t="shared" si="1"/>
        <v>82589</v>
      </c>
      <c r="BK62" s="195">
        <f t="shared" si="1"/>
        <v>358079</v>
      </c>
      <c r="BL62" s="195">
        <f t="shared" si="1"/>
        <v>397883</v>
      </c>
      <c r="BM62" s="195">
        <f t="shared" si="1"/>
        <v>0</v>
      </c>
      <c r="BN62" s="195">
        <f t="shared" si="1"/>
        <v>292191</v>
      </c>
      <c r="BO62" s="195">
        <f t="shared" ref="BO62:CC62" si="2">ROUND(BO47+BO48,0)</f>
        <v>21425</v>
      </c>
      <c r="BP62" s="195">
        <f t="shared" si="2"/>
        <v>47033</v>
      </c>
      <c r="BQ62" s="195">
        <f t="shared" si="2"/>
        <v>0</v>
      </c>
      <c r="BR62" s="195">
        <f t="shared" si="2"/>
        <v>144919</v>
      </c>
      <c r="BS62" s="195">
        <f t="shared" si="2"/>
        <v>17637</v>
      </c>
      <c r="BT62" s="195">
        <f t="shared" si="2"/>
        <v>530</v>
      </c>
      <c r="BU62" s="195">
        <f t="shared" si="2"/>
        <v>1592</v>
      </c>
      <c r="BV62" s="195">
        <f t="shared" si="2"/>
        <v>132413</v>
      </c>
      <c r="BW62" s="195">
        <f t="shared" si="2"/>
        <v>21996</v>
      </c>
      <c r="BX62" s="195">
        <f t="shared" si="2"/>
        <v>139218</v>
      </c>
      <c r="BY62" s="195">
        <f t="shared" si="2"/>
        <v>49098</v>
      </c>
      <c r="BZ62" s="195">
        <f t="shared" si="2"/>
        <v>0</v>
      </c>
      <c r="CA62" s="195">
        <f t="shared" si="2"/>
        <v>0</v>
      </c>
      <c r="CB62" s="195">
        <f t="shared" si="2"/>
        <v>31847</v>
      </c>
      <c r="CC62" s="195">
        <f t="shared" si="2"/>
        <v>109069</v>
      </c>
      <c r="CD62" s="245" t="s">
        <v>221</v>
      </c>
      <c r="CE62" s="195">
        <f t="shared" si="0"/>
        <v>10346600</v>
      </c>
      <c r="CF62" s="248"/>
    </row>
    <row r="63" spans="1:84" ht="12.6" customHeight="1" x14ac:dyDescent="0.25">
      <c r="A63" s="171" t="s">
        <v>236</v>
      </c>
      <c r="B63" s="175"/>
      <c r="C63" s="184">
        <v>213.11</v>
      </c>
      <c r="D63" s="184">
        <v>0</v>
      </c>
      <c r="E63" s="184">
        <f>1052.17+637173.18</f>
        <v>638225.35000000009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f>12110.94+348750</f>
        <v>360860.94</v>
      </c>
      <c r="P63" s="185">
        <f>320719.52+98656.72</f>
        <v>419376.24</v>
      </c>
      <c r="Q63" s="185">
        <v>0</v>
      </c>
      <c r="R63" s="185">
        <v>0</v>
      </c>
      <c r="S63" s="185">
        <v>0</v>
      </c>
      <c r="T63" s="185">
        <v>0</v>
      </c>
      <c r="U63" s="185">
        <f>45337.5+241332.5</f>
        <v>286670</v>
      </c>
      <c r="V63" s="185">
        <v>0</v>
      </c>
      <c r="W63" s="185">
        <v>0</v>
      </c>
      <c r="X63" s="185">
        <v>0</v>
      </c>
      <c r="Y63" s="185">
        <f>11254.73</f>
        <v>11254.73</v>
      </c>
      <c r="Z63" s="185">
        <f>20194.98+544199.56</f>
        <v>564394.54</v>
      </c>
      <c r="AA63" s="185">
        <f>28350</f>
        <v>28350</v>
      </c>
      <c r="AB63" s="185">
        <v>0</v>
      </c>
      <c r="AC63" s="185">
        <v>0</v>
      </c>
      <c r="AD63" s="185">
        <v>0</v>
      </c>
      <c r="AE63" s="185">
        <f>19523.76</f>
        <v>19523.759999999998</v>
      </c>
      <c r="AF63" s="185">
        <v>0</v>
      </c>
      <c r="AG63" s="185">
        <f>192126.28+92500</f>
        <v>284626.28000000003</v>
      </c>
      <c r="AH63" s="185">
        <v>0</v>
      </c>
      <c r="AI63" s="185">
        <f>2265</f>
        <v>2265</v>
      </c>
      <c r="AJ63" s="185">
        <f>21442.31+2515.2+282266.37+99324.75+158337+19500</f>
        <v>583385.63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f>93776.48</f>
        <v>93776.48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f>142280.88</f>
        <v>142280.88</v>
      </c>
      <c r="BK63" s="185">
        <f>115748.95</f>
        <v>115748.95</v>
      </c>
      <c r="BL63" s="185">
        <f>12516.18</f>
        <v>12516.18</v>
      </c>
      <c r="BM63" s="185">
        <v>0</v>
      </c>
      <c r="BN63" s="185">
        <f>487728.11</f>
        <v>487728.11</v>
      </c>
      <c r="BO63" s="185">
        <v>0</v>
      </c>
      <c r="BP63" s="185">
        <f>53761.72</f>
        <v>53761.72</v>
      </c>
      <c r="BQ63" s="185">
        <v>0</v>
      </c>
      <c r="BR63" s="185">
        <f>91926.14</f>
        <v>91926.14</v>
      </c>
      <c r="BS63" s="185">
        <v>0</v>
      </c>
      <c r="BT63" s="185">
        <v>0</v>
      </c>
      <c r="BU63" s="185">
        <v>0</v>
      </c>
      <c r="BV63" s="185">
        <v>64055.25</v>
      </c>
      <c r="BW63" s="185">
        <v>2481.5</v>
      </c>
      <c r="BX63" s="185">
        <f>43594.44</f>
        <v>43594.44</v>
      </c>
      <c r="BY63" s="185">
        <f>410</f>
        <v>410</v>
      </c>
      <c r="BZ63" s="185">
        <v>0</v>
      </c>
      <c r="CA63" s="185">
        <v>0</v>
      </c>
      <c r="CB63" s="185">
        <f>819.2</f>
        <v>819.2</v>
      </c>
      <c r="CC63" s="185">
        <f>3196.34+102785.53+45980+1550</f>
        <v>153511.87</v>
      </c>
      <c r="CD63" s="245" t="s">
        <v>221</v>
      </c>
      <c r="CE63" s="195">
        <f t="shared" si="0"/>
        <v>4461756.3000000007</v>
      </c>
      <c r="CF63" s="248"/>
    </row>
    <row r="64" spans="1:84" ht="12.6" customHeight="1" x14ac:dyDescent="0.25">
      <c r="A64" s="171" t="s">
        <v>237</v>
      </c>
      <c r="B64" s="175"/>
      <c r="C64" s="184">
        <v>51322.21</v>
      </c>
      <c r="D64" s="184">
        <v>0</v>
      </c>
      <c r="E64" s="185">
        <f>234581.77+1208.61</f>
        <v>235790.37999999998</v>
      </c>
      <c r="F64" s="185">
        <v>0</v>
      </c>
      <c r="G64" s="184">
        <v>0</v>
      </c>
      <c r="H64" s="184">
        <v>0</v>
      </c>
      <c r="I64" s="185">
        <v>0</v>
      </c>
      <c r="J64" s="185">
        <f>14705.18</f>
        <v>14705.18</v>
      </c>
      <c r="K64" s="185">
        <v>0</v>
      </c>
      <c r="L64" s="185">
        <v>0</v>
      </c>
      <c r="M64" s="184">
        <v>0</v>
      </c>
      <c r="N64" s="184">
        <v>0</v>
      </c>
      <c r="O64" s="184">
        <f>105068.21</f>
        <v>105068.21</v>
      </c>
      <c r="P64" s="185">
        <f>12423014.62+8208.69</f>
        <v>12431223.309999999</v>
      </c>
      <c r="Q64" s="185">
        <f>30071.34</f>
        <v>30071.34</v>
      </c>
      <c r="R64" s="185">
        <f>292.88+212490.42</f>
        <v>212783.30000000002</v>
      </c>
      <c r="S64" s="185">
        <f>132210.67</f>
        <v>132210.67000000001</v>
      </c>
      <c r="T64" s="185">
        <v>0</v>
      </c>
      <c r="U64" s="185">
        <f>1653531.91+6384.71</f>
        <v>1659916.6199999999</v>
      </c>
      <c r="V64" s="185">
        <f>2012.35</f>
        <v>2012.35</v>
      </c>
      <c r="W64" s="185">
        <f>35006.77</f>
        <v>35006.769999999997</v>
      </c>
      <c r="X64" s="185">
        <v>147996.26999999999</v>
      </c>
      <c r="Y64" s="185">
        <f>22576.09+10779.65+15899.57+94758.3+42286.42+12374.51</f>
        <v>198674.53999999998</v>
      </c>
      <c r="Z64" s="185">
        <f>91505.05</f>
        <v>91505.05</v>
      </c>
      <c r="AA64" s="185">
        <f>120173.76</f>
        <v>120173.75999999999</v>
      </c>
      <c r="AB64" s="185">
        <f>5545657.48</f>
        <v>5545657.4800000004</v>
      </c>
      <c r="AC64" s="185">
        <f>111520.14+7287.3</f>
        <v>118807.44</v>
      </c>
      <c r="AD64" s="185">
        <v>0</v>
      </c>
      <c r="AE64" s="185">
        <f>20291.67</f>
        <v>20291.669999999998</v>
      </c>
      <c r="AF64" s="185">
        <v>0</v>
      </c>
      <c r="AG64" s="185">
        <f>319151.27</f>
        <v>319151.27</v>
      </c>
      <c r="AH64" s="185">
        <f>723.22</f>
        <v>723.22</v>
      </c>
      <c r="AI64" s="185">
        <f>26511</f>
        <v>26511</v>
      </c>
      <c r="AJ64" s="185">
        <f>224124.63+89611.15-40.83+74.56+92711.03+3692.88+470914.31+518.09</f>
        <v>881605.82</v>
      </c>
      <c r="AK64" s="185">
        <v>0</v>
      </c>
      <c r="AL64" s="185">
        <f>2140.3</f>
        <v>2140.3000000000002</v>
      </c>
      <c r="AM64" s="185">
        <v>0</v>
      </c>
      <c r="AN64" s="185">
        <v>0</v>
      </c>
      <c r="AO64" s="185">
        <v>0</v>
      </c>
      <c r="AP64" s="185">
        <f>49.75+12987.32</f>
        <v>13037.07</v>
      </c>
      <c r="AQ64" s="185">
        <v>0</v>
      </c>
      <c r="AR64" s="185">
        <f>40.07</f>
        <v>40.07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f>534642.3</f>
        <v>534642.30000000005</v>
      </c>
      <c r="AZ64" s="185">
        <v>0</v>
      </c>
      <c r="BA64" s="185">
        <v>0</v>
      </c>
      <c r="BB64" s="185">
        <v>0</v>
      </c>
      <c r="BC64" s="185">
        <v>0</v>
      </c>
      <c r="BD64" s="185">
        <f>233034.97</f>
        <v>233034.97</v>
      </c>
      <c r="BE64" s="185">
        <f>79988.93</f>
        <v>79988.929999999993</v>
      </c>
      <c r="BF64" s="185">
        <f>218733.17</f>
        <v>218733.17</v>
      </c>
      <c r="BG64" s="185">
        <v>0</v>
      </c>
      <c r="BH64" s="185">
        <f>19465.04</f>
        <v>19465.04</v>
      </c>
      <c r="BI64" s="185">
        <v>0</v>
      </c>
      <c r="BJ64" s="185">
        <f>5032.35</f>
        <v>5032.3500000000004</v>
      </c>
      <c r="BK64" s="185">
        <f>25956.52</f>
        <v>25956.52</v>
      </c>
      <c r="BL64" s="185">
        <f>55367.31</f>
        <v>55367.31</v>
      </c>
      <c r="BM64" s="185">
        <v>0</v>
      </c>
      <c r="BN64" s="185">
        <f>32212.42</f>
        <v>32212.42</v>
      </c>
      <c r="BO64" s="185">
        <f>25886.03</f>
        <v>25886.03</v>
      </c>
      <c r="BP64" s="185">
        <f>57200.01</f>
        <v>57200.01</v>
      </c>
      <c r="BQ64" s="185">
        <v>0</v>
      </c>
      <c r="BR64" s="185">
        <f>6589.19</f>
        <v>6589.19</v>
      </c>
      <c r="BS64" s="185">
        <f>848.05</f>
        <v>848.05</v>
      </c>
      <c r="BT64" s="185">
        <f>203.4</f>
        <v>203.4</v>
      </c>
      <c r="BU64" s="185">
        <v>0</v>
      </c>
      <c r="BV64" s="185">
        <f>8065.95</f>
        <v>8065.95</v>
      </c>
      <c r="BW64" s="185">
        <f>470.8</f>
        <v>470.8</v>
      </c>
      <c r="BX64" s="185">
        <f>3125.89</f>
        <v>3125.89</v>
      </c>
      <c r="BY64" s="185">
        <f>11054.52</f>
        <v>11054.52</v>
      </c>
      <c r="BZ64" s="185">
        <v>0</v>
      </c>
      <c r="CA64" s="185">
        <v>0</v>
      </c>
      <c r="CB64" s="185">
        <f>796.56+1039.46</f>
        <v>1836.02</v>
      </c>
      <c r="CC64" s="185">
        <f>349.56+908.94+2126+17.35+649.04</f>
        <v>4050.89</v>
      </c>
      <c r="CD64" s="245" t="s">
        <v>221</v>
      </c>
      <c r="CE64" s="195">
        <f t="shared" si="0"/>
        <v>23720189.060000006</v>
      </c>
      <c r="CF64" s="248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f>742.45+331.8</f>
        <v>1074.25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300</v>
      </c>
      <c r="P65" s="185">
        <f>585.76+4480.18</f>
        <v>5065.9400000000005</v>
      </c>
      <c r="Q65" s="185">
        <v>0</v>
      </c>
      <c r="R65" s="185">
        <v>49.56</v>
      </c>
      <c r="S65" s="185">
        <v>62.11</v>
      </c>
      <c r="T65" s="185">
        <v>0</v>
      </c>
      <c r="U65" s="185">
        <v>2965.97</v>
      </c>
      <c r="V65" s="185">
        <v>0</v>
      </c>
      <c r="W65" s="185">
        <v>0</v>
      </c>
      <c r="X65" s="185">
        <f>581.01</f>
        <v>581.01</v>
      </c>
      <c r="Y65" s="185">
        <f>600+634.65+369.48</f>
        <v>1604.13</v>
      </c>
      <c r="Z65" s="185">
        <v>281.02</v>
      </c>
      <c r="AA65" s="185">
        <v>0</v>
      </c>
      <c r="AB65" s="185">
        <f>850.06</f>
        <v>850.06</v>
      </c>
      <c r="AC65" s="185">
        <f>795.72</f>
        <v>795.72</v>
      </c>
      <c r="AD65" s="185">
        <v>0</v>
      </c>
      <c r="AE65" s="185">
        <f>128.02</f>
        <v>128.02000000000001</v>
      </c>
      <c r="AF65" s="185">
        <v>0</v>
      </c>
      <c r="AG65" s="185">
        <f>931.75</f>
        <v>931.75</v>
      </c>
      <c r="AH65" s="185">
        <f>3700.88</f>
        <v>3700.88</v>
      </c>
      <c r="AI65" s="185">
        <f>12428.97</f>
        <v>12428.97</v>
      </c>
      <c r="AJ65" s="185">
        <f>972.84-159.46+3652.58+64.01+15718.71+3109.05+300</f>
        <v>23657.73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f>316.31</f>
        <v>316.31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f>501.61</f>
        <v>501.61</v>
      </c>
      <c r="AZ65" s="185">
        <v>0</v>
      </c>
      <c r="BA65" s="185">
        <v>0</v>
      </c>
      <c r="BB65" s="185">
        <v>0</v>
      </c>
      <c r="BC65" s="185">
        <v>0</v>
      </c>
      <c r="BD65" s="185">
        <f>338.75</f>
        <v>338.75</v>
      </c>
      <c r="BE65" s="185">
        <f>592508.79</f>
        <v>592508.79</v>
      </c>
      <c r="BF65" s="185">
        <f>62476.61</f>
        <v>62476.61</v>
      </c>
      <c r="BG65" s="185">
        <v>0</v>
      </c>
      <c r="BH65" s="185">
        <f>164253.93</f>
        <v>164253.93</v>
      </c>
      <c r="BI65" s="185">
        <v>0</v>
      </c>
      <c r="BJ65" s="185">
        <v>0</v>
      </c>
      <c r="BK65" s="185">
        <v>1378.4</v>
      </c>
      <c r="BL65" s="185">
        <f>985.52</f>
        <v>985.52</v>
      </c>
      <c r="BM65" s="185">
        <v>0</v>
      </c>
      <c r="BN65" s="185">
        <f>58.59</f>
        <v>58.59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f>316.31</f>
        <v>316.31</v>
      </c>
      <c r="BU65" s="185">
        <v>0</v>
      </c>
      <c r="BV65" s="185">
        <v>0</v>
      </c>
      <c r="BW65" s="185">
        <v>0</v>
      </c>
      <c r="BX65" s="185">
        <f>765.14</f>
        <v>765.14</v>
      </c>
      <c r="BY65" s="185">
        <f>932.55</f>
        <v>932.55</v>
      </c>
      <c r="BZ65" s="185">
        <v>0</v>
      </c>
      <c r="CA65" s="185">
        <v>0</v>
      </c>
      <c r="CB65" s="185">
        <v>0</v>
      </c>
      <c r="CC65" s="185">
        <f>12.63+35180.37+258.24+87792.26+5891.61</f>
        <v>129135.11</v>
      </c>
      <c r="CD65" s="245" t="s">
        <v>221</v>
      </c>
      <c r="CE65" s="195">
        <f t="shared" si="0"/>
        <v>1008444.7400000002</v>
      </c>
      <c r="CF65" s="248"/>
    </row>
    <row r="66" spans="1:84" ht="12.6" customHeight="1" x14ac:dyDescent="0.25">
      <c r="A66" s="171" t="s">
        <v>239</v>
      </c>
      <c r="B66" s="175"/>
      <c r="C66" s="184">
        <v>938.2</v>
      </c>
      <c r="D66" s="184">
        <v>0</v>
      </c>
      <c r="E66" s="184">
        <v>17339.22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75160.86</v>
      </c>
      <c r="P66" s="185">
        <f>671692.85+36754.71</f>
        <v>708447.55999999994</v>
      </c>
      <c r="Q66" s="185">
        <f>54441.5</f>
        <v>54441.5</v>
      </c>
      <c r="R66" s="185">
        <f>1143.01</f>
        <v>1143.01</v>
      </c>
      <c r="S66" s="184">
        <f>306.87</f>
        <v>306.87</v>
      </c>
      <c r="T66" s="184">
        <v>0</v>
      </c>
      <c r="U66" s="185">
        <f>767755.21</f>
        <v>767755.21</v>
      </c>
      <c r="V66" s="185">
        <f>5073.7</f>
        <v>5073.7</v>
      </c>
      <c r="W66" s="185">
        <f>96367.9</f>
        <v>96367.9</v>
      </c>
      <c r="X66" s="185">
        <f>114364.96</f>
        <v>114364.96</v>
      </c>
      <c r="Y66" s="185">
        <f>142268.74+280913.18+36167.19+394431</f>
        <v>853780.11</v>
      </c>
      <c r="Z66" s="185">
        <f>13132.37</f>
        <v>13132.37</v>
      </c>
      <c r="AA66" s="185">
        <f>40637.98</f>
        <v>40637.980000000003</v>
      </c>
      <c r="AB66" s="185">
        <f>244327.97</f>
        <v>244327.97</v>
      </c>
      <c r="AC66" s="185">
        <f>10949.61+668.55</f>
        <v>11618.16</v>
      </c>
      <c r="AD66" s="185">
        <v>0</v>
      </c>
      <c r="AE66" s="185">
        <v>38299.879999999997</v>
      </c>
      <c r="AF66" s="185">
        <v>0</v>
      </c>
      <c r="AG66" s="185">
        <f>36627.16</f>
        <v>36627.160000000003</v>
      </c>
      <c r="AH66" s="185">
        <f>2653.86</f>
        <v>2653.86</v>
      </c>
      <c r="AI66" s="185">
        <f>83968.76</f>
        <v>83968.76</v>
      </c>
      <c r="AJ66" s="185">
        <f>585434.75+65923.2+291496.46+55507+246036.75+537.5</f>
        <v>1244935.6599999999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f>101.8</f>
        <v>101.8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f>187117.6</f>
        <v>187117.6</v>
      </c>
      <c r="AY66" s="185">
        <f>105111.42</f>
        <v>105111.42</v>
      </c>
      <c r="AZ66" s="185">
        <v>0</v>
      </c>
      <c r="BA66" s="185">
        <f>276416.34</f>
        <v>276416.34000000003</v>
      </c>
      <c r="BB66" s="185">
        <v>0</v>
      </c>
      <c r="BC66" s="185">
        <v>0</v>
      </c>
      <c r="BD66" s="185">
        <f>15200.87</f>
        <v>15200.87</v>
      </c>
      <c r="BE66" s="185">
        <f>568900.45</f>
        <v>568900.44999999995</v>
      </c>
      <c r="BF66" s="185">
        <f>107947.99</f>
        <v>107947.99</v>
      </c>
      <c r="BG66" s="185">
        <v>0</v>
      </c>
      <c r="BH66" s="185">
        <f>791327.76</f>
        <v>791327.76</v>
      </c>
      <c r="BI66" s="185">
        <v>0</v>
      </c>
      <c r="BJ66" s="185">
        <f>127432.27</f>
        <v>127432.27</v>
      </c>
      <c r="BK66" s="185">
        <f>240007.1</f>
        <v>240007.1</v>
      </c>
      <c r="BL66" s="185">
        <f>75346.09</f>
        <v>75346.09</v>
      </c>
      <c r="BM66" s="185">
        <v>0</v>
      </c>
      <c r="BN66" s="185">
        <f>35281.31</f>
        <v>35281.31</v>
      </c>
      <c r="BO66" s="185">
        <f>44040.87</f>
        <v>44040.87</v>
      </c>
      <c r="BP66" s="185">
        <f>153752.63</f>
        <v>153752.63</v>
      </c>
      <c r="BQ66" s="185">
        <v>0</v>
      </c>
      <c r="BR66" s="185">
        <f>92349.1</f>
        <v>92349.1</v>
      </c>
      <c r="BS66" s="185">
        <v>0</v>
      </c>
      <c r="BT66" s="185">
        <v>0</v>
      </c>
      <c r="BU66" s="185">
        <v>0</v>
      </c>
      <c r="BV66" s="185">
        <f>136357.4</f>
        <v>136357.4</v>
      </c>
      <c r="BW66" s="185">
        <v>0</v>
      </c>
      <c r="BX66" s="185">
        <f>31732.67</f>
        <v>31732.67</v>
      </c>
      <c r="BY66" s="185">
        <f>20705.83</f>
        <v>20705.830000000002</v>
      </c>
      <c r="BZ66" s="185">
        <v>0</v>
      </c>
      <c r="CA66" s="185">
        <v>0</v>
      </c>
      <c r="CB66" s="185">
        <v>0</v>
      </c>
      <c r="CC66" s="185">
        <f>120962.91+3542.96+6649.2+11400.88+69999+232714.24+15+3812.5+2800.9+676.77+5344.09</f>
        <v>457918.45000000007</v>
      </c>
      <c r="CD66" s="245" t="s">
        <v>221</v>
      </c>
      <c r="CE66" s="195">
        <f t="shared" si="0"/>
        <v>7878368.8499999978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92226</v>
      </c>
      <c r="D67" s="195">
        <f>ROUND(D51+D52,0)</f>
        <v>0</v>
      </c>
      <c r="E67" s="195">
        <f t="shared" ref="E67:BP67" si="3">ROUND(E51+E52,0)</f>
        <v>204749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68467</v>
      </c>
      <c r="P67" s="195">
        <f t="shared" si="3"/>
        <v>472678</v>
      </c>
      <c r="Q67" s="195">
        <f t="shared" si="3"/>
        <v>6192</v>
      </c>
      <c r="R67" s="195">
        <f t="shared" si="3"/>
        <v>30666</v>
      </c>
      <c r="S67" s="195">
        <f t="shared" si="3"/>
        <v>52028</v>
      </c>
      <c r="T67" s="195">
        <f t="shared" si="3"/>
        <v>0</v>
      </c>
      <c r="U67" s="195">
        <f t="shared" si="3"/>
        <v>74750</v>
      </c>
      <c r="V67" s="195">
        <f t="shared" si="3"/>
        <v>3275</v>
      </c>
      <c r="W67" s="195">
        <f t="shared" si="3"/>
        <v>65154</v>
      </c>
      <c r="X67" s="195">
        <f t="shared" si="3"/>
        <v>116040</v>
      </c>
      <c r="Y67" s="195">
        <f t="shared" si="3"/>
        <v>253072</v>
      </c>
      <c r="Z67" s="195">
        <f t="shared" si="3"/>
        <v>105936</v>
      </c>
      <c r="AA67" s="195">
        <f t="shared" si="3"/>
        <v>5184</v>
      </c>
      <c r="AB67" s="195">
        <f t="shared" si="3"/>
        <v>100103</v>
      </c>
      <c r="AC67" s="195">
        <f t="shared" si="3"/>
        <v>48402</v>
      </c>
      <c r="AD67" s="195">
        <f t="shared" si="3"/>
        <v>0</v>
      </c>
      <c r="AE67" s="195">
        <f t="shared" si="3"/>
        <v>56190</v>
      </c>
      <c r="AF67" s="195">
        <f t="shared" si="3"/>
        <v>0</v>
      </c>
      <c r="AG67" s="195">
        <f t="shared" si="3"/>
        <v>76740</v>
      </c>
      <c r="AH67" s="195">
        <f t="shared" si="3"/>
        <v>636</v>
      </c>
      <c r="AI67" s="195">
        <f t="shared" si="3"/>
        <v>17194</v>
      </c>
      <c r="AJ67" s="195">
        <f t="shared" si="3"/>
        <v>181534</v>
      </c>
      <c r="AK67" s="195">
        <f t="shared" si="3"/>
        <v>0</v>
      </c>
      <c r="AL67" s="195">
        <f t="shared" si="3"/>
        <v>252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7642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50244</v>
      </c>
      <c r="AZ67" s="195">
        <f>ROUND(AZ51+AZ52,0)</f>
        <v>0</v>
      </c>
      <c r="BA67" s="195">
        <f>ROUND(BA51+BA52,0)</f>
        <v>1943</v>
      </c>
      <c r="BB67" s="195">
        <f t="shared" si="3"/>
        <v>0</v>
      </c>
      <c r="BC67" s="195">
        <f t="shared" si="3"/>
        <v>0</v>
      </c>
      <c r="BD67" s="195">
        <f t="shared" si="3"/>
        <v>40108</v>
      </c>
      <c r="BE67" s="195">
        <f t="shared" si="3"/>
        <v>183669</v>
      </c>
      <c r="BF67" s="195">
        <f t="shared" si="3"/>
        <v>24829</v>
      </c>
      <c r="BG67" s="195">
        <f t="shared" si="3"/>
        <v>0</v>
      </c>
      <c r="BH67" s="195">
        <f t="shared" si="3"/>
        <v>1037764</v>
      </c>
      <c r="BI67" s="195">
        <f t="shared" si="3"/>
        <v>0</v>
      </c>
      <c r="BJ67" s="195">
        <f t="shared" si="3"/>
        <v>17502</v>
      </c>
      <c r="BK67" s="195">
        <f t="shared" si="3"/>
        <v>26070</v>
      </c>
      <c r="BL67" s="195">
        <f t="shared" si="3"/>
        <v>116619</v>
      </c>
      <c r="BM67" s="195">
        <f t="shared" si="3"/>
        <v>0</v>
      </c>
      <c r="BN67" s="195">
        <f t="shared" si="3"/>
        <v>12222</v>
      </c>
      <c r="BO67" s="195">
        <f t="shared" si="3"/>
        <v>0</v>
      </c>
      <c r="BP67" s="195">
        <f t="shared" si="3"/>
        <v>4293</v>
      </c>
      <c r="BQ67" s="195">
        <f t="shared" ref="BQ67:CC67" si="4">ROUND(BQ51+BQ52,0)</f>
        <v>0</v>
      </c>
      <c r="BR67" s="195">
        <f t="shared" si="4"/>
        <v>8075</v>
      </c>
      <c r="BS67" s="195">
        <f t="shared" si="4"/>
        <v>7628</v>
      </c>
      <c r="BT67" s="195">
        <f t="shared" si="4"/>
        <v>2647</v>
      </c>
      <c r="BU67" s="195">
        <f t="shared" si="4"/>
        <v>3777</v>
      </c>
      <c r="BV67" s="195">
        <f t="shared" si="4"/>
        <v>10156</v>
      </c>
      <c r="BW67" s="195">
        <f t="shared" si="4"/>
        <v>1665</v>
      </c>
      <c r="BX67" s="195">
        <f t="shared" si="4"/>
        <v>2710</v>
      </c>
      <c r="BY67" s="195">
        <f t="shared" si="4"/>
        <v>4257</v>
      </c>
      <c r="BZ67" s="195">
        <f t="shared" si="4"/>
        <v>0</v>
      </c>
      <c r="CA67" s="195">
        <f t="shared" si="4"/>
        <v>0</v>
      </c>
      <c r="CB67" s="195">
        <f t="shared" si="4"/>
        <v>4352</v>
      </c>
      <c r="CC67" s="195">
        <f t="shared" si="4"/>
        <v>1210080</v>
      </c>
      <c r="CD67" s="245" t="s">
        <v>221</v>
      </c>
      <c r="CE67" s="195">
        <f t="shared" si="0"/>
        <v>4809720</v>
      </c>
      <c r="CF67" s="248"/>
    </row>
    <row r="68" spans="1:84" ht="12.6" customHeight="1" x14ac:dyDescent="0.25">
      <c r="A68" s="171" t="s">
        <v>240</v>
      </c>
      <c r="B68" s="175"/>
      <c r="C68" s="184">
        <v>1586.32</v>
      </c>
      <c r="D68" s="184">
        <v>0</v>
      </c>
      <c r="E68" s="184">
        <f>17221.19</f>
        <v>17221.189999999999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f>4503.87+91812.74</f>
        <v>96316.61</v>
      </c>
      <c r="Q68" s="185">
        <v>0</v>
      </c>
      <c r="R68" s="185">
        <v>0</v>
      </c>
      <c r="S68" s="185">
        <v>0</v>
      </c>
      <c r="T68" s="185">
        <v>0</v>
      </c>
      <c r="U68" s="185">
        <f>152457.7</f>
        <v>152457.70000000001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f>385.4</f>
        <v>385.4</v>
      </c>
      <c r="AD68" s="185">
        <v>0</v>
      </c>
      <c r="AE68" s="185">
        <f>24757.75</f>
        <v>24757.75</v>
      </c>
      <c r="AF68" s="185">
        <v>0</v>
      </c>
      <c r="AG68" s="185">
        <v>0</v>
      </c>
      <c r="AH68" s="185">
        <v>0</v>
      </c>
      <c r="AI68" s="185">
        <f>121520.48</f>
        <v>121520.48</v>
      </c>
      <c r="AJ68" s="185">
        <f>378263.23+21600</f>
        <v>399863.23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f>4630</f>
        <v>4630</v>
      </c>
      <c r="BF68" s="185">
        <v>0</v>
      </c>
      <c r="BG68" s="185">
        <v>0</v>
      </c>
      <c r="BH68" s="185">
        <f>10286.04</f>
        <v>10286.040000000001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f>262.5</f>
        <v>262.5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317919</v>
      </c>
      <c r="CD68" s="245" t="s">
        <v>221</v>
      </c>
      <c r="CE68" s="195">
        <f t="shared" si="0"/>
        <v>1147206.22</v>
      </c>
      <c r="CF68" s="248"/>
    </row>
    <row r="69" spans="1:84" ht="12.6" customHeight="1" x14ac:dyDescent="0.25">
      <c r="A69" s="171" t="s">
        <v>241</v>
      </c>
      <c r="B69" s="175"/>
      <c r="C69" s="184">
        <v>738</v>
      </c>
      <c r="D69" s="184">
        <v>0</v>
      </c>
      <c r="E69" s="185">
        <v>1787.97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f>3289.1</f>
        <v>3289.1</v>
      </c>
      <c r="P69" s="185">
        <f>17722.13+35818.19</f>
        <v>53540.320000000007</v>
      </c>
      <c r="Q69" s="185">
        <f>135</f>
        <v>135</v>
      </c>
      <c r="R69" s="220">
        <v>0</v>
      </c>
      <c r="S69" s="185">
        <f>2805.14</f>
        <v>2805.14</v>
      </c>
      <c r="T69" s="184">
        <v>0</v>
      </c>
      <c r="U69" s="185">
        <f>2102.58</f>
        <v>2102.58</v>
      </c>
      <c r="V69" s="185">
        <v>0</v>
      </c>
      <c r="W69" s="184">
        <v>0</v>
      </c>
      <c r="X69" s="185">
        <v>0</v>
      </c>
      <c r="Y69" s="185">
        <f>2777.63+15272.63</f>
        <v>18050.259999999998</v>
      </c>
      <c r="Z69" s="185">
        <f>1851.13</f>
        <v>1851.13</v>
      </c>
      <c r="AA69" s="185">
        <v>0</v>
      </c>
      <c r="AB69" s="185">
        <f>7784.54</f>
        <v>7784.54</v>
      </c>
      <c r="AC69" s="185">
        <f>3173.41+538.45</f>
        <v>3711.8599999999997</v>
      </c>
      <c r="AD69" s="185">
        <v>0</v>
      </c>
      <c r="AE69" s="185">
        <f>7085.77</f>
        <v>7085.77</v>
      </c>
      <c r="AF69" s="185">
        <v>0</v>
      </c>
      <c r="AG69" s="185">
        <f>6052.54</f>
        <v>6052.54</v>
      </c>
      <c r="AH69" s="185">
        <f>3936.57</f>
        <v>3936.57</v>
      </c>
      <c r="AI69" s="185">
        <f>15081.26</f>
        <v>15081.26</v>
      </c>
      <c r="AJ69" s="185">
        <f>79.32+12835.92+182.63+49463.77+8135.55+162704.47+950.26</f>
        <v>234351.92</v>
      </c>
      <c r="AK69" s="185">
        <v>0</v>
      </c>
      <c r="AL69" s="185">
        <f>676</f>
        <v>676</v>
      </c>
      <c r="AM69" s="185">
        <v>0</v>
      </c>
      <c r="AN69" s="185">
        <v>0</v>
      </c>
      <c r="AO69" s="184">
        <v>0</v>
      </c>
      <c r="AP69" s="185">
        <f>1498.33</f>
        <v>1498.33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f>19471.97</f>
        <v>19471.97</v>
      </c>
      <c r="AZ69" s="185">
        <v>0</v>
      </c>
      <c r="BA69" s="185">
        <v>0</v>
      </c>
      <c r="BB69" s="185">
        <v>0</v>
      </c>
      <c r="BC69" s="185">
        <v>0</v>
      </c>
      <c r="BD69" s="185">
        <f>11258.95</f>
        <v>11258.95</v>
      </c>
      <c r="BE69" s="185">
        <f>3237.99</f>
        <v>3237.99</v>
      </c>
      <c r="BF69" s="185">
        <f>-245.15</f>
        <v>-245.15</v>
      </c>
      <c r="BG69" s="185">
        <v>0</v>
      </c>
      <c r="BH69" s="220">
        <f>1668.1</f>
        <v>1668.1</v>
      </c>
      <c r="BI69" s="185">
        <v>0</v>
      </c>
      <c r="BJ69" s="185">
        <f>404.95</f>
        <v>404.95</v>
      </c>
      <c r="BK69" s="185">
        <f>569.78</f>
        <v>569.78</v>
      </c>
      <c r="BL69" s="185">
        <f>10538.9</f>
        <v>10538.9</v>
      </c>
      <c r="BM69" s="185">
        <v>0</v>
      </c>
      <c r="BN69" s="185">
        <f>179318.42</f>
        <v>179318.42</v>
      </c>
      <c r="BO69" s="185">
        <v>0</v>
      </c>
      <c r="BP69" s="185">
        <f>1356.57</f>
        <v>1356.57</v>
      </c>
      <c r="BQ69" s="185">
        <v>0</v>
      </c>
      <c r="BR69" s="185">
        <f>36750.14</f>
        <v>36750.14</v>
      </c>
      <c r="BS69" s="185">
        <f>3964.66</f>
        <v>3964.66</v>
      </c>
      <c r="BT69" s="185">
        <f>240</f>
        <v>240</v>
      </c>
      <c r="BU69" s="185">
        <v>4849.33</v>
      </c>
      <c r="BV69" s="185">
        <v>4545.07</v>
      </c>
      <c r="BW69" s="185">
        <f>8414.64</f>
        <v>8414.64</v>
      </c>
      <c r="BX69" s="185">
        <f>4325.91</f>
        <v>4325.91</v>
      </c>
      <c r="BY69" s="185">
        <f>9800.53+61498.96</f>
        <v>71299.490000000005</v>
      </c>
      <c r="BZ69" s="185">
        <v>0</v>
      </c>
      <c r="CA69" s="185">
        <v>0</v>
      </c>
      <c r="CB69" s="185">
        <f>93.07+1683.3</f>
        <v>1776.37</v>
      </c>
      <c r="CC69" s="185">
        <f>4033.9+97.96+1600.77+526560.41+939.81+479308.81+368383.02+4190.04+36462.32+318.96+16791.44+735.32+465</f>
        <v>1439887.7600000002</v>
      </c>
      <c r="CD69" s="188">
        <v>0</v>
      </c>
      <c r="CE69" s="195">
        <f t="shared" si="0"/>
        <v>2168112.14</v>
      </c>
      <c r="CF69" s="248"/>
    </row>
    <row r="70" spans="1:84" ht="12.6" customHeight="1" x14ac:dyDescent="0.25">
      <c r="A70" s="171" t="s">
        <v>242</v>
      </c>
      <c r="B70" s="175"/>
      <c r="C70" s="184">
        <f>18361.41</f>
        <v>18361.41</v>
      </c>
      <c r="D70" s="184">
        <v>0</v>
      </c>
      <c r="E70" s="184">
        <f>5240</f>
        <v>5240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f>2962.12</f>
        <v>2962.12</v>
      </c>
      <c r="Q70" s="184">
        <v>0</v>
      </c>
      <c r="R70" s="184">
        <v>0</v>
      </c>
      <c r="S70" s="184">
        <v>82.5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f>41887.5</f>
        <v>41887.5</v>
      </c>
      <c r="AA70" s="185">
        <f>25</f>
        <v>25</v>
      </c>
      <c r="AB70" s="185">
        <f>537.74</f>
        <v>537.74</v>
      </c>
      <c r="AC70" s="185">
        <f>11420+50</f>
        <v>11470</v>
      </c>
      <c r="AD70" s="185">
        <v>0</v>
      </c>
      <c r="AE70" s="185">
        <f>15610</f>
        <v>15610</v>
      </c>
      <c r="AF70" s="185">
        <v>0</v>
      </c>
      <c r="AG70" s="185">
        <f>4310</f>
        <v>4310</v>
      </c>
      <c r="AH70" s="185">
        <v>0</v>
      </c>
      <c r="AI70" s="185">
        <f>16405</f>
        <v>16405</v>
      </c>
      <c r="AJ70" s="185">
        <f>64857.88+200+116.43+4102.73+37.6</f>
        <v>69314.64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f>7894+11230</f>
        <v>19124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f>29386.42</f>
        <v>29386.42</v>
      </c>
      <c r="AW70" s="185">
        <v>0</v>
      </c>
      <c r="AX70" s="185">
        <v>0</v>
      </c>
      <c r="AY70" s="185">
        <f>437999.27</f>
        <v>437999.27</v>
      </c>
      <c r="AZ70" s="185">
        <v>0</v>
      </c>
      <c r="BA70" s="185">
        <v>5387.68</v>
      </c>
      <c r="BB70" s="185">
        <v>0</v>
      </c>
      <c r="BC70" s="185">
        <v>0</v>
      </c>
      <c r="BD70" s="185">
        <f>82156.51+17667.21</f>
        <v>99823.72</v>
      </c>
      <c r="BE70" s="185">
        <f>8813.31</f>
        <v>8813.31</v>
      </c>
      <c r="BF70" s="185">
        <f>1050</f>
        <v>1050</v>
      </c>
      <c r="BG70" s="185">
        <v>0</v>
      </c>
      <c r="BH70" s="185">
        <v>0</v>
      </c>
      <c r="BI70" s="185">
        <v>0</v>
      </c>
      <c r="BJ70" s="185">
        <f>4992</f>
        <v>4992</v>
      </c>
      <c r="BK70" s="185">
        <f>859</f>
        <v>859</v>
      </c>
      <c r="BL70" s="185">
        <f>14800</f>
        <v>14800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f>10100</f>
        <v>10100</v>
      </c>
      <c r="BU70" s="185">
        <v>0</v>
      </c>
      <c r="BV70" s="185">
        <v>0</v>
      </c>
      <c r="BW70" s="185">
        <v>0</v>
      </c>
      <c r="BX70" s="185">
        <v>0</v>
      </c>
      <c r="BY70" s="185">
        <f>5000</f>
        <v>5000</v>
      </c>
      <c r="BZ70" s="185">
        <v>0</v>
      </c>
      <c r="CA70" s="185">
        <v>0</v>
      </c>
      <c r="CB70" s="185">
        <f>38399+60139.15</f>
        <v>98538.15</v>
      </c>
      <c r="CC70" s="185">
        <f>1000+42450+3074.92</f>
        <v>46524.92</v>
      </c>
      <c r="CD70" s="188">
        <v>0</v>
      </c>
      <c r="CE70" s="195">
        <f t="shared" si="0"/>
        <v>968604.38000000024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1656514.7800000003</v>
      </c>
      <c r="D71" s="195">
        <f t="shared" ref="D71:AI71" si="5">SUM(D61:D69)-D70</f>
        <v>0</v>
      </c>
      <c r="E71" s="195">
        <f t="shared" si="5"/>
        <v>6745473.9199999999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14705.18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2336072.2799999998</v>
      </c>
      <c r="P71" s="195">
        <f t="shared" si="5"/>
        <v>18127108.219999995</v>
      </c>
      <c r="Q71" s="195">
        <f t="shared" si="5"/>
        <v>1351171.55</v>
      </c>
      <c r="R71" s="195">
        <f t="shared" si="5"/>
        <v>423279.89</v>
      </c>
      <c r="S71" s="195">
        <f t="shared" si="5"/>
        <v>635214.39</v>
      </c>
      <c r="T71" s="195">
        <f t="shared" si="5"/>
        <v>0</v>
      </c>
      <c r="U71" s="195">
        <f t="shared" si="5"/>
        <v>4749081.2700000005</v>
      </c>
      <c r="V71" s="195">
        <f t="shared" si="5"/>
        <v>114735.15000000001</v>
      </c>
      <c r="W71" s="195">
        <f t="shared" si="5"/>
        <v>463085.75</v>
      </c>
      <c r="X71" s="195">
        <f t="shared" si="5"/>
        <v>708984.35</v>
      </c>
      <c r="Y71" s="195">
        <f t="shared" si="5"/>
        <v>3737306.05</v>
      </c>
      <c r="Z71" s="195">
        <f t="shared" si="5"/>
        <v>1584523.74</v>
      </c>
      <c r="AA71" s="195">
        <f t="shared" si="5"/>
        <v>424170.69999999995</v>
      </c>
      <c r="AB71" s="195">
        <f t="shared" si="5"/>
        <v>7368687.0699999994</v>
      </c>
      <c r="AC71" s="195">
        <f t="shared" si="5"/>
        <v>1122671.21</v>
      </c>
      <c r="AD71" s="195">
        <f t="shared" si="5"/>
        <v>0</v>
      </c>
      <c r="AE71" s="195">
        <f t="shared" si="5"/>
        <v>1828937.13</v>
      </c>
      <c r="AF71" s="195">
        <f t="shared" si="5"/>
        <v>0</v>
      </c>
      <c r="AG71" s="195">
        <f t="shared" si="5"/>
        <v>3477180.0400000005</v>
      </c>
      <c r="AH71" s="195">
        <f t="shared" si="5"/>
        <v>57296.07</v>
      </c>
      <c r="AI71" s="195">
        <f t="shared" si="5"/>
        <v>1144900.54</v>
      </c>
      <c r="AJ71" s="195">
        <f t="shared" ref="AJ71:BO71" si="6">SUM(AJ61:AJ69)-AJ70</f>
        <v>13462715.880000001</v>
      </c>
      <c r="AK71" s="195">
        <f t="shared" si="6"/>
        <v>0</v>
      </c>
      <c r="AL71" s="195">
        <f t="shared" si="6"/>
        <v>286930.59999999998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12911.89</v>
      </c>
      <c r="AQ71" s="195">
        <f t="shared" si="6"/>
        <v>0</v>
      </c>
      <c r="AR71" s="195">
        <f t="shared" si="6"/>
        <v>40.07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-29386.42</v>
      </c>
      <c r="AW71" s="195">
        <f t="shared" si="6"/>
        <v>0</v>
      </c>
      <c r="AX71" s="195">
        <f t="shared" si="6"/>
        <v>187117.6</v>
      </c>
      <c r="AY71" s="195">
        <f t="shared" si="6"/>
        <v>1355294.1900000002</v>
      </c>
      <c r="AZ71" s="195">
        <f t="shared" si="6"/>
        <v>0</v>
      </c>
      <c r="BA71" s="195">
        <f t="shared" si="6"/>
        <v>272971.66000000003</v>
      </c>
      <c r="BB71" s="195">
        <f t="shared" si="6"/>
        <v>0</v>
      </c>
      <c r="BC71" s="195">
        <f t="shared" si="6"/>
        <v>0</v>
      </c>
      <c r="BD71" s="195">
        <f t="shared" si="6"/>
        <v>720535.07</v>
      </c>
      <c r="BE71" s="195">
        <f t="shared" si="6"/>
        <v>2054322.7799999998</v>
      </c>
      <c r="BF71" s="195">
        <f t="shared" si="6"/>
        <v>1763830.35</v>
      </c>
      <c r="BG71" s="195">
        <f t="shared" si="6"/>
        <v>0</v>
      </c>
      <c r="BH71" s="195">
        <f t="shared" si="6"/>
        <v>3443802.49</v>
      </c>
      <c r="BI71" s="195">
        <f t="shared" si="6"/>
        <v>0</v>
      </c>
      <c r="BJ71" s="195">
        <f t="shared" si="6"/>
        <v>675237.88</v>
      </c>
      <c r="BK71" s="195">
        <f t="shared" si="6"/>
        <v>1799787.05</v>
      </c>
      <c r="BL71" s="195">
        <f t="shared" si="6"/>
        <v>1867451.38</v>
      </c>
      <c r="BM71" s="195">
        <f t="shared" si="6"/>
        <v>0</v>
      </c>
      <c r="BN71" s="195">
        <f t="shared" si="6"/>
        <v>2234095.9300000002</v>
      </c>
      <c r="BO71" s="195">
        <f t="shared" si="6"/>
        <v>160243.18</v>
      </c>
      <c r="BP71" s="195">
        <f t="shared" ref="BP71:CC71" si="7">SUM(BP61:BP69)-BP70</f>
        <v>490576.35000000003</v>
      </c>
      <c r="BQ71" s="195">
        <f t="shared" si="7"/>
        <v>0</v>
      </c>
      <c r="BR71" s="195">
        <f t="shared" si="7"/>
        <v>763024.28999999992</v>
      </c>
      <c r="BS71" s="195">
        <f t="shared" si="7"/>
        <v>79397.570000000007</v>
      </c>
      <c r="BT71" s="195">
        <f t="shared" si="7"/>
        <v>-1252.83</v>
      </c>
      <c r="BU71" s="195">
        <f t="shared" si="7"/>
        <v>24744.67</v>
      </c>
      <c r="BV71" s="195">
        <f t="shared" si="7"/>
        <v>780489</v>
      </c>
      <c r="BW71" s="195">
        <f t="shared" si="7"/>
        <v>119150.24</v>
      </c>
      <c r="BX71" s="195">
        <f t="shared" si="7"/>
        <v>780382.13000000012</v>
      </c>
      <c r="BY71" s="195">
        <f t="shared" si="7"/>
        <v>348505.89999999997</v>
      </c>
      <c r="BZ71" s="195">
        <f t="shared" si="7"/>
        <v>0</v>
      </c>
      <c r="CA71" s="195">
        <f t="shared" si="7"/>
        <v>0</v>
      </c>
      <c r="CB71" s="195">
        <f t="shared" si="7"/>
        <v>35746.99000000002</v>
      </c>
      <c r="CC71" s="195">
        <f t="shared" si="7"/>
        <v>4104359.5900000003</v>
      </c>
      <c r="CD71" s="241">
        <f>CD69-CD70</f>
        <v>0</v>
      </c>
      <c r="CE71" s="195">
        <f>SUM(CE61:CE69)-CE70</f>
        <v>95864124.759999976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5336994</v>
      </c>
      <c r="CF72" s="248"/>
    </row>
    <row r="73" spans="1:84" ht="12.6" customHeight="1" x14ac:dyDescent="0.25">
      <c r="A73" s="171" t="s">
        <v>245</v>
      </c>
      <c r="B73" s="175"/>
      <c r="C73" s="184">
        <f>1074926</f>
        <v>1074926</v>
      </c>
      <c r="D73" s="184">
        <v>0</v>
      </c>
      <c r="E73" s="185">
        <f>8951171.9</f>
        <v>8951171.9000000004</v>
      </c>
      <c r="F73" s="185">
        <v>0</v>
      </c>
      <c r="G73" s="184">
        <v>0</v>
      </c>
      <c r="H73" s="184">
        <v>0</v>
      </c>
      <c r="I73" s="185">
        <v>0</v>
      </c>
      <c r="J73" s="185">
        <v>690282</v>
      </c>
      <c r="K73" s="185">
        <v>0</v>
      </c>
      <c r="L73" s="185">
        <v>0</v>
      </c>
      <c r="M73" s="184">
        <v>0</v>
      </c>
      <c r="N73" s="184">
        <v>0</v>
      </c>
      <c r="O73" s="184">
        <f>1824573+767775.84</f>
        <v>2592348.84</v>
      </c>
      <c r="P73" s="185">
        <f>25549896.26+285204</f>
        <v>25835100.260000002</v>
      </c>
      <c r="Q73" s="185">
        <f>1633491</f>
        <v>1633491</v>
      </c>
      <c r="R73" s="185">
        <f>4826942</f>
        <v>4826942</v>
      </c>
      <c r="S73" s="185">
        <v>0</v>
      </c>
      <c r="T73" s="185">
        <v>0</v>
      </c>
      <c r="U73" s="185">
        <f>2426922.67+12510</f>
        <v>2439432.67</v>
      </c>
      <c r="V73" s="185">
        <f>62985+14940</f>
        <v>77925</v>
      </c>
      <c r="W73" s="185">
        <f>326330</f>
        <v>326330</v>
      </c>
      <c r="X73" s="185">
        <f>1002500</f>
        <v>1002500</v>
      </c>
      <c r="Y73" s="185">
        <f>23484+1059580+129250+312282</f>
        <v>1524596</v>
      </c>
      <c r="Z73" s="185">
        <f>15078+4072</f>
        <v>19150</v>
      </c>
      <c r="AA73" s="185">
        <f>51788+594</f>
        <v>52382</v>
      </c>
      <c r="AB73" s="185">
        <f>5991794.81+1488997.63</f>
        <v>7480792.4399999995</v>
      </c>
      <c r="AC73" s="185">
        <f>1544402+350</f>
        <v>1544752</v>
      </c>
      <c r="AD73" s="185">
        <v>0</v>
      </c>
      <c r="AE73" s="185">
        <v>1604886</v>
      </c>
      <c r="AF73" s="185">
        <v>0</v>
      </c>
      <c r="AG73" s="185">
        <f>2168867</f>
        <v>2168867</v>
      </c>
      <c r="AH73" s="185">
        <v>0</v>
      </c>
      <c r="AI73" s="185">
        <v>0</v>
      </c>
      <c r="AJ73" s="185">
        <f>13145+921+639+6388+981431.64</f>
        <v>1002524.64</v>
      </c>
      <c r="AK73" s="185">
        <v>0</v>
      </c>
      <c r="AL73" s="185">
        <f>108168</f>
        <v>108168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64956567.75</v>
      </c>
      <c r="CF73" s="248"/>
    </row>
    <row r="74" spans="1:84" ht="12.6" customHeight="1" x14ac:dyDescent="0.25">
      <c r="A74" s="171" t="s">
        <v>246</v>
      </c>
      <c r="B74" s="175"/>
      <c r="C74" s="184">
        <v>-9388</v>
      </c>
      <c r="D74" s="184">
        <v>0</v>
      </c>
      <c r="E74" s="185">
        <f>2266754.68+82056</f>
        <v>2348810.6800000002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f>388122+6044.5</f>
        <v>394166.5</v>
      </c>
      <c r="P74" s="185">
        <f>25375277.24+307641+2103074.59</f>
        <v>27785992.829999998</v>
      </c>
      <c r="Q74" s="185">
        <f>3737315</f>
        <v>3737315</v>
      </c>
      <c r="R74" s="185">
        <f>4906293</f>
        <v>4906293</v>
      </c>
      <c r="S74" s="185">
        <v>0</v>
      </c>
      <c r="T74" s="185">
        <v>0</v>
      </c>
      <c r="U74" s="185">
        <f>17368501.44+95592</f>
        <v>17464093.440000001</v>
      </c>
      <c r="V74" s="185">
        <f>516015.56+68961</f>
        <v>584976.56000000006</v>
      </c>
      <c r="W74" s="185">
        <f>9304280</f>
        <v>9304280</v>
      </c>
      <c r="X74" s="185">
        <f>16166374.37</f>
        <v>16166374.369999999</v>
      </c>
      <c r="Y74" s="185">
        <f>767581+2000791+5545169.69+3214456.58-84+1435922.88</f>
        <v>12963837.149999999</v>
      </c>
      <c r="Z74" s="185">
        <f>2794154.21+669557</f>
        <v>3463711.21</v>
      </c>
      <c r="AA74" s="185">
        <f>1780006+27679</f>
        <v>1807685</v>
      </c>
      <c r="AB74" s="185">
        <f>18054676.6+1855550.29</f>
        <v>19910226.890000001</v>
      </c>
      <c r="AC74" s="185">
        <f>469618.41+307133.2+713759</f>
        <v>1490510.6099999999</v>
      </c>
      <c r="AD74" s="185">
        <v>0</v>
      </c>
      <c r="AE74" s="185">
        <f>4039176+545</f>
        <v>4039721</v>
      </c>
      <c r="AF74" s="185">
        <v>0</v>
      </c>
      <c r="AG74" s="185">
        <f>18520347.23</f>
        <v>18520347.23</v>
      </c>
      <c r="AH74" s="185">
        <f>42932</f>
        <v>42932</v>
      </c>
      <c r="AI74" s="185">
        <f>2395647+620890</f>
        <v>3016537</v>
      </c>
      <c r="AJ74" s="185">
        <f>2490519.88+953003+1047959.25+90-294+2724662.32+840033.1+1102643+7753453.55</f>
        <v>16912070.099999998</v>
      </c>
      <c r="AK74" s="185">
        <v>0</v>
      </c>
      <c r="AL74" s="185">
        <f>685700.73</f>
        <v>685700.73</v>
      </c>
      <c r="AM74" s="185">
        <v>0</v>
      </c>
      <c r="AN74" s="185">
        <v>0</v>
      </c>
      <c r="AO74" s="185">
        <v>0</v>
      </c>
      <c r="AP74" s="185">
        <f>18606+22139.76</f>
        <v>40745.759999999995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f>20591+108840</f>
        <v>129431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165706370.05999997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1065538</v>
      </c>
      <c r="D75" s="195">
        <f t="shared" si="9"/>
        <v>0</v>
      </c>
      <c r="E75" s="195">
        <f t="shared" si="9"/>
        <v>11299982.58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690282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2986515.34</v>
      </c>
      <c r="P75" s="195">
        <f t="shared" si="9"/>
        <v>53621093.090000004</v>
      </c>
      <c r="Q75" s="195">
        <f t="shared" si="9"/>
        <v>5370806</v>
      </c>
      <c r="R75" s="195">
        <f t="shared" si="9"/>
        <v>9733235</v>
      </c>
      <c r="S75" s="195">
        <f t="shared" si="9"/>
        <v>0</v>
      </c>
      <c r="T75" s="195">
        <f t="shared" si="9"/>
        <v>0</v>
      </c>
      <c r="U75" s="195">
        <f t="shared" si="9"/>
        <v>19903526.109999999</v>
      </c>
      <c r="V75" s="195">
        <f t="shared" si="9"/>
        <v>662901.56000000006</v>
      </c>
      <c r="W75" s="195">
        <f t="shared" si="9"/>
        <v>9630610</v>
      </c>
      <c r="X75" s="195">
        <f t="shared" si="9"/>
        <v>17168874.369999997</v>
      </c>
      <c r="Y75" s="195">
        <f t="shared" si="9"/>
        <v>14488433.149999999</v>
      </c>
      <c r="Z75" s="195">
        <f t="shared" si="9"/>
        <v>3482861.21</v>
      </c>
      <c r="AA75" s="195">
        <f t="shared" si="9"/>
        <v>1860067</v>
      </c>
      <c r="AB75" s="195">
        <f t="shared" si="9"/>
        <v>27391019.329999998</v>
      </c>
      <c r="AC75" s="195">
        <f t="shared" si="9"/>
        <v>3035262.61</v>
      </c>
      <c r="AD75" s="195">
        <f t="shared" si="9"/>
        <v>0</v>
      </c>
      <c r="AE75" s="195">
        <f t="shared" si="9"/>
        <v>5644607</v>
      </c>
      <c r="AF75" s="195">
        <f t="shared" si="9"/>
        <v>0</v>
      </c>
      <c r="AG75" s="195">
        <f t="shared" si="9"/>
        <v>20689214.23</v>
      </c>
      <c r="AH75" s="195">
        <f t="shared" si="9"/>
        <v>42932</v>
      </c>
      <c r="AI75" s="195">
        <f t="shared" si="9"/>
        <v>3016537</v>
      </c>
      <c r="AJ75" s="195">
        <f t="shared" si="9"/>
        <v>17914594.739999998</v>
      </c>
      <c r="AK75" s="195">
        <f t="shared" si="9"/>
        <v>0</v>
      </c>
      <c r="AL75" s="195">
        <f t="shared" si="9"/>
        <v>793868.73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40745.759999999995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129431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230662937.81</v>
      </c>
      <c r="CF75" s="248"/>
    </row>
    <row r="76" spans="1:84" ht="12.6" customHeight="1" x14ac:dyDescent="0.25">
      <c r="A76" s="171" t="s">
        <v>248</v>
      </c>
      <c r="B76" s="175"/>
      <c r="C76" s="184">
        <v>3692</v>
      </c>
      <c r="D76" s="184">
        <v>0</v>
      </c>
      <c r="E76" s="185">
        <f>19925+2836+400</f>
        <v>23161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5313</v>
      </c>
      <c r="P76" s="185">
        <v>11604</v>
      </c>
      <c r="Q76" s="185">
        <v>0</v>
      </c>
      <c r="R76" s="185">
        <v>500</v>
      </c>
      <c r="S76" s="185">
        <v>3031</v>
      </c>
      <c r="T76" s="185">
        <v>0</v>
      </c>
      <c r="U76" s="185">
        <f>2400+160+1380</f>
        <v>3940</v>
      </c>
      <c r="V76" s="185">
        <v>10</v>
      </c>
      <c r="W76" s="185">
        <v>0</v>
      </c>
      <c r="X76" s="185">
        <v>0</v>
      </c>
      <c r="Y76" s="185">
        <f>10350+575</f>
        <v>10925</v>
      </c>
      <c r="Z76" s="185">
        <v>7700</v>
      </c>
      <c r="AA76" s="185">
        <v>0</v>
      </c>
      <c r="AB76" s="185">
        <f>1206+690</f>
        <v>1896</v>
      </c>
      <c r="AC76" s="185">
        <f>1896+2251</f>
        <v>4147</v>
      </c>
      <c r="AD76" s="185">
        <v>0</v>
      </c>
      <c r="AE76" s="185">
        <v>7400</v>
      </c>
      <c r="AF76" s="185">
        <v>0</v>
      </c>
      <c r="AG76" s="185">
        <v>7100</v>
      </c>
      <c r="AH76" s="185">
        <v>0</v>
      </c>
      <c r="AI76" s="185">
        <v>0</v>
      </c>
      <c r="AJ76" s="185">
        <f>5552+2075+396+5864+2226+2900</f>
        <v>19013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f>945+184</f>
        <v>1129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4202</v>
      </c>
      <c r="AZ76" s="185">
        <v>0</v>
      </c>
      <c r="BA76" s="185">
        <v>287</v>
      </c>
      <c r="BB76" s="185">
        <v>0</v>
      </c>
      <c r="BC76" s="185">
        <v>0</v>
      </c>
      <c r="BD76" s="185">
        <v>4791</v>
      </c>
      <c r="BE76" s="185">
        <f>4356+1696+1933+3828</f>
        <v>11813</v>
      </c>
      <c r="BF76" s="185">
        <f>120+2072+111+90</f>
        <v>2393</v>
      </c>
      <c r="BG76" s="185">
        <v>0</v>
      </c>
      <c r="BH76" s="185">
        <f>1595+185</f>
        <v>1780</v>
      </c>
      <c r="BI76" s="185">
        <v>0</v>
      </c>
      <c r="BJ76" s="185">
        <v>1241</v>
      </c>
      <c r="BK76" s="185">
        <v>3442</v>
      </c>
      <c r="BL76" s="185">
        <f>6400+5725</f>
        <v>12125</v>
      </c>
      <c r="BM76" s="185">
        <v>0</v>
      </c>
      <c r="BN76" s="185">
        <f>1484+143</f>
        <v>1627</v>
      </c>
      <c r="BO76" s="185">
        <v>0</v>
      </c>
      <c r="BP76" s="185">
        <v>129</v>
      </c>
      <c r="BQ76" s="185">
        <v>0</v>
      </c>
      <c r="BR76" s="185">
        <v>1193</v>
      </c>
      <c r="BS76" s="185">
        <f>508+619</f>
        <v>1127</v>
      </c>
      <c r="BT76" s="185">
        <v>391</v>
      </c>
      <c r="BU76" s="185">
        <v>558</v>
      </c>
      <c r="BV76" s="185">
        <v>1426</v>
      </c>
      <c r="BW76" s="185">
        <v>246</v>
      </c>
      <c r="BX76" s="185">
        <v>200</v>
      </c>
      <c r="BY76" s="185">
        <v>0</v>
      </c>
      <c r="BZ76" s="185">
        <v>0</v>
      </c>
      <c r="CA76" s="185">
        <v>0</v>
      </c>
      <c r="CB76" s="185">
        <f>85+558</f>
        <v>643</v>
      </c>
      <c r="CC76" s="185">
        <f>135+226+200+10+1131+709+449+76+2319+697+9160+2349+5475+5583+2683+1763+5346+2910+2479+285+1775</f>
        <v>45760</v>
      </c>
      <c r="CD76" s="245" t="s">
        <v>221</v>
      </c>
      <c r="CE76" s="195">
        <f t="shared" si="8"/>
        <v>205935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3145</v>
      </c>
      <c r="D77" s="184">
        <v>0</v>
      </c>
      <c r="E77" s="184">
        <v>20427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2711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5" t="s">
        <v>221</v>
      </c>
      <c r="AY77" s="245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5" t="s">
        <v>221</v>
      </c>
      <c r="BE77" s="245" t="s">
        <v>221</v>
      </c>
      <c r="BF77" s="184">
        <v>0</v>
      </c>
      <c r="BG77" s="245" t="s">
        <v>221</v>
      </c>
      <c r="BH77" s="184">
        <v>0</v>
      </c>
      <c r="BI77" s="184">
        <v>0</v>
      </c>
      <c r="BJ77" s="245" t="s">
        <v>221</v>
      </c>
      <c r="BK77" s="184">
        <v>0</v>
      </c>
      <c r="BL77" s="184">
        <v>0</v>
      </c>
      <c r="BM77" s="184">
        <v>0</v>
      </c>
      <c r="BN77" s="245" t="s">
        <v>221</v>
      </c>
      <c r="BO77" s="245" t="s">
        <v>221</v>
      </c>
      <c r="BP77" s="245" t="s">
        <v>221</v>
      </c>
      <c r="BQ77" s="245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5" t="s">
        <v>221</v>
      </c>
      <c r="CD77" s="245" t="s">
        <v>221</v>
      </c>
      <c r="CE77" s="195">
        <f>SUM(C77:CD77)</f>
        <v>26283</v>
      </c>
      <c r="CF77" s="195">
        <f>AY59-CE77</f>
        <v>174938</v>
      </c>
    </row>
    <row r="78" spans="1:84" ht="12.6" customHeight="1" x14ac:dyDescent="0.25">
      <c r="A78" s="171" t="s">
        <v>250</v>
      </c>
      <c r="B78" s="175"/>
      <c r="C78" s="184">
        <v>3692</v>
      </c>
      <c r="D78" s="184">
        <v>0</v>
      </c>
      <c r="E78" s="184">
        <v>23161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5313</v>
      </c>
      <c r="P78" s="184">
        <v>11604</v>
      </c>
      <c r="Q78" s="184">
        <v>0</v>
      </c>
      <c r="R78" s="184">
        <v>500</v>
      </c>
      <c r="S78" s="184">
        <v>3031</v>
      </c>
      <c r="T78" s="184">
        <v>0</v>
      </c>
      <c r="U78" s="184">
        <v>3940</v>
      </c>
      <c r="V78" s="184">
        <v>10</v>
      </c>
      <c r="W78" s="184">
        <v>0</v>
      </c>
      <c r="X78" s="184">
        <v>0</v>
      </c>
      <c r="Y78" s="184">
        <v>10925</v>
      </c>
      <c r="Z78" s="184">
        <v>7700</v>
      </c>
      <c r="AA78" s="184">
        <v>0</v>
      </c>
      <c r="AB78" s="184">
        <v>1896</v>
      </c>
      <c r="AC78" s="184">
        <v>4147</v>
      </c>
      <c r="AD78" s="184">
        <v>0</v>
      </c>
      <c r="AE78" s="184">
        <v>7400</v>
      </c>
      <c r="AF78" s="184">
        <v>0</v>
      </c>
      <c r="AG78" s="184">
        <v>7100</v>
      </c>
      <c r="AH78" s="184">
        <v>0</v>
      </c>
      <c r="AI78" s="184">
        <v>0</v>
      </c>
      <c r="AJ78" s="184">
        <v>19013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1129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5" t="s">
        <v>221</v>
      </c>
      <c r="AY78" s="245" t="s">
        <v>221</v>
      </c>
      <c r="AZ78" s="245" t="s">
        <v>221</v>
      </c>
      <c r="BA78" s="184">
        <v>287</v>
      </c>
      <c r="BB78" s="184">
        <v>0</v>
      </c>
      <c r="BC78" s="18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1780</v>
      </c>
      <c r="BI78" s="184">
        <v>0</v>
      </c>
      <c r="BJ78" s="245" t="s">
        <v>221</v>
      </c>
      <c r="BK78" s="184">
        <v>3442</v>
      </c>
      <c r="BL78" s="184">
        <v>12125</v>
      </c>
      <c r="BM78" s="18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>
        <v>1127</v>
      </c>
      <c r="BT78" s="184">
        <v>391</v>
      </c>
      <c r="BU78" s="184">
        <v>558</v>
      </c>
      <c r="BV78" s="184">
        <v>1426</v>
      </c>
      <c r="BW78" s="184">
        <v>246</v>
      </c>
      <c r="BX78" s="184">
        <v>200</v>
      </c>
      <c r="BY78" s="184">
        <v>0</v>
      </c>
      <c r="BZ78" s="184">
        <v>0</v>
      </c>
      <c r="CA78" s="184">
        <v>0</v>
      </c>
      <c r="CB78" s="184">
        <v>643</v>
      </c>
      <c r="CC78" s="245" t="s">
        <v>221</v>
      </c>
      <c r="CD78" s="245" t="s">
        <v>221</v>
      </c>
      <c r="CE78" s="195">
        <f t="shared" si="8"/>
        <v>132786</v>
      </c>
      <c r="CF78" s="195"/>
    </row>
    <row r="79" spans="1:84" ht="12.6" customHeight="1" x14ac:dyDescent="0.25">
      <c r="A79" s="171" t="s">
        <v>251</v>
      </c>
      <c r="B79" s="175"/>
      <c r="C79" s="221">
        <v>40791.589999999997</v>
      </c>
      <c r="D79" s="184">
        <v>0</v>
      </c>
      <c r="E79" s="184">
        <v>392495.41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2261</v>
      </c>
      <c r="P79" s="184">
        <v>27189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5" t="s">
        <v>221</v>
      </c>
      <c r="AY79" s="245" t="s">
        <v>221</v>
      </c>
      <c r="AZ79" s="245" t="s">
        <v>221</v>
      </c>
      <c r="BA79" s="245" t="s">
        <v>221</v>
      </c>
      <c r="BB79" s="184">
        <v>0</v>
      </c>
      <c r="BC79" s="184">
        <v>0</v>
      </c>
      <c r="BD79" s="245" t="s">
        <v>221</v>
      </c>
      <c r="BE79" s="245" t="s">
        <v>221</v>
      </c>
      <c r="BF79" s="245" t="s">
        <v>221</v>
      </c>
      <c r="BG79" s="245" t="s">
        <v>221</v>
      </c>
      <c r="BH79" s="184">
        <v>0</v>
      </c>
      <c r="BI79" s="184">
        <v>0</v>
      </c>
      <c r="BJ79" s="245" t="s">
        <v>221</v>
      </c>
      <c r="BK79" s="184">
        <v>0</v>
      </c>
      <c r="BL79" s="184">
        <v>0</v>
      </c>
      <c r="BM79" s="184">
        <v>0</v>
      </c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5" t="s">
        <v>221</v>
      </c>
      <c r="CD79" s="245" t="s">
        <v>221</v>
      </c>
      <c r="CE79" s="195">
        <f t="shared" si="8"/>
        <v>462737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9.44</v>
      </c>
      <c r="D80" s="187">
        <v>0</v>
      </c>
      <c r="E80" s="187">
        <v>30.09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11.81</v>
      </c>
      <c r="P80" s="187">
        <v>12.77</v>
      </c>
      <c r="Q80" s="187">
        <v>8.9700000000000006</v>
      </c>
      <c r="R80" s="187">
        <f>1.51</f>
        <v>1.51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f>0.46+1.43</f>
        <v>1.89</v>
      </c>
      <c r="Z80" s="187">
        <f>3.55</f>
        <v>3.55</v>
      </c>
      <c r="AA80" s="187">
        <f>0.39</f>
        <v>0.39</v>
      </c>
      <c r="AB80" s="187">
        <v>0</v>
      </c>
      <c r="AC80" s="187">
        <f>0.9</f>
        <v>0.9</v>
      </c>
      <c r="AD80" s="187">
        <v>0</v>
      </c>
      <c r="AE80" s="187">
        <v>0</v>
      </c>
      <c r="AF80" s="187">
        <v>0</v>
      </c>
      <c r="AG80" s="187">
        <f>18.68</f>
        <v>18.68</v>
      </c>
      <c r="AH80" s="187">
        <v>0</v>
      </c>
      <c r="AI80" s="187">
        <v>0</v>
      </c>
      <c r="AJ80" s="187">
        <f>2.94+0.16+10.14</f>
        <v>13.24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113.24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1003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1004</v>
      </c>
      <c r="D84" s="202"/>
      <c r="E84" s="201"/>
    </row>
    <row r="85" spans="1:5" ht="12.6" customHeight="1" x14ac:dyDescent="0.25">
      <c r="A85" s="173" t="s">
        <v>987</v>
      </c>
      <c r="B85" s="172"/>
      <c r="C85" s="226" t="s">
        <v>1005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76" t="s">
        <v>1005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1006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1007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1008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1009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 t="s">
        <v>1010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77" t="s">
        <v>1011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1012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2610</v>
      </c>
      <c r="D111" s="174">
        <v>8288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441</v>
      </c>
      <c r="D114" s="174">
        <v>704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>
        <v>32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43</v>
      </c>
    </row>
    <row r="128" spans="1:5" ht="12.6" customHeight="1" x14ac:dyDescent="0.25">
      <c r="A128" s="173" t="s">
        <v>292</v>
      </c>
      <c r="B128" s="172" t="s">
        <v>256</v>
      </c>
      <c r="C128" s="189">
        <v>43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1150+343</f>
        <v>1493</v>
      </c>
      <c r="C138" s="189">
        <v>498</v>
      </c>
      <c r="D138" s="174">
        <f>2610-1493-498</f>
        <v>619</v>
      </c>
      <c r="E138" s="175">
        <f>SUM(B138:D138)</f>
        <v>2610</v>
      </c>
    </row>
    <row r="139" spans="1:6" ht="12.6" customHeight="1" x14ac:dyDescent="0.25">
      <c r="A139" s="173" t="s">
        <v>215</v>
      </c>
      <c r="B139" s="174">
        <f>3858+1073</f>
        <v>4931</v>
      </c>
      <c r="C139" s="189">
        <v>858</v>
      </c>
      <c r="D139" s="174">
        <f>8288-4931-858</f>
        <v>2499</v>
      </c>
      <c r="E139" s="175">
        <f>SUM(B139:D139)</f>
        <v>8288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40747506.780000001</v>
      </c>
      <c r="C141" s="189">
        <v>5705814.1299999999</v>
      </c>
      <c r="D141" s="174">
        <f>65076151-40747507-5705814</f>
        <v>18622830</v>
      </c>
      <c r="E141" s="175">
        <f>SUM(B141:D141)</f>
        <v>65076150.910000004</v>
      </c>
      <c r="F141" s="199"/>
    </row>
    <row r="142" spans="1:6" ht="12.6" customHeight="1" x14ac:dyDescent="0.25">
      <c r="A142" s="173" t="s">
        <v>246</v>
      </c>
      <c r="B142" s="174">
        <v>70158387.900000006</v>
      </c>
      <c r="C142" s="189">
        <v>14942598.109999999</v>
      </c>
      <c r="D142" s="174">
        <f>165586787-70158388-14942598</f>
        <v>80485801</v>
      </c>
      <c r="E142" s="175">
        <f>SUM(B142:D142)</f>
        <v>165586787.00999999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f>2914821.75</f>
        <v>2914821.75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140315.48</f>
        <v>140315.48000000001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468562.82</f>
        <v>468562.82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3965575.42+986983.89</f>
        <v>4952559.3099999996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20412.29</f>
        <v>20412.29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1676393.41</f>
        <v>1676393.41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-744240.56+21212.79+1495.24+14290.31+18161.93+29766.46+86281.15+744240.56</f>
        <v>171207.88000000012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2324.3200000000002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10346597.26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f>21600+24757.75+892332.39-317919</f>
        <v>620771.14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184184.3+24331.78</f>
        <v>208516.08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829287.22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f>285576.01+213570.95-43627</f>
        <v>455519.96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148303.6+6048.21+57704.64+105+168+300</f>
        <v>212629.45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668149.41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54213.11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541786.24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595999.35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>
        <f>1693752+336455</f>
        <v>2030207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2030207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4708577</v>
      </c>
      <c r="C195" s="189">
        <v>0</v>
      </c>
      <c r="D195" s="174">
        <v>0</v>
      </c>
      <c r="E195" s="175">
        <f t="shared" ref="E195:E203" si="10">SUM(B195:C195)-D195</f>
        <v>4708577</v>
      </c>
    </row>
    <row r="196" spans="1:8" ht="12.6" customHeight="1" x14ac:dyDescent="0.25">
      <c r="A196" s="173" t="s">
        <v>333</v>
      </c>
      <c r="B196" s="174">
        <v>2130330</v>
      </c>
      <c r="C196" s="189">
        <v>0</v>
      </c>
      <c r="D196" s="174">
        <v>0</v>
      </c>
      <c r="E196" s="175">
        <f t="shared" si="10"/>
        <v>2130330</v>
      </c>
    </row>
    <row r="197" spans="1:8" ht="12.6" customHeight="1" x14ac:dyDescent="0.25">
      <c r="A197" s="173" t="s">
        <v>334</v>
      </c>
      <c r="B197" s="174">
        <f>70037832+314539</f>
        <v>70352371</v>
      </c>
      <c r="C197" s="189">
        <f>3155070+2192</f>
        <v>3157262</v>
      </c>
      <c r="D197" s="174">
        <v>3186</v>
      </c>
      <c r="E197" s="175">
        <f t="shared" si="10"/>
        <v>73506447</v>
      </c>
    </row>
    <row r="198" spans="1:8" ht="12.6" customHeight="1" x14ac:dyDescent="0.25">
      <c r="A198" s="173" t="s">
        <v>335</v>
      </c>
      <c r="B198" s="174">
        <v>8808918</v>
      </c>
      <c r="C198" s="189">
        <v>0</v>
      </c>
      <c r="D198" s="174">
        <v>0</v>
      </c>
      <c r="E198" s="175">
        <f t="shared" si="10"/>
        <v>8808918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28995534</v>
      </c>
      <c r="C200" s="189">
        <f>1181584+8285265</f>
        <v>9466849</v>
      </c>
      <c r="D200" s="174">
        <v>3248386</v>
      </c>
      <c r="E200" s="175">
        <f t="shared" si="10"/>
        <v>35213997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5868665</v>
      </c>
      <c r="C203" s="189">
        <f>6138204-11440335</f>
        <v>-5302131</v>
      </c>
      <c r="D203" s="174">
        <v>0</v>
      </c>
      <c r="E203" s="175">
        <f t="shared" si="10"/>
        <v>566534</v>
      </c>
    </row>
    <row r="204" spans="1:8" ht="12.6" customHeight="1" x14ac:dyDescent="0.25">
      <c r="A204" s="173" t="s">
        <v>203</v>
      </c>
      <c r="B204" s="175">
        <f>SUM(B195:B203)</f>
        <v>120864395</v>
      </c>
      <c r="C204" s="191">
        <f>SUM(C195:C203)</f>
        <v>7321980</v>
      </c>
      <c r="D204" s="175">
        <f>SUM(D195:D203)</f>
        <v>3251572</v>
      </c>
      <c r="E204" s="175">
        <f>SUM(E195:E203)</f>
        <v>124934803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1583532</v>
      </c>
      <c r="C209" s="189">
        <v>270764</v>
      </c>
      <c r="D209" s="174">
        <v>0</v>
      </c>
      <c r="E209" s="175">
        <f t="shared" ref="E209:E216" si="11">SUM(B209:C209)-D209</f>
        <v>1854296</v>
      </c>
      <c r="H209" s="255"/>
    </row>
    <row r="210" spans="1:8" ht="12.6" customHeight="1" x14ac:dyDescent="0.25">
      <c r="A210" s="173" t="s">
        <v>334</v>
      </c>
      <c r="B210" s="174">
        <v>23541051</v>
      </c>
      <c r="C210" s="189">
        <v>1740083</v>
      </c>
      <c r="D210" s="174">
        <v>0</v>
      </c>
      <c r="E210" s="175">
        <f t="shared" si="11"/>
        <v>25281134</v>
      </c>
      <c r="H210" s="255"/>
    </row>
    <row r="211" spans="1:8" ht="12.6" customHeight="1" x14ac:dyDescent="0.25">
      <c r="A211" s="173" t="s">
        <v>335</v>
      </c>
      <c r="B211" s="174">
        <v>6769087</v>
      </c>
      <c r="C211" s="189">
        <v>365724</v>
      </c>
      <c r="D211" s="174">
        <v>0</v>
      </c>
      <c r="E211" s="175">
        <f t="shared" si="11"/>
        <v>7134811</v>
      </c>
      <c r="H211" s="255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23273713</v>
      </c>
      <c r="C213" s="189">
        <v>2433147</v>
      </c>
      <c r="D213" s="174">
        <v>3220760</v>
      </c>
      <c r="E213" s="175">
        <f t="shared" si="11"/>
        <v>22486100</v>
      </c>
      <c r="H213" s="255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55167383</v>
      </c>
      <c r="C217" s="191">
        <f>SUM(C208:C216)</f>
        <v>4809718</v>
      </c>
      <c r="D217" s="175">
        <f>SUM(D208:D216)</f>
        <v>3220760</v>
      </c>
      <c r="E217" s="175">
        <f>SUM(E208:E216)</f>
        <v>56756341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8" t="s">
        <v>991</v>
      </c>
      <c r="C220" s="278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1535434</v>
      </c>
      <c r="D221" s="172">
        <f>C221</f>
        <v>1535434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77964472.849999994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5473464.59+10357714.95</f>
        <v>15831179.539999999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2038906.86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14591077.87+27353.41</f>
        <v>14618431.279999999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9609247.5399999991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16009485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136071723.06999999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355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142091.99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361780.3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503872.29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138111029.35999998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26877585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15656090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15656090-9714395</f>
        <v>5941695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391292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1614817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1190800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22077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39810966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11779767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463709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12243476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4708577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2130330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73192902+313545</f>
        <v>73506447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8808918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35213997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566534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124934803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56756341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68178462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530499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530499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598703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f>1390391+479141</f>
        <v>1869532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2468235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123231638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4561501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4093652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157561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>
        <v>1481262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355558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2132782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12782316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816192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21015000+10140000+2299041+15000000+1725000</f>
        <v>50179041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f>470289+402300+11897237</f>
        <v>12769826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63765059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2132782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61632277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48817045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>
        <v>0</v>
      </c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218">
        <v>0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218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123231638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123231638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65076153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165586789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230662942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1535434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f>137079467-503872.29</f>
        <v>136575594.71000001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503872.29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138614901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92048041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715301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5336994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6052295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98100336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41292345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11608297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4633783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23720182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1008446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7878370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4809718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829287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668149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595999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2221277-668149-595999</f>
        <v>957129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98001705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98631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582922-2029982+890507</f>
        <v>-556553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-457922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-457922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Island Hospital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2610</v>
      </c>
      <c r="C414" s="194">
        <f>E138</f>
        <v>2610</v>
      </c>
      <c r="D414" s="179"/>
    </row>
    <row r="415" spans="1:5" ht="12.6" customHeight="1" x14ac:dyDescent="0.25">
      <c r="A415" s="179" t="s">
        <v>464</v>
      </c>
      <c r="B415" s="179">
        <f>D111</f>
        <v>8288</v>
      </c>
      <c r="C415" s="179">
        <f>E139</f>
        <v>8288</v>
      </c>
      <c r="D415" s="194">
        <f>SUM(C59:H59)+N59</f>
        <v>7446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75" customHeight="1" x14ac:dyDescent="0.25">
      <c r="A423" s="180" t="s">
        <v>469</v>
      </c>
      <c r="B423" s="180">
        <f>C114</f>
        <v>441</v>
      </c>
    </row>
    <row r="424" spans="1:7" ht="12.6" customHeight="1" x14ac:dyDescent="0.25">
      <c r="A424" s="179" t="s">
        <v>980</v>
      </c>
      <c r="B424" s="179">
        <f>D114</f>
        <v>704</v>
      </c>
      <c r="D424" s="179">
        <f>J59</f>
        <v>704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41292345</v>
      </c>
      <c r="C427" s="179">
        <f t="shared" ref="C427:C434" si="13">CE61</f>
        <v>41292331.829999983</v>
      </c>
      <c r="D427" s="179"/>
    </row>
    <row r="428" spans="1:7" ht="12.6" customHeight="1" x14ac:dyDescent="0.25">
      <c r="A428" s="179" t="s">
        <v>3</v>
      </c>
      <c r="B428" s="179">
        <f t="shared" si="12"/>
        <v>11608297</v>
      </c>
      <c r="C428" s="179">
        <f t="shared" si="13"/>
        <v>10346600</v>
      </c>
      <c r="D428" s="179">
        <f>D173</f>
        <v>10346597.26</v>
      </c>
    </row>
    <row r="429" spans="1:7" ht="12.6" customHeight="1" x14ac:dyDescent="0.25">
      <c r="A429" s="179" t="s">
        <v>236</v>
      </c>
      <c r="B429" s="179">
        <f t="shared" si="12"/>
        <v>4633783</v>
      </c>
      <c r="C429" s="179">
        <f t="shared" si="13"/>
        <v>4461756.3000000007</v>
      </c>
      <c r="D429" s="179"/>
    </row>
    <row r="430" spans="1:7" ht="12.6" customHeight="1" x14ac:dyDescent="0.25">
      <c r="A430" s="179" t="s">
        <v>237</v>
      </c>
      <c r="B430" s="179">
        <f t="shared" si="12"/>
        <v>23720182</v>
      </c>
      <c r="C430" s="179">
        <f t="shared" si="13"/>
        <v>23720189.060000006</v>
      </c>
      <c r="D430" s="179"/>
    </row>
    <row r="431" spans="1:7" ht="12.6" customHeight="1" x14ac:dyDescent="0.25">
      <c r="A431" s="179" t="s">
        <v>444</v>
      </c>
      <c r="B431" s="179">
        <f t="shared" si="12"/>
        <v>1008446</v>
      </c>
      <c r="C431" s="179">
        <f t="shared" si="13"/>
        <v>1008444.7400000002</v>
      </c>
      <c r="D431" s="179"/>
    </row>
    <row r="432" spans="1:7" ht="12.6" customHeight="1" x14ac:dyDescent="0.25">
      <c r="A432" s="179" t="s">
        <v>445</v>
      </c>
      <c r="B432" s="179">
        <f t="shared" si="12"/>
        <v>7878370</v>
      </c>
      <c r="C432" s="179">
        <f t="shared" si="13"/>
        <v>7878368.8499999978</v>
      </c>
      <c r="D432" s="179"/>
    </row>
    <row r="433" spans="1:7" ht="12.6" customHeight="1" x14ac:dyDescent="0.25">
      <c r="A433" s="179" t="s">
        <v>6</v>
      </c>
      <c r="B433" s="179">
        <f t="shared" si="12"/>
        <v>4809718</v>
      </c>
      <c r="C433" s="179">
        <f t="shared" si="13"/>
        <v>4809720</v>
      </c>
      <c r="D433" s="179">
        <f>C217</f>
        <v>4809718</v>
      </c>
    </row>
    <row r="434" spans="1:7" ht="12.6" customHeight="1" x14ac:dyDescent="0.25">
      <c r="A434" s="179" t="s">
        <v>474</v>
      </c>
      <c r="B434" s="179">
        <f t="shared" si="12"/>
        <v>829287</v>
      </c>
      <c r="C434" s="179">
        <f t="shared" si="13"/>
        <v>1147206.22</v>
      </c>
      <c r="D434" s="179">
        <f>D177</f>
        <v>829287.22</v>
      </c>
    </row>
    <row r="435" spans="1:7" ht="12.6" customHeight="1" x14ac:dyDescent="0.25">
      <c r="A435" s="179" t="s">
        <v>447</v>
      </c>
      <c r="B435" s="179">
        <f t="shared" si="12"/>
        <v>668149</v>
      </c>
      <c r="C435" s="179"/>
      <c r="D435" s="179">
        <f>D181</f>
        <v>668149.41</v>
      </c>
    </row>
    <row r="436" spans="1:7" ht="12.6" customHeight="1" x14ac:dyDescent="0.25">
      <c r="A436" s="179" t="s">
        <v>475</v>
      </c>
      <c r="B436" s="179">
        <f t="shared" si="12"/>
        <v>595999</v>
      </c>
      <c r="C436" s="179"/>
      <c r="D436" s="179">
        <f>D186</f>
        <v>595999.35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2030207</v>
      </c>
    </row>
    <row r="438" spans="1:7" ht="12.6" customHeight="1" x14ac:dyDescent="0.25">
      <c r="A438" s="194" t="s">
        <v>476</v>
      </c>
      <c r="B438" s="194">
        <f>C386+C387+C388</f>
        <v>1264148</v>
      </c>
      <c r="C438" s="194">
        <f>CD69</f>
        <v>0</v>
      </c>
      <c r="D438" s="194">
        <f>D181+D186+D190</f>
        <v>3294355.76</v>
      </c>
    </row>
    <row r="439" spans="1:7" ht="12.6" customHeight="1" x14ac:dyDescent="0.25">
      <c r="A439" s="179" t="s">
        <v>451</v>
      </c>
      <c r="B439" s="194">
        <f>C389</f>
        <v>957129</v>
      </c>
      <c r="C439" s="194">
        <f>SUM(C69:CC69)</f>
        <v>2168112.14</v>
      </c>
      <c r="D439" s="179"/>
    </row>
    <row r="440" spans="1:7" ht="12.6" customHeight="1" x14ac:dyDescent="0.25">
      <c r="A440" s="179" t="s">
        <v>477</v>
      </c>
      <c r="B440" s="194">
        <f>B438+B439</f>
        <v>2221277</v>
      </c>
      <c r="C440" s="194">
        <f>CE69</f>
        <v>2168112.14</v>
      </c>
      <c r="D440" s="179"/>
    </row>
    <row r="441" spans="1:7" ht="12.6" customHeight="1" x14ac:dyDescent="0.25">
      <c r="A441" s="179" t="s">
        <v>478</v>
      </c>
      <c r="B441" s="179">
        <f>D390</f>
        <v>98001705</v>
      </c>
      <c r="C441" s="179">
        <f>SUM(C427:C437)+C440</f>
        <v>96832729.139999971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1535434</v>
      </c>
      <c r="C444" s="179">
        <f>C363</f>
        <v>1535434</v>
      </c>
      <c r="D444" s="179"/>
    </row>
    <row r="445" spans="1:7" ht="12.6" customHeight="1" x14ac:dyDescent="0.25">
      <c r="A445" s="179" t="s">
        <v>343</v>
      </c>
      <c r="B445" s="179">
        <f>D229</f>
        <v>136071723.06999999</v>
      </c>
      <c r="C445" s="179">
        <f>C364</f>
        <v>136575594.71000001</v>
      </c>
      <c r="D445" s="179"/>
    </row>
    <row r="446" spans="1:7" ht="12.6" customHeight="1" x14ac:dyDescent="0.25">
      <c r="A446" s="179" t="s">
        <v>351</v>
      </c>
      <c r="B446" s="179">
        <f>D236</f>
        <v>503872.29</v>
      </c>
      <c r="C446" s="179">
        <f>C365</f>
        <v>503872.29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138111029.35999998</v>
      </c>
      <c r="C448" s="179">
        <f>D367</f>
        <v>138614901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355</v>
      </c>
    </row>
    <row r="454" spans="1:7" ht="12.6" customHeight="1" x14ac:dyDescent="0.25">
      <c r="A454" s="179" t="s">
        <v>168</v>
      </c>
      <c r="B454" s="179">
        <f>C233</f>
        <v>142091.99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361780.3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715301</v>
      </c>
      <c r="C458" s="194">
        <f>CE70</f>
        <v>968604.38000000024</v>
      </c>
      <c r="D458" s="194"/>
    </row>
    <row r="459" spans="1:7" ht="12.6" customHeight="1" x14ac:dyDescent="0.25">
      <c r="A459" s="179" t="s">
        <v>244</v>
      </c>
      <c r="B459" s="194">
        <f>C371</f>
        <v>5336994</v>
      </c>
      <c r="C459" s="194">
        <f>CE72</f>
        <v>5336994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65076153</v>
      </c>
      <c r="C463" s="194">
        <f>CE73</f>
        <v>64956567.75</v>
      </c>
      <c r="D463" s="194">
        <f>E141+E147+E153</f>
        <v>65076150.910000004</v>
      </c>
    </row>
    <row r="464" spans="1:7" ht="12.6" customHeight="1" x14ac:dyDescent="0.25">
      <c r="A464" s="179" t="s">
        <v>246</v>
      </c>
      <c r="B464" s="194">
        <f>C360</f>
        <v>165586789</v>
      </c>
      <c r="C464" s="194">
        <f>CE74</f>
        <v>165706370.05999997</v>
      </c>
      <c r="D464" s="194">
        <f>E142+E148+E154</f>
        <v>165586787.00999999</v>
      </c>
    </row>
    <row r="465" spans="1:7" ht="12.6" customHeight="1" x14ac:dyDescent="0.25">
      <c r="A465" s="179" t="s">
        <v>247</v>
      </c>
      <c r="B465" s="194">
        <f>D361</f>
        <v>230662942</v>
      </c>
      <c r="C465" s="194">
        <f>CE75</f>
        <v>230662937.81</v>
      </c>
      <c r="D465" s="194">
        <f>D463+D464</f>
        <v>230662937.91999999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4708577</v>
      </c>
      <c r="C468" s="179">
        <f>E195</f>
        <v>4708577</v>
      </c>
      <c r="D468" s="179"/>
    </row>
    <row r="469" spans="1:7" ht="12.6" customHeight="1" x14ac:dyDescent="0.25">
      <c r="A469" s="179" t="s">
        <v>333</v>
      </c>
      <c r="B469" s="179">
        <f t="shared" si="14"/>
        <v>2130330</v>
      </c>
      <c r="C469" s="179">
        <f>E196</f>
        <v>2130330</v>
      </c>
      <c r="D469" s="179"/>
    </row>
    <row r="470" spans="1:7" ht="12.6" customHeight="1" x14ac:dyDescent="0.25">
      <c r="A470" s="179" t="s">
        <v>334</v>
      </c>
      <c r="B470" s="179">
        <f t="shared" si="14"/>
        <v>73506447</v>
      </c>
      <c r="C470" s="179">
        <f>E197</f>
        <v>73506447</v>
      </c>
      <c r="D470" s="179"/>
    </row>
    <row r="471" spans="1:7" ht="12.6" customHeight="1" x14ac:dyDescent="0.25">
      <c r="A471" s="179" t="s">
        <v>494</v>
      </c>
      <c r="B471" s="179">
        <f t="shared" si="14"/>
        <v>8808918</v>
      </c>
      <c r="C471" s="179">
        <f>E198</f>
        <v>8808918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35213997</v>
      </c>
      <c r="C473" s="179">
        <f>SUM(E200:E201)</f>
        <v>35213997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566534</v>
      </c>
      <c r="C475" s="179">
        <f>E203</f>
        <v>566534</v>
      </c>
      <c r="D475" s="179"/>
    </row>
    <row r="476" spans="1:7" ht="12.6" customHeight="1" x14ac:dyDescent="0.25">
      <c r="A476" s="179" t="s">
        <v>203</v>
      </c>
      <c r="B476" s="179">
        <f>D275</f>
        <v>124934803</v>
      </c>
      <c r="C476" s="179">
        <f>E204</f>
        <v>124934803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56756341</v>
      </c>
      <c r="C478" s="179">
        <f>E217</f>
        <v>56756341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123231638</v>
      </c>
    </row>
    <row r="482" spans="1:12" ht="12.6" customHeight="1" x14ac:dyDescent="0.25">
      <c r="A482" s="180" t="s">
        <v>499</v>
      </c>
      <c r="C482" s="180">
        <f>D339</f>
        <v>123231638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134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1736154.3</v>
      </c>
      <c r="C496" s="236">
        <f>C71</f>
        <v>1656514.7800000003</v>
      </c>
      <c r="D496" s="236">
        <v>902</v>
      </c>
      <c r="E496" s="180">
        <f>C59</f>
        <v>701</v>
      </c>
      <c r="F496" s="259">
        <f t="shared" ref="F496:G511" si="15">IF(B496=0,"",IF(D496=0,"",B496/D496))</f>
        <v>1924.7830376940133</v>
      </c>
      <c r="G496" s="260">
        <f t="shared" si="15"/>
        <v>2363.0738659058493</v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6858539.3899999997</v>
      </c>
      <c r="C498" s="236">
        <f>E71</f>
        <v>6745473.9199999999</v>
      </c>
      <c r="D498" s="236">
        <v>7480</v>
      </c>
      <c r="E498" s="180">
        <f>E59</f>
        <v>6745</v>
      </c>
      <c r="F498" s="259">
        <f t="shared" si="15"/>
        <v>916.91703074866302</v>
      </c>
      <c r="G498" s="259">
        <f t="shared" si="15"/>
        <v>1000.0702624166049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14532.55</v>
      </c>
      <c r="C503" s="236">
        <f>J71</f>
        <v>14705.18</v>
      </c>
      <c r="D503" s="236">
        <v>839</v>
      </c>
      <c r="E503" s="180">
        <f>J59</f>
        <v>704</v>
      </c>
      <c r="F503" s="259">
        <f t="shared" si="15"/>
        <v>17.321275327771154</v>
      </c>
      <c r="G503" s="259">
        <f t="shared" si="15"/>
        <v>20.888039772727272</v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2351115.4599999995</v>
      </c>
      <c r="C508" s="236">
        <f>O71</f>
        <v>2336072.2799999998</v>
      </c>
      <c r="D508" s="236">
        <v>2263</v>
      </c>
      <c r="E508" s="180">
        <f>O59</f>
        <v>2149</v>
      </c>
      <c r="F508" s="259">
        <f t="shared" si="15"/>
        <v>1038.937454706142</v>
      </c>
      <c r="G508" s="259">
        <f t="shared" si="15"/>
        <v>1087.0508515588645</v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15518665.739999998</v>
      </c>
      <c r="C509" s="236">
        <f>P71</f>
        <v>18127108.219999995</v>
      </c>
      <c r="D509" s="236">
        <v>350652</v>
      </c>
      <c r="E509" s="180">
        <f>P59</f>
        <v>385376</v>
      </c>
      <c r="F509" s="259">
        <f t="shared" si="15"/>
        <v>44.25660124567947</v>
      </c>
      <c r="G509" s="259">
        <f t="shared" si="15"/>
        <v>47.037460090924178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1385717.17</v>
      </c>
      <c r="C510" s="236">
        <f>Q71</f>
        <v>1351171.55</v>
      </c>
      <c r="D510" s="236">
        <v>238166</v>
      </c>
      <c r="E510" s="180">
        <f>Q59</f>
        <v>255979</v>
      </c>
      <c r="F510" s="259">
        <f t="shared" si="15"/>
        <v>5.818282920316082</v>
      </c>
      <c r="G510" s="259">
        <f t="shared" si="15"/>
        <v>5.278446864781877</v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428897.43</v>
      </c>
      <c r="C511" s="236">
        <f>R71</f>
        <v>423279.89</v>
      </c>
      <c r="D511" s="236">
        <v>350652</v>
      </c>
      <c r="E511" s="180">
        <f>R59</f>
        <v>385376</v>
      </c>
      <c r="F511" s="259">
        <f t="shared" si="15"/>
        <v>1.2231426884774648</v>
      </c>
      <c r="G511" s="259">
        <f t="shared" si="15"/>
        <v>1.0983556059536661</v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655686.31000000006</v>
      </c>
      <c r="C512" s="236">
        <f>S71</f>
        <v>635214.39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4759189.24</v>
      </c>
      <c r="C514" s="236">
        <f>U71</f>
        <v>4749081.2700000005</v>
      </c>
      <c r="D514" s="236">
        <v>265998</v>
      </c>
      <c r="E514" s="180">
        <f>U59</f>
        <v>237844</v>
      </c>
      <c r="F514" s="259">
        <f t="shared" si="17"/>
        <v>17.891823397168402</v>
      </c>
      <c r="G514" s="259">
        <f t="shared" si="17"/>
        <v>19.967210734767328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62657.58</v>
      </c>
      <c r="C515" s="236">
        <f>V71</f>
        <v>114735.15000000001</v>
      </c>
      <c r="D515" s="236">
        <v>6573</v>
      </c>
      <c r="E515" s="180">
        <f>V59</f>
        <v>5896</v>
      </c>
      <c r="F515" s="259">
        <f t="shared" si="17"/>
        <v>9.5325696029210416</v>
      </c>
      <c r="G515" s="259">
        <f t="shared" si="17"/>
        <v>19.459828697421983</v>
      </c>
      <c r="H515" s="261">
        <f t="shared" si="16"/>
        <v>1.0414043125852399</v>
      </c>
      <c r="I515" s="263" t="s">
        <v>1014</v>
      </c>
      <c r="K515" s="257"/>
      <c r="L515" s="257"/>
    </row>
    <row r="516" spans="1:12" ht="12.6" customHeight="1" x14ac:dyDescent="0.25">
      <c r="A516" s="180" t="s">
        <v>532</v>
      </c>
      <c r="B516" s="236">
        <v>401911.07</v>
      </c>
      <c r="C516" s="236">
        <f>W71</f>
        <v>463085.75</v>
      </c>
      <c r="D516" s="236">
        <v>4492</v>
      </c>
      <c r="E516" s="180">
        <f>W59</f>
        <v>4439</v>
      </c>
      <c r="F516" s="259">
        <f t="shared" si="17"/>
        <v>89.472633570792524</v>
      </c>
      <c r="G516" s="259">
        <f t="shared" si="17"/>
        <v>104.32208830817751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608156.40999999992</v>
      </c>
      <c r="C517" s="236">
        <f>X71</f>
        <v>708984.35</v>
      </c>
      <c r="D517" s="236">
        <v>10003</v>
      </c>
      <c r="E517" s="180">
        <f>X59</f>
        <v>9980</v>
      </c>
      <c r="F517" s="259">
        <f t="shared" si="17"/>
        <v>60.797401779466149</v>
      </c>
      <c r="G517" s="259">
        <f t="shared" si="17"/>
        <v>71.040516032064133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3539169.6300000004</v>
      </c>
      <c r="C518" s="236">
        <f>Y71</f>
        <v>3737306.05</v>
      </c>
      <c r="D518" s="236">
        <v>33623</v>
      </c>
      <c r="E518" s="180">
        <f>Y59</f>
        <v>32914</v>
      </c>
      <c r="F518" s="259">
        <f t="shared" si="17"/>
        <v>105.26037623055647</v>
      </c>
      <c r="G518" s="259">
        <f t="shared" si="17"/>
        <v>113.54761043932672</v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1937698.79</v>
      </c>
      <c r="C519" s="236">
        <f>Z71</f>
        <v>1584523.74</v>
      </c>
      <c r="D519" s="236">
        <v>13182</v>
      </c>
      <c r="E519" s="180">
        <f>Z59</f>
        <v>10854</v>
      </c>
      <c r="F519" s="259">
        <f t="shared" si="17"/>
        <v>146.9958117129419</v>
      </c>
      <c r="G519" s="259">
        <f t="shared" si="17"/>
        <v>145.98523493642895</v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396761.97</v>
      </c>
      <c r="C520" s="236">
        <f>AA71</f>
        <v>424170.69999999995</v>
      </c>
      <c r="D520" s="236">
        <v>1067</v>
      </c>
      <c r="E520" s="180">
        <f>AA59</f>
        <v>967</v>
      </c>
      <c r="F520" s="259">
        <f t="shared" si="17"/>
        <v>371.84814432989685</v>
      </c>
      <c r="G520" s="259">
        <f t="shared" si="17"/>
        <v>438.64601861427087</v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8555873.6699999999</v>
      </c>
      <c r="C521" s="236">
        <f>AB71</f>
        <v>7368687.0699999994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1099820.8</v>
      </c>
      <c r="C522" s="236">
        <f>AC71</f>
        <v>1122671.21</v>
      </c>
      <c r="D522" s="236">
        <v>11543</v>
      </c>
      <c r="E522" s="180">
        <f>AC59</f>
        <v>12001</v>
      </c>
      <c r="F522" s="259">
        <f t="shared" si="17"/>
        <v>95.280325738542842</v>
      </c>
      <c r="G522" s="259">
        <f t="shared" si="17"/>
        <v>93.548138488459287</v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1973885.96</v>
      </c>
      <c r="C524" s="236">
        <f>AE71</f>
        <v>1828937.13</v>
      </c>
      <c r="D524" s="236">
        <v>19062</v>
      </c>
      <c r="E524" s="180">
        <f>AE59</f>
        <v>16203</v>
      </c>
      <c r="F524" s="259">
        <f t="shared" si="17"/>
        <v>103.55083202182352</v>
      </c>
      <c r="G524" s="259">
        <f t="shared" si="17"/>
        <v>112.87645065728569</v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3434075.7500000005</v>
      </c>
      <c r="C526" s="236">
        <f>AG71</f>
        <v>3477180.0400000005</v>
      </c>
      <c r="D526" s="236">
        <v>17631</v>
      </c>
      <c r="E526" s="180">
        <f>AG59</f>
        <v>17418</v>
      </c>
      <c r="F526" s="259">
        <f t="shared" si="17"/>
        <v>194.77487096591233</v>
      </c>
      <c r="G526" s="259">
        <f t="shared" si="17"/>
        <v>199.63141807325758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171424.32</v>
      </c>
      <c r="C527" s="236">
        <f>AH71</f>
        <v>57296.07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1040031.79</v>
      </c>
      <c r="C528" s="236">
        <f>AI71</f>
        <v>1144900.54</v>
      </c>
      <c r="D528" s="236">
        <v>440</v>
      </c>
      <c r="E528" s="180">
        <f>AI59</f>
        <v>524</v>
      </c>
      <c r="F528" s="259">
        <f t="shared" ref="F528:G540" si="18">IF(B528=0,"",IF(D528=0,"",B528/D528))</f>
        <v>2363.7086136363637</v>
      </c>
      <c r="G528" s="259">
        <f t="shared" si="18"/>
        <v>2184.9246946564886</v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13673075.219999997</v>
      </c>
      <c r="C529" s="236">
        <f>AJ71</f>
        <v>13462715.880000001</v>
      </c>
      <c r="D529" s="236">
        <v>66110</v>
      </c>
      <c r="E529" s="180">
        <f>AJ59</f>
        <v>57892</v>
      </c>
      <c r="F529" s="259">
        <f t="shared" si="18"/>
        <v>206.82310119497802</v>
      </c>
      <c r="G529" s="259">
        <f t="shared" si="18"/>
        <v>232.5488129620673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269294.51999999996</v>
      </c>
      <c r="C531" s="236">
        <f>AL71</f>
        <v>286930.59999999998</v>
      </c>
      <c r="D531" s="236">
        <v>2783</v>
      </c>
      <c r="E531" s="180">
        <f>AL59</f>
        <v>2687</v>
      </c>
      <c r="F531" s="259">
        <f t="shared" si="18"/>
        <v>96.764110671936749</v>
      </c>
      <c r="G531" s="259">
        <f t="shared" si="18"/>
        <v>106.78474134722738</v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10685.099999999999</v>
      </c>
      <c r="C535" s="236">
        <f>AP71</f>
        <v>12911.89</v>
      </c>
      <c r="D535" s="236">
        <v>511.83</v>
      </c>
      <c r="E535" s="180">
        <f>AP59</f>
        <v>508.24</v>
      </c>
      <c r="F535" s="259">
        <f t="shared" si="18"/>
        <v>20.876267510696909</v>
      </c>
      <c r="G535" s="259">
        <f t="shared" si="18"/>
        <v>25.405103887926963</v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1198294.52</v>
      </c>
      <c r="C537" s="236">
        <f>AR71</f>
        <v>40.07</v>
      </c>
      <c r="D537" s="236">
        <v>4781</v>
      </c>
      <c r="E537" s="180">
        <f>AR59</f>
        <v>0</v>
      </c>
      <c r="F537" s="259">
        <f t="shared" si="18"/>
        <v>250.63679564944573</v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-120397.66</v>
      </c>
      <c r="C541" s="236">
        <f>AV71</f>
        <v>-29386.42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225428.19</v>
      </c>
      <c r="C543" s="236">
        <f>AX71</f>
        <v>187117.6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1329019.0699999998</v>
      </c>
      <c r="C544" s="236">
        <f>AY71</f>
        <v>1355294.1900000002</v>
      </c>
      <c r="D544" s="236">
        <v>206545</v>
      </c>
      <c r="E544" s="180">
        <f>AY59</f>
        <v>201221</v>
      </c>
      <c r="F544" s="259">
        <f t="shared" ref="F544:G550" si="19">IF(B544=0,"",IF(D544=0,"",B544/D544))</f>
        <v>6.4345255029170394</v>
      </c>
      <c r="G544" s="259">
        <f t="shared" si="19"/>
        <v>6.7353516283091732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276772.47999999998</v>
      </c>
      <c r="C546" s="236">
        <f>BA71</f>
        <v>272971.66000000003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715496.73</v>
      </c>
      <c r="C549" s="236">
        <f>BD71</f>
        <v>720535.07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2032130.34</v>
      </c>
      <c r="C550" s="236">
        <f>BE71</f>
        <v>2054322.7799999998</v>
      </c>
      <c r="D550" s="236">
        <v>205925</v>
      </c>
      <c r="E550" s="180">
        <f>BE59</f>
        <v>205935</v>
      </c>
      <c r="F550" s="259">
        <f t="shared" si="19"/>
        <v>9.868303217190725</v>
      </c>
      <c r="G550" s="259">
        <f t="shared" si="19"/>
        <v>9.9755883167018702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1953535.9200000002</v>
      </c>
      <c r="C551" s="236">
        <f>BF71</f>
        <v>1763830.35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2747781.8600000003</v>
      </c>
      <c r="C553" s="236">
        <f>BH71</f>
        <v>3443802.49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520689.15</v>
      </c>
      <c r="C555" s="236">
        <f>BJ71</f>
        <v>675237.88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1741596.1599999997</v>
      </c>
      <c r="C556" s="236">
        <f>BK71</f>
        <v>1799787.05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1738028.4599999997</v>
      </c>
      <c r="C557" s="236">
        <f>BL71</f>
        <v>1867451.38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2073055.9800000002</v>
      </c>
      <c r="C559" s="236">
        <f>BN71</f>
        <v>2234095.9300000002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128113.34999999999</v>
      </c>
      <c r="C560" s="236">
        <f>BO71</f>
        <v>160243.18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482936.94</v>
      </c>
      <c r="C561" s="236">
        <f>BP71</f>
        <v>490576.35000000003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727798.55999999994</v>
      </c>
      <c r="C563" s="236">
        <f>BR71</f>
        <v>763024.28999999992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78490.989999999991</v>
      </c>
      <c r="C564" s="236">
        <f>BS71</f>
        <v>79397.570000000007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10739.15</v>
      </c>
      <c r="C565" s="236">
        <f>BT71</f>
        <v>-1252.83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25685.51</v>
      </c>
      <c r="C566" s="236">
        <f>BU71</f>
        <v>24744.67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812878.2899999998</v>
      </c>
      <c r="C567" s="236">
        <f>BV71</f>
        <v>780489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117688.94999999998</v>
      </c>
      <c r="C568" s="236">
        <f>BW71</f>
        <v>119150.24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687518.96999999986</v>
      </c>
      <c r="C569" s="236">
        <f>BX71</f>
        <v>780382.13000000012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277944.00999999995</v>
      </c>
      <c r="C570" s="236">
        <f>BY71</f>
        <v>348505.89999999997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28833.599999999991</v>
      </c>
      <c r="C573" s="236">
        <f>CB71</f>
        <v>35746.99000000002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3338249.73</v>
      </c>
      <c r="C574" s="236">
        <f>CC71</f>
        <v>4104359.5900000003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0</v>
      </c>
      <c r="C575" s="236">
        <f>CD71</f>
        <v>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194122</v>
      </c>
      <c r="E612" s="180">
        <f>SUM(C624:D647)+SUM(C668:D713)</f>
        <v>87614208.12158972</v>
      </c>
      <c r="F612" s="180">
        <f>CE64-(AX64+BD64+BE64+BG64+BJ64+BN64+BP64+BQ64+CB64+CC64+CD64)</f>
        <v>23306833.470000006</v>
      </c>
      <c r="G612" s="180">
        <f>CE77-(AX77+AY77+BD77+BE77+BG77+BJ77+BN77+BP77+BQ77+CB77+CC77+CD77)</f>
        <v>26283</v>
      </c>
      <c r="H612" s="197">
        <f>CE60-(AX60+AY60+AZ60+BD60+BE60+BG60+BJ60+BN60+BO60+BP60+BQ60+BR60+CB60+CC60+CD60)</f>
        <v>490.41000000000008</v>
      </c>
      <c r="I612" s="180">
        <f>CE78-(AX78+AY78+AZ78+BD78+BE78+BF78+BG78+BJ78+BN78+BO78+BP78+BQ78+BR78+CB78+CC78+CD78)</f>
        <v>132143</v>
      </c>
      <c r="J612" s="180">
        <f>CE79-(AX79+AY79+AZ79+BA79+BD79+BE79+BF79+BG79+BJ79+BN79+BO79+BP79+BQ79+BR79+CB79+CC79+CD79)</f>
        <v>462737</v>
      </c>
      <c r="K612" s="180">
        <f>CE75-(AW75+AX75+AY75+AZ75+BA75+BB75+BC75+BD75+BE75+BF75+BG75+BH75+BI75+BJ75+BK75+BL75+BM75+BN75+BO75+BP75+BQ75+BR75+BS75+BT75+BU75+BV75+BW75+BX75+CB75+CC75+CD75)</f>
        <v>230662937.81</v>
      </c>
      <c r="L612" s="197">
        <f>CE80-(AW80+AX80+AY80+AZ80+BA80+BB80+BC80+BD80+BE80+BF80+BG80+BH80+BI80+BJ80+BK80+BL80+BM80+BN80+BO80+BP80+BQ80+BR80+BS80+BT80+BU80+BV80+BW80+BX80+BY80+BZ80+CA80+CB80+CC80+CD80)</f>
        <v>113.24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2054322.7799999998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0</v>
      </c>
      <c r="D615" s="262">
        <f>SUM(C614:C615)</f>
        <v>2054322.7799999998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187117.6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675237.88</v>
      </c>
      <c r="D617" s="180">
        <f>(D615/D612)*BJ76</f>
        <v>13133.053285974798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2234095.9300000002</v>
      </c>
      <c r="D619" s="180">
        <f>(D615/D612)*BN76</f>
        <v>17217.951407156324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4104359.5900000003</v>
      </c>
      <c r="D620" s="180">
        <f>(D615/D612)*CC76</f>
        <v>484261.49747478386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490576.35000000003</v>
      </c>
      <c r="D621" s="180">
        <f>(D615/D612)*BP76</f>
        <v>1365.1602529337219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35746.99000000002</v>
      </c>
      <c r="D622" s="180">
        <f>(D615/D612)*CB76</f>
        <v>6804.6359894293273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8249916.6384102786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720535.07</v>
      </c>
      <c r="D624" s="180">
        <f>(D615/D612)*BD76</f>
        <v>50701.416835701253</v>
      </c>
      <c r="E624" s="180">
        <f>(E623/E612)*SUM(C624:D624)</f>
        <v>72621.060685328179</v>
      </c>
      <c r="F624" s="180">
        <f>SUM(C624:E624)</f>
        <v>843857.54752102937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1355294.1900000002</v>
      </c>
      <c r="D625" s="180">
        <f>(D615/D612)*AY76</f>
        <v>44468.243277732559</v>
      </c>
      <c r="E625" s="180">
        <f>(E623/E612)*SUM(C625:D625)</f>
        <v>131804.2317074142</v>
      </c>
      <c r="F625" s="180">
        <f>(F624/F612)*AY64</f>
        <v>19357.496189249701</v>
      </c>
      <c r="G625" s="180">
        <f>SUM(C625:F625)</f>
        <v>1550924.1611743965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763024.28999999992</v>
      </c>
      <c r="D626" s="180">
        <f>(D615/D612)*BR76</f>
        <v>12625.086680232018</v>
      </c>
      <c r="E626" s="180">
        <f>(E623/E612)*SUM(C626:D626)</f>
        <v>73036.586592967986</v>
      </c>
      <c r="F626" s="180">
        <f>(F624/F612)*BR64</f>
        <v>238.57113497237725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160243.18</v>
      </c>
      <c r="D627" s="180">
        <f>(D615/D612)*BO76</f>
        <v>0</v>
      </c>
      <c r="E627" s="180">
        <f>(E623/E612)*SUM(C627:D627)</f>
        <v>15088.795587116767</v>
      </c>
      <c r="F627" s="180">
        <f>(F624/F612)*BO64</f>
        <v>937.24108077457277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1025193.7510760636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1763830.35</v>
      </c>
      <c r="D629" s="180">
        <f>(D615/D612)*BF76</f>
        <v>25324.251823801525</v>
      </c>
      <c r="E629" s="180">
        <f>(E623/E612)*SUM(C629:D629)</f>
        <v>168470.12185272807</v>
      </c>
      <c r="F629" s="180">
        <f>(F624/F612)*BF64</f>
        <v>7919.55014546643</v>
      </c>
      <c r="G629" s="180">
        <f>(G625/G612)*BF77</f>
        <v>0</v>
      </c>
      <c r="H629" s="180">
        <f>(H628/H612)*BF60</f>
        <v>58115.42643892776</v>
      </c>
      <c r="I629" s="180">
        <f>SUM(C629:H629)</f>
        <v>2023659.7002609237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272971.66000000003</v>
      </c>
      <c r="D630" s="180">
        <f>(D615/D612)*BA76</f>
        <v>3037.2169968370404</v>
      </c>
      <c r="E630" s="180">
        <f>(E623/E612)*SUM(C630:D630)</f>
        <v>25989.508728140132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4395.1653434149757</v>
      </c>
      <c r="J630" s="180">
        <f>SUM(C630:I630)</f>
        <v>306393.55106839223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1799787.05</v>
      </c>
      <c r="D635" s="180">
        <f>(D615/D612)*BK76</f>
        <v>36425.438686805202</v>
      </c>
      <c r="E635" s="180">
        <f>(E623/E612)*SUM(C635:D635)</f>
        <v>172901.179921081</v>
      </c>
      <c r="F635" s="180">
        <f>(F624/F612)*BK64</f>
        <v>939.79327297182363</v>
      </c>
      <c r="G635" s="180">
        <f>(G625/G612)*BK77</f>
        <v>0</v>
      </c>
      <c r="H635" s="180">
        <f>(H628/H612)*BK60</f>
        <v>48227.442012448322</v>
      </c>
      <c r="I635" s="180">
        <f>(I629/I612)*BK78</f>
        <v>52711.355791060436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3443802.49</v>
      </c>
      <c r="D636" s="180">
        <f>(D615/D612)*BH76</f>
        <v>18837.094962961437</v>
      </c>
      <c r="E636" s="180">
        <f>(E623/E612)*SUM(C636:D636)</f>
        <v>326048.57747683849</v>
      </c>
      <c r="F636" s="180">
        <f>(F624/F612)*BH64</f>
        <v>704.75986958681153</v>
      </c>
      <c r="G636" s="180">
        <f>(G625/G612)*BH77</f>
        <v>0</v>
      </c>
      <c r="H636" s="180">
        <f>(H628/H612)*BH60</f>
        <v>28263.329692600837</v>
      </c>
      <c r="I636" s="180">
        <f>(I629/I612)*BH78</f>
        <v>27259.213628148627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1867451.38</v>
      </c>
      <c r="D637" s="180">
        <f>(D615/D612)*BL76</f>
        <v>128314.48113815022</v>
      </c>
      <c r="E637" s="180">
        <f>(E623/E612)*SUM(C637:D637)</f>
        <v>187925.02194763994</v>
      </c>
      <c r="F637" s="180">
        <f>(F624/F612)*BL64</f>
        <v>2004.6533772842267</v>
      </c>
      <c r="G637" s="180">
        <f>(G625/G612)*BL77</f>
        <v>0</v>
      </c>
      <c r="H637" s="180">
        <f>(H628/H612)*BL60</f>
        <v>59578.7645147281</v>
      </c>
      <c r="I637" s="180">
        <f>(I629/I612)*BL78</f>
        <v>185684.25013556299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79397.570000000007</v>
      </c>
      <c r="D639" s="180">
        <f>(D615/D612)*BS76</f>
        <v>11926.632597335694</v>
      </c>
      <c r="E639" s="180">
        <f>(E623/E612)*SUM(C639:D639)</f>
        <v>8599.2566120295214</v>
      </c>
      <c r="F639" s="180">
        <f>(F624/F612)*BS64</f>
        <v>30.704874349248474</v>
      </c>
      <c r="G639" s="180">
        <f>(G625/G612)*BS77</f>
        <v>0</v>
      </c>
      <c r="H639" s="180">
        <f>(H628/H612)*BS60</f>
        <v>2111.3877950833466</v>
      </c>
      <c r="I639" s="180">
        <f>(I629/I612)*BS78</f>
        <v>17259.063909507586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-1252.83</v>
      </c>
      <c r="D640" s="180">
        <f>(D615/D612)*BT76</f>
        <v>4137.8113092797312</v>
      </c>
      <c r="E640" s="180">
        <f>(E623/E612)*SUM(C640:D640)</f>
        <v>271.65520085394189</v>
      </c>
      <c r="F640" s="180">
        <f>(F624/F612)*BT64</f>
        <v>7.3643905932871174</v>
      </c>
      <c r="G640" s="180">
        <f>(G625/G612)*BT77</f>
        <v>0</v>
      </c>
      <c r="H640" s="180">
        <f>(H628/H612)*BT60</f>
        <v>188.14346688861505</v>
      </c>
      <c r="I640" s="180">
        <f>(I629/I612)*BT78</f>
        <v>5987.8384992169176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24744.67</v>
      </c>
      <c r="D641" s="180">
        <f>(D615/D612)*BU76</f>
        <v>5905.1117917598203</v>
      </c>
      <c r="E641" s="180">
        <f>(E623/E612)*SUM(C641:D641)</f>
        <v>2886.0404058731074</v>
      </c>
      <c r="F641" s="180">
        <f>(F624/F612)*BU64</f>
        <v>0</v>
      </c>
      <c r="G641" s="180">
        <f>(G625/G612)*BU77</f>
        <v>0</v>
      </c>
      <c r="H641" s="180">
        <f>(H628/H612)*BU60</f>
        <v>752.57386755446021</v>
      </c>
      <c r="I641" s="180">
        <f>(I629/I612)*BU78</f>
        <v>8545.3040474758054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780489</v>
      </c>
      <c r="D642" s="180">
        <f>(D615/D612)*BV76</f>
        <v>15090.84124560843</v>
      </c>
      <c r="E642" s="180">
        <f>(E623/E612)*SUM(C642:D642)</f>
        <v>74913.276170541518</v>
      </c>
      <c r="F642" s="180">
        <f>(F624/F612)*BV64</f>
        <v>292.03936236934226</v>
      </c>
      <c r="G642" s="180">
        <f>(G625/G612)*BV77</f>
        <v>0</v>
      </c>
      <c r="H642" s="180">
        <f>(H628/H612)*BV60</f>
        <v>20904.829654290559</v>
      </c>
      <c r="I642" s="180">
        <f>(I629/I612)*BV78</f>
        <v>21837.999232438171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119150.24</v>
      </c>
      <c r="D643" s="180">
        <f>(D615/D612)*BW76</f>
        <v>2603.3288544317488</v>
      </c>
      <c r="E643" s="180">
        <f>(E623/E612)*SUM(C643:D643)</f>
        <v>11464.542281590189</v>
      </c>
      <c r="F643" s="180">
        <f>(F624/F612)*BW64</f>
        <v>17.045993565976278</v>
      </c>
      <c r="G643" s="180">
        <f>(G625/G612)*BW77</f>
        <v>0</v>
      </c>
      <c r="H643" s="180">
        <f>(H628/H612)*BW60</f>
        <v>2090.4829654290561</v>
      </c>
      <c r="I643" s="180">
        <f>(I629/I612)*BW78</f>
        <v>3767.2845800699788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780382.13000000012</v>
      </c>
      <c r="D644" s="180">
        <f>(D615/D612)*BX76</f>
        <v>2116.527523928251</v>
      </c>
      <c r="E644" s="180">
        <f>(E623/E612)*SUM(C644:D644)</f>
        <v>73681.527604306437</v>
      </c>
      <c r="F644" s="180">
        <f>(F624/F612)*BX64</f>
        <v>113.17735944764142</v>
      </c>
      <c r="G644" s="180">
        <f>(G625/G612)*BX77</f>
        <v>0</v>
      </c>
      <c r="H644" s="180">
        <f>(H628/H612)*BX60</f>
        <v>14988.762862126332</v>
      </c>
      <c r="I644" s="180">
        <f>(I629/I612)*BX78</f>
        <v>3062.8329919268122</v>
      </c>
      <c r="J644" s="180">
        <f>(J630/J612)*BX79</f>
        <v>0</v>
      </c>
      <c r="K644" s="180">
        <f>SUM(C631:J644)</f>
        <v>10485330.443877738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348505.89999999997</v>
      </c>
      <c r="D645" s="180">
        <f>(D615/D612)*BY76</f>
        <v>0</v>
      </c>
      <c r="E645" s="180">
        <f>(E623/E612)*SUM(C645:D645)</f>
        <v>32815.96312557051</v>
      </c>
      <c r="F645" s="180">
        <f>(F624/F612)*BY64</f>
        <v>400.24485300542921</v>
      </c>
      <c r="G645" s="180">
        <f>(G625/G612)*BY77</f>
        <v>0</v>
      </c>
      <c r="H645" s="180">
        <f>(H628/H612)*BY60</f>
        <v>4912.6349687582824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386634.74294733419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24059813.459999997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1656514.7800000003</v>
      </c>
      <c r="D668" s="180">
        <f>(D615/D612)*C76</f>
        <v>39071.098091715518</v>
      </c>
      <c r="E668" s="180">
        <f>(E623/E612)*SUM(C668:D668)</f>
        <v>159659.51695995918</v>
      </c>
      <c r="F668" s="180">
        <f>(F624/F612)*C64</f>
        <v>1858.1946929729893</v>
      </c>
      <c r="G668" s="180">
        <f>(G625/G612)*C77</f>
        <v>185582.18190060029</v>
      </c>
      <c r="H668" s="180">
        <f>(H628/H612)*C60</f>
        <v>29308.571175315366</v>
      </c>
      <c r="I668" s="180">
        <f>(I629/I612)*C78</f>
        <v>56539.897030968954</v>
      </c>
      <c r="J668" s="180">
        <f>(J630/J612)*C79</f>
        <v>27009.467826920943</v>
      </c>
      <c r="K668" s="180">
        <f>(K644/K612)*C75</f>
        <v>48436.554812769886</v>
      </c>
      <c r="L668" s="180">
        <f>(L647/L612)*C80</f>
        <v>32230.942894938489</v>
      </c>
      <c r="M668" s="180">
        <f t="shared" ref="M668:M713" si="20">ROUND(SUM(D668:L668),0)</f>
        <v>579696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6745473.9199999999</v>
      </c>
      <c r="D670" s="180">
        <f>(D615/D612)*E76</f>
        <v>245104.46990851112</v>
      </c>
      <c r="E670" s="180">
        <f>(E623/E612)*SUM(C670:D670)</f>
        <v>658245.85084398219</v>
      </c>
      <c r="F670" s="180">
        <f>(F624/F612)*E64</f>
        <v>8537.1310543736217</v>
      </c>
      <c r="G670" s="180">
        <f>(G625/G612)*E77</f>
        <v>1205369.5483890499</v>
      </c>
      <c r="H670" s="180">
        <f>(H628/H612)*E60</f>
        <v>125282.64411816333</v>
      </c>
      <c r="I670" s="180">
        <f>(I629/I612)*E78</f>
        <v>354691.37463008449</v>
      </c>
      <c r="J670" s="180">
        <f>(J630/J612)*E79</f>
        <v>259884.25919678897</v>
      </c>
      <c r="K670" s="180">
        <f>(K644/K612)*E75</f>
        <v>513667.48592684156</v>
      </c>
      <c r="L670" s="180">
        <f>(L647/L612)*E80</f>
        <v>102736.13047761645</v>
      </c>
      <c r="M670" s="180">
        <f t="shared" si="20"/>
        <v>3473519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14705.18</v>
      </c>
      <c r="D675" s="180">
        <f>(D615/D612)*J76</f>
        <v>0</v>
      </c>
      <c r="E675" s="180">
        <f>(E623/E612)*SUM(C675:D675)</f>
        <v>1384.6670734552183</v>
      </c>
      <c r="F675" s="180">
        <f>(F624/F612)*J64</f>
        <v>532.42226777086455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31378.404082508954</v>
      </c>
      <c r="L675" s="180">
        <f>(L647/L612)*J80</f>
        <v>0</v>
      </c>
      <c r="M675" s="180">
        <f t="shared" si="20"/>
        <v>33295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2336072.2799999998</v>
      </c>
      <c r="D680" s="180">
        <f>(D615/D612)*O76</f>
        <v>56225.553673153991</v>
      </c>
      <c r="E680" s="180">
        <f>(E623/E612)*SUM(C680:D680)</f>
        <v>225263.20930348794</v>
      </c>
      <c r="F680" s="180">
        <f>(F624/F612)*O64</f>
        <v>3804.1462014627114</v>
      </c>
      <c r="G680" s="180">
        <f>(G625/G612)*O77</f>
        <v>159972.43088474637</v>
      </c>
      <c r="H680" s="180">
        <f>(H628/H612)*O60</f>
        <v>28346.949011218003</v>
      </c>
      <c r="I680" s="180">
        <f>(I629/I612)*O78</f>
        <v>81364.158430535768</v>
      </c>
      <c r="J680" s="180">
        <f>(J630/J612)*O79</f>
        <v>1497.0832653659311</v>
      </c>
      <c r="K680" s="180">
        <f>(K644/K612)*O75</f>
        <v>135759.13197378986</v>
      </c>
      <c r="L680" s="180">
        <f>(L647/L612)*O80</f>
        <v>40322.821566655039</v>
      </c>
      <c r="M680" s="180">
        <f t="shared" si="20"/>
        <v>732555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18127108.219999995</v>
      </c>
      <c r="D681" s="180">
        <f>(D615/D612)*P76</f>
        <v>122800.92693831713</v>
      </c>
      <c r="E681" s="180">
        <f>(E623/E612)*SUM(C681:D681)</f>
        <v>1718445.3566236314</v>
      </c>
      <c r="F681" s="180">
        <f>(F624/F612)*P64</f>
        <v>450090.38351630053</v>
      </c>
      <c r="G681" s="180">
        <f>(G625/G612)*P77</f>
        <v>0</v>
      </c>
      <c r="H681" s="180">
        <f>(H628/H612)*P60</f>
        <v>62150.058562205828</v>
      </c>
      <c r="I681" s="180">
        <f>(I629/I612)*P78</f>
        <v>177705.57019159364</v>
      </c>
      <c r="J681" s="180">
        <f>(J630/J612)*P79</f>
        <v>18002.740779316362</v>
      </c>
      <c r="K681" s="180">
        <f>(K644/K612)*P75</f>
        <v>2437473.8531844211</v>
      </c>
      <c r="L681" s="180">
        <f>(L647/L612)*P80</f>
        <v>43600.544572919971</v>
      </c>
      <c r="M681" s="180">
        <f t="shared" si="20"/>
        <v>5030269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1351171.55</v>
      </c>
      <c r="D682" s="180">
        <f>(D615/D612)*Q76</f>
        <v>0</v>
      </c>
      <c r="E682" s="180">
        <f>(E623/E612)*SUM(C682:D682)</f>
        <v>127228.82384808967</v>
      </c>
      <c r="F682" s="180">
        <f>(F624/F612)*Q64</f>
        <v>1088.7762705188723</v>
      </c>
      <c r="G682" s="180">
        <f>(G625/G612)*Q77</f>
        <v>0</v>
      </c>
      <c r="H682" s="180">
        <f>(H628/H612)*Q60</f>
        <v>20800.305506019107</v>
      </c>
      <c r="I682" s="180">
        <f>(I629/I612)*Q78</f>
        <v>0</v>
      </c>
      <c r="J682" s="180">
        <f>(J630/J612)*Q79</f>
        <v>0</v>
      </c>
      <c r="K682" s="180">
        <f>(K644/K612)*Q75</f>
        <v>244142.71401653756</v>
      </c>
      <c r="L682" s="180">
        <f>(L647/L612)*Q80</f>
        <v>30626.224339787954</v>
      </c>
      <c r="M682" s="180">
        <f t="shared" si="20"/>
        <v>423887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423279.89</v>
      </c>
      <c r="D683" s="180">
        <f>(D615/D612)*R76</f>
        <v>5291.3188098206283</v>
      </c>
      <c r="E683" s="180">
        <f>(E623/E612)*SUM(C683:D683)</f>
        <v>40355.06137768185</v>
      </c>
      <c r="F683" s="180">
        <f>(F624/F612)*R64</f>
        <v>7704.1265139065426</v>
      </c>
      <c r="G683" s="180">
        <f>(G625/G612)*R77</f>
        <v>0</v>
      </c>
      <c r="H683" s="180">
        <f>(H628/H612)*R60</f>
        <v>3156.6292777978747</v>
      </c>
      <c r="I683" s="180">
        <f>(I629/I612)*R78</f>
        <v>7657.0824798170306</v>
      </c>
      <c r="J683" s="180">
        <f>(J630/J612)*R79</f>
        <v>0</v>
      </c>
      <c r="K683" s="180">
        <f>(K644/K612)*R75</f>
        <v>442447.26193065883</v>
      </c>
      <c r="L683" s="180">
        <f>(L647/L612)*R80</f>
        <v>5155.5851452708812</v>
      </c>
      <c r="M683" s="180">
        <f t="shared" si="20"/>
        <v>511767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635214.39</v>
      </c>
      <c r="D684" s="180">
        <f>(D615/D612)*S76</f>
        <v>32075.974625132647</v>
      </c>
      <c r="E684" s="180">
        <f>(E623/E612)*SUM(C684:D684)</f>
        <v>62833.300668903605</v>
      </c>
      <c r="F684" s="180">
        <f>(F624/F612)*S64</f>
        <v>4786.8781439537233</v>
      </c>
      <c r="G684" s="180">
        <f>(G625/G612)*S77</f>
        <v>0</v>
      </c>
      <c r="H684" s="180">
        <f>(H628/H612)*S60</f>
        <v>15908.575366915118</v>
      </c>
      <c r="I684" s="180">
        <f>(I629/I612)*S78</f>
        <v>46417.233992650836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162022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4749081.2700000005</v>
      </c>
      <c r="D686" s="180">
        <f>(D615/D612)*U76</f>
        <v>41695.592221386549</v>
      </c>
      <c r="E686" s="180">
        <f>(E623/E612)*SUM(C686:D686)</f>
        <v>451108.45140209515</v>
      </c>
      <c r="F686" s="180">
        <f>(F624/F612)*U64</f>
        <v>60099.677197487435</v>
      </c>
      <c r="G686" s="180">
        <f>(G625/G612)*U77</f>
        <v>0</v>
      </c>
      <c r="H686" s="180">
        <f>(H628/H612)*U60</f>
        <v>49189.064176545689</v>
      </c>
      <c r="I686" s="180">
        <f>(I629/I612)*U78</f>
        <v>60337.809940958199</v>
      </c>
      <c r="J686" s="180">
        <f>(J630/J612)*U79</f>
        <v>0</v>
      </c>
      <c r="K686" s="180">
        <f>(K644/K612)*U75</f>
        <v>904761.94504035672</v>
      </c>
      <c r="L686" s="180">
        <f>(L647/L612)*U80</f>
        <v>0</v>
      </c>
      <c r="M686" s="180">
        <f t="shared" si="20"/>
        <v>1567193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114735.15000000001</v>
      </c>
      <c r="D687" s="180">
        <f>(D615/D612)*V76</f>
        <v>105.82637619641255</v>
      </c>
      <c r="E687" s="180">
        <f>(E623/E612)*SUM(C687:D687)</f>
        <v>10813.63972910007</v>
      </c>
      <c r="F687" s="180">
        <f>(F624/F612)*V64</f>
        <v>72.860036432651569</v>
      </c>
      <c r="G687" s="180">
        <f>(G625/G612)*V77</f>
        <v>0</v>
      </c>
      <c r="H687" s="180">
        <f>(H628/H612)*V60</f>
        <v>2090.4829654290561</v>
      </c>
      <c r="I687" s="180">
        <f>(I629/I612)*V78</f>
        <v>153.14164959634061</v>
      </c>
      <c r="J687" s="180">
        <f>(J630/J612)*V79</f>
        <v>0</v>
      </c>
      <c r="K687" s="180">
        <f>(K644/K612)*V75</f>
        <v>30133.76129843391</v>
      </c>
      <c r="L687" s="180">
        <f>(L647/L612)*V80</f>
        <v>0</v>
      </c>
      <c r="M687" s="180">
        <f t="shared" si="20"/>
        <v>43370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463085.75</v>
      </c>
      <c r="D688" s="180">
        <f>(D615/D612)*W76</f>
        <v>0</v>
      </c>
      <c r="E688" s="180">
        <f>(E623/E612)*SUM(C688:D688)</f>
        <v>43605.014709871954</v>
      </c>
      <c r="F688" s="180">
        <f>(F624/F612)*W64</f>
        <v>1267.4706376075005</v>
      </c>
      <c r="G688" s="180">
        <f>(G625/G612)*W77</f>
        <v>0</v>
      </c>
      <c r="H688" s="180">
        <f>(H628/H612)*W60</f>
        <v>4369.1093977467272</v>
      </c>
      <c r="I688" s="180">
        <f>(I629/I612)*W78</f>
        <v>0</v>
      </c>
      <c r="J688" s="180">
        <f>(J630/J612)*W79</f>
        <v>0</v>
      </c>
      <c r="K688" s="180">
        <f>(K644/K612)*W75</f>
        <v>437782.19936352322</v>
      </c>
      <c r="L688" s="180">
        <f>(L647/L612)*W80</f>
        <v>0</v>
      </c>
      <c r="M688" s="180">
        <f t="shared" si="20"/>
        <v>487024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708984.35</v>
      </c>
      <c r="D689" s="180">
        <f>(D615/D612)*X76</f>
        <v>0</v>
      </c>
      <c r="E689" s="180">
        <f>(E623/E612)*SUM(C689:D689)</f>
        <v>66759.283806117994</v>
      </c>
      <c r="F689" s="180">
        <f>(F624/F612)*X64</f>
        <v>5358.4185773332365</v>
      </c>
      <c r="G689" s="180">
        <f>(G625/G612)*X77</f>
        <v>0</v>
      </c>
      <c r="H689" s="180">
        <f>(H628/H612)*X60</f>
        <v>7379.4048679645675</v>
      </c>
      <c r="I689" s="180">
        <f>(I629/I612)*X78</f>
        <v>0</v>
      </c>
      <c r="J689" s="180">
        <f>(J630/J612)*X79</f>
        <v>0</v>
      </c>
      <c r="K689" s="180">
        <f>(K644/K612)*X75</f>
        <v>780451.86984984577</v>
      </c>
      <c r="L689" s="180">
        <f>(L647/L612)*X80</f>
        <v>0</v>
      </c>
      <c r="M689" s="180">
        <f t="shared" si="20"/>
        <v>859949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3737306.05</v>
      </c>
      <c r="D690" s="180">
        <f>(D615/D612)*Y76</f>
        <v>115615.31599458071</v>
      </c>
      <c r="E690" s="180">
        <f>(E623/E612)*SUM(C690:D690)</f>
        <v>362798.23518683878</v>
      </c>
      <c r="F690" s="180">
        <f>(F624/F612)*Y64</f>
        <v>7193.2984931250976</v>
      </c>
      <c r="G690" s="180">
        <f>(G625/G612)*Y77</f>
        <v>0</v>
      </c>
      <c r="H690" s="180">
        <f>(H628/H612)*Y60</f>
        <v>52533.836921232185</v>
      </c>
      <c r="I690" s="180">
        <f>(I629/I612)*Y78</f>
        <v>167307.25218400211</v>
      </c>
      <c r="J690" s="180">
        <f>(J630/J612)*Y79</f>
        <v>0</v>
      </c>
      <c r="K690" s="180">
        <f>(K644/K612)*Y75</f>
        <v>658606.06230948796</v>
      </c>
      <c r="L690" s="180">
        <f>(L647/L612)*Y80</f>
        <v>6453.0171685840833</v>
      </c>
      <c r="M690" s="180">
        <f t="shared" si="20"/>
        <v>1370507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1584523.74</v>
      </c>
      <c r="D691" s="180">
        <f>(D615/D612)*Z76</f>
        <v>81486.309671237672</v>
      </c>
      <c r="E691" s="180">
        <f>(E623/E612)*SUM(C691:D691)</f>
        <v>156874.60199910885</v>
      </c>
      <c r="F691" s="180">
        <f>(F624/F612)*Z64</f>
        <v>3313.0724162156703</v>
      </c>
      <c r="G691" s="180">
        <f>(G625/G612)*Z77</f>
        <v>0</v>
      </c>
      <c r="H691" s="180">
        <f>(H628/H612)*Z60</f>
        <v>18730.727370244345</v>
      </c>
      <c r="I691" s="180">
        <f>(I629/I612)*Z78</f>
        <v>117919.07018918227</v>
      </c>
      <c r="J691" s="180">
        <f>(J630/J612)*Z79</f>
        <v>0</v>
      </c>
      <c r="K691" s="180">
        <f>(K644/K612)*Z75</f>
        <v>158321.70969353983</v>
      </c>
      <c r="L691" s="180">
        <f>(L647/L612)*Z80</f>
        <v>12120.746533583861</v>
      </c>
      <c r="M691" s="180">
        <f t="shared" si="20"/>
        <v>548766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424170.69999999995</v>
      </c>
      <c r="D692" s="180">
        <f>(D615/D612)*AA76</f>
        <v>0</v>
      </c>
      <c r="E692" s="180">
        <f>(E623/E612)*SUM(C692:D692)</f>
        <v>39940.70129127636</v>
      </c>
      <c r="F692" s="180">
        <f>(F624/F612)*AA64</f>
        <v>4351.0644429889062</v>
      </c>
      <c r="G692" s="180">
        <f>(G625/G612)*AA77</f>
        <v>0</v>
      </c>
      <c r="H692" s="180">
        <f>(H628/H612)*AA60</f>
        <v>3365.6775743407807</v>
      </c>
      <c r="I692" s="180">
        <f>(I629/I612)*AA78</f>
        <v>0</v>
      </c>
      <c r="J692" s="180">
        <f>(J630/J612)*AA79</f>
        <v>0</v>
      </c>
      <c r="K692" s="180">
        <f>(K644/K612)*AA75</f>
        <v>84553.753316094269</v>
      </c>
      <c r="L692" s="180">
        <f>(L647/L612)*AA80</f>
        <v>1331.5749712951283</v>
      </c>
      <c r="M692" s="180">
        <f t="shared" si="20"/>
        <v>133543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7368687.0699999994</v>
      </c>
      <c r="D693" s="180">
        <f>(D615/D612)*AB76</f>
        <v>20064.680926839821</v>
      </c>
      <c r="E693" s="180">
        <f>(E623/E612)*SUM(C693:D693)</f>
        <v>695738.59438939113</v>
      </c>
      <c r="F693" s="180">
        <f>(F624/F612)*AB64</f>
        <v>200788.53382155526</v>
      </c>
      <c r="G693" s="180">
        <f>(G625/G612)*AB77</f>
        <v>0</v>
      </c>
      <c r="H693" s="180">
        <f>(H628/H612)*AB60</f>
        <v>26507.324001640431</v>
      </c>
      <c r="I693" s="180">
        <f>(I629/I612)*AB78</f>
        <v>29035.656763466181</v>
      </c>
      <c r="J693" s="180">
        <f>(J630/J612)*AB79</f>
        <v>0</v>
      </c>
      <c r="K693" s="180">
        <f>(K644/K612)*AB75</f>
        <v>1245123.6925902076</v>
      </c>
      <c r="L693" s="180">
        <f>(L647/L612)*AB80</f>
        <v>0</v>
      </c>
      <c r="M693" s="180">
        <f t="shared" si="20"/>
        <v>2217258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1122671.21</v>
      </c>
      <c r="D694" s="180">
        <f>(D615/D612)*AC76</f>
        <v>43886.198208652284</v>
      </c>
      <c r="E694" s="180">
        <f>(E623/E612)*SUM(C694:D694)</f>
        <v>109845.21321342402</v>
      </c>
      <c r="F694" s="180">
        <f>(F624/F612)*AC64</f>
        <v>4301.5948552041473</v>
      </c>
      <c r="G694" s="180">
        <f>(G625/G612)*AC77</f>
        <v>0</v>
      </c>
      <c r="H694" s="180">
        <f>(H628/H612)*AC60</f>
        <v>21782.832499770764</v>
      </c>
      <c r="I694" s="180">
        <f>(I629/I612)*AC78</f>
        <v>63507.842087602454</v>
      </c>
      <c r="J694" s="180">
        <f>(J630/J612)*AC79</f>
        <v>0</v>
      </c>
      <c r="K694" s="180">
        <f>(K644/K612)*AC75</f>
        <v>137975.05464884031</v>
      </c>
      <c r="L694" s="180">
        <f>(L647/L612)*AC80</f>
        <v>3072.8653183733732</v>
      </c>
      <c r="M694" s="180">
        <f t="shared" si="20"/>
        <v>384372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1828937.13</v>
      </c>
      <c r="D696" s="180">
        <f>(D615/D612)*AE76</f>
        <v>78311.518385345291</v>
      </c>
      <c r="E696" s="180">
        <f>(E623/E612)*SUM(C696:D696)</f>
        <v>179590.07671522256</v>
      </c>
      <c r="F696" s="180">
        <f>(F624/F612)*AE64</f>
        <v>734.68920191782877</v>
      </c>
      <c r="G696" s="180">
        <f>(G625/G612)*AE77</f>
        <v>0</v>
      </c>
      <c r="H696" s="180">
        <f>(H628/H612)*AE60</f>
        <v>36541.642235699903</v>
      </c>
      <c r="I696" s="180">
        <f>(I629/I612)*AE78</f>
        <v>113324.82070129205</v>
      </c>
      <c r="J696" s="180">
        <f>(J630/J612)*AE79</f>
        <v>0</v>
      </c>
      <c r="K696" s="180">
        <f>(K644/K612)*AE75</f>
        <v>256588.98730223099</v>
      </c>
      <c r="L696" s="180">
        <f>(L647/L612)*AE80</f>
        <v>0</v>
      </c>
      <c r="M696" s="180">
        <f t="shared" si="20"/>
        <v>665092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3477180.0400000005</v>
      </c>
      <c r="D698" s="180">
        <f>(D615/D612)*AG76</f>
        <v>75136.72709945291</v>
      </c>
      <c r="E698" s="180">
        <f>(E623/E612)*SUM(C698:D698)</f>
        <v>334492.74758183869</v>
      </c>
      <c r="F698" s="180">
        <f>(F624/F612)*AG64</f>
        <v>11555.332402279435</v>
      </c>
      <c r="G698" s="180">
        <f>(G625/G612)*AG77</f>
        <v>0</v>
      </c>
      <c r="H698" s="180">
        <f>(H628/H612)*AG60</f>
        <v>55815.895176955797</v>
      </c>
      <c r="I698" s="180">
        <f>(I629/I612)*AG78</f>
        <v>108730.57121340184</v>
      </c>
      <c r="J698" s="180">
        <f>(J630/J612)*AG79</f>
        <v>0</v>
      </c>
      <c r="K698" s="180">
        <f>(K644/K612)*AG75</f>
        <v>940477.2603929037</v>
      </c>
      <c r="L698" s="180">
        <f>(L647/L612)*AG80</f>
        <v>63779.026830238457</v>
      </c>
      <c r="M698" s="180">
        <f t="shared" si="20"/>
        <v>1589988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57296.07</v>
      </c>
      <c r="D699" s="180">
        <f>(D615/D612)*AH76</f>
        <v>0</v>
      </c>
      <c r="E699" s="180">
        <f>(E623/E612)*SUM(C699:D699)</f>
        <v>5395.1044167691471</v>
      </c>
      <c r="F699" s="180">
        <f>(F624/F612)*AH64</f>
        <v>26.185224016111647</v>
      </c>
      <c r="G699" s="180">
        <f>(G625/G612)*AH77</f>
        <v>0</v>
      </c>
      <c r="H699" s="180">
        <f>(H628/H612)*AH60</f>
        <v>627.14488962871678</v>
      </c>
      <c r="I699" s="180">
        <f>(I629/I612)*AH78</f>
        <v>0</v>
      </c>
      <c r="J699" s="180">
        <f>(J630/J612)*AH79</f>
        <v>0</v>
      </c>
      <c r="K699" s="180">
        <f>(K644/K612)*AH75</f>
        <v>1951.5757966603132</v>
      </c>
      <c r="L699" s="180">
        <f>(L647/L612)*AH80</f>
        <v>0</v>
      </c>
      <c r="M699" s="180">
        <f t="shared" si="20"/>
        <v>8000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1144900.54</v>
      </c>
      <c r="D700" s="180">
        <f>(D615/D612)*AI76</f>
        <v>0</v>
      </c>
      <c r="E700" s="180">
        <f>(E623/E612)*SUM(C700:D700)</f>
        <v>107805.96226085632</v>
      </c>
      <c r="F700" s="180">
        <f>(F624/F612)*AI64</f>
        <v>959.86902172386806</v>
      </c>
      <c r="G700" s="180">
        <f>(G625/G612)*AI77</f>
        <v>0</v>
      </c>
      <c r="H700" s="180">
        <f>(H628/H612)*AI60</f>
        <v>18166.296969578496</v>
      </c>
      <c r="I700" s="180">
        <f>(I629/I612)*AI78</f>
        <v>0</v>
      </c>
      <c r="J700" s="180">
        <f>(J630/J612)*AI79</f>
        <v>0</v>
      </c>
      <c r="K700" s="180">
        <f>(K644/K612)*AI75</f>
        <v>137123.83767190701</v>
      </c>
      <c r="L700" s="180">
        <f>(L647/L612)*AI80</f>
        <v>0</v>
      </c>
      <c r="M700" s="180">
        <f t="shared" si="20"/>
        <v>264056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13462715.880000001</v>
      </c>
      <c r="D701" s="180">
        <f>(D615/D612)*AJ76</f>
        <v>201207.68906223919</v>
      </c>
      <c r="E701" s="180">
        <f>(E623/E612)*SUM(C701:D701)</f>
        <v>1286620.4330915497</v>
      </c>
      <c r="F701" s="180">
        <f>(F624/F612)*AJ64</f>
        <v>31919.81124776389</v>
      </c>
      <c r="G701" s="180">
        <f>(G625/G612)*AJ77</f>
        <v>0</v>
      </c>
      <c r="H701" s="180">
        <f>(H628/H612)*AJ60</f>
        <v>196087.30215724546</v>
      </c>
      <c r="I701" s="180">
        <f>(I629/I612)*AJ78</f>
        <v>291168.21837752243</v>
      </c>
      <c r="J701" s="180">
        <f>(J630/J612)*AJ79</f>
        <v>0</v>
      </c>
      <c r="K701" s="180">
        <f>(K644/K612)*AJ75</f>
        <v>814350.35641391401</v>
      </c>
      <c r="L701" s="180">
        <f>(L647/L612)*AJ80</f>
        <v>45205.26312807051</v>
      </c>
      <c r="M701" s="180">
        <f t="shared" si="20"/>
        <v>2866559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286930.59999999998</v>
      </c>
      <c r="D703" s="180">
        <f>(D615/D612)*AL76</f>
        <v>0</v>
      </c>
      <c r="E703" s="180">
        <f>(E623/E612)*SUM(C703:D703)</f>
        <v>27017.91846048466</v>
      </c>
      <c r="F703" s="180">
        <f>(F624/F612)*AL64</f>
        <v>77.492650869284262</v>
      </c>
      <c r="G703" s="180">
        <f>(G625/G612)*AL77</f>
        <v>0</v>
      </c>
      <c r="H703" s="180">
        <f>(H628/H612)*AL60</f>
        <v>6605.9261707558171</v>
      </c>
      <c r="I703" s="180">
        <f>(I629/I612)*AL78</f>
        <v>0</v>
      </c>
      <c r="J703" s="180">
        <f>(J630/J612)*AL79</f>
        <v>0</v>
      </c>
      <c r="K703" s="180">
        <f>(K644/K612)*AL75</f>
        <v>36087.184365821791</v>
      </c>
      <c r="L703" s="180">
        <f>(L647/L612)*AL80</f>
        <v>0</v>
      </c>
      <c r="M703" s="180">
        <f t="shared" si="20"/>
        <v>69789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12911.89</v>
      </c>
      <c r="D707" s="180">
        <f>(D615/D612)*AP76</f>
        <v>11947.797872574978</v>
      </c>
      <c r="E707" s="180">
        <f>(E623/E612)*SUM(C707:D707)</f>
        <v>2340.8344034910538</v>
      </c>
      <c r="F707" s="180">
        <f>(F624/F612)*AP64</f>
        <v>472.02593742392168</v>
      </c>
      <c r="G707" s="180">
        <f>(G625/G612)*AP77</f>
        <v>0</v>
      </c>
      <c r="H707" s="180">
        <f>(H628/H612)*AP60</f>
        <v>313.57244481435839</v>
      </c>
      <c r="I707" s="180">
        <f>(I629/I612)*AP78</f>
        <v>17289.692239426855</v>
      </c>
      <c r="J707" s="180">
        <f>(J630/J612)*AP79</f>
        <v>0</v>
      </c>
      <c r="K707" s="180">
        <f>(K644/K612)*AP75</f>
        <v>1852.1950766917432</v>
      </c>
      <c r="L707" s="180">
        <f>(L647/L612)*AP80</f>
        <v>0</v>
      </c>
      <c r="M707" s="180">
        <f t="shared" si="20"/>
        <v>34216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40.07</v>
      </c>
      <c r="D709" s="180">
        <f>(D615/D612)*AR76</f>
        <v>0</v>
      </c>
      <c r="E709" s="180">
        <f>(E623/E612)*SUM(C709:D709)</f>
        <v>3.7730656566836038</v>
      </c>
      <c r="F709" s="180">
        <f>(F624/F612)*AR64</f>
        <v>1.4507921881662478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5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-29386.42</v>
      </c>
      <c r="D713" s="180">
        <f>(D615/D612)*AV76</f>
        <v>0</v>
      </c>
      <c r="E713" s="180">
        <f>(E623/E612)*SUM(C713:D713)</f>
        <v>-2767.0799120259589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5883.5928197507919</v>
      </c>
      <c r="L713" s="180">
        <f>(L647/L612)*AV80</f>
        <v>0</v>
      </c>
      <c r="M713" s="180">
        <f t="shared" si="20"/>
        <v>3117</v>
      </c>
      <c r="N713" s="199" t="s">
        <v>741</v>
      </c>
    </row>
    <row r="715" spans="1:15" ht="12.6" customHeight="1" x14ac:dyDescent="0.25">
      <c r="C715" s="180">
        <f>SUM(C614:C647)+SUM(C668:C713)</f>
        <v>95864124.759999976</v>
      </c>
      <c r="D715" s="180">
        <f>SUM(D616:D647)+SUM(D668:D713)</f>
        <v>2054322.7799999998</v>
      </c>
      <c r="E715" s="180">
        <f>SUM(E624:E647)+SUM(E668:E713)</f>
        <v>8249916.6384102777</v>
      </c>
      <c r="F715" s="180">
        <f>SUM(F625:F648)+SUM(F668:F713)</f>
        <v>843857.54752102913</v>
      </c>
      <c r="G715" s="180">
        <f>SUM(G626:G647)+SUM(G668:G713)</f>
        <v>1550924.1611743965</v>
      </c>
      <c r="H715" s="180">
        <f>SUM(H629:H647)+SUM(H668:H713)</f>
        <v>1025193.7510760634</v>
      </c>
      <c r="I715" s="180">
        <f>SUM(I630:I647)+SUM(I668:I713)</f>
        <v>2023659.7002609235</v>
      </c>
      <c r="J715" s="180">
        <f>SUM(J631:J647)+SUM(J668:J713)</f>
        <v>306393.55106839217</v>
      </c>
      <c r="K715" s="180">
        <f>SUM(K668:K713)</f>
        <v>10485330.443877738</v>
      </c>
      <c r="L715" s="180">
        <f>SUM(L668:L713)</f>
        <v>386634.74294733419</v>
      </c>
      <c r="M715" s="180">
        <f>SUM(M668:M713)</f>
        <v>24059814</v>
      </c>
      <c r="N715" s="198" t="s">
        <v>742</v>
      </c>
    </row>
    <row r="716" spans="1:15" ht="12.6" customHeight="1" x14ac:dyDescent="0.25">
      <c r="C716" s="180">
        <f>CE71</f>
        <v>95864124.759999976</v>
      </c>
      <c r="D716" s="180">
        <f>D615</f>
        <v>2054322.7799999998</v>
      </c>
      <c r="E716" s="180">
        <f>E623</f>
        <v>8249916.6384102786</v>
      </c>
      <c r="F716" s="180">
        <f>F624</f>
        <v>843857.54752102937</v>
      </c>
      <c r="G716" s="180">
        <f>G625</f>
        <v>1550924.1611743965</v>
      </c>
      <c r="H716" s="180">
        <f>H628</f>
        <v>1025193.7510760636</v>
      </c>
      <c r="I716" s="180">
        <f>I629</f>
        <v>2023659.7002609237</v>
      </c>
      <c r="J716" s="180">
        <f>J630</f>
        <v>306393.55106839223</v>
      </c>
      <c r="K716" s="180">
        <f>K644</f>
        <v>10485330.443877738</v>
      </c>
      <c r="L716" s="180">
        <f>L647</f>
        <v>386634.74294733419</v>
      </c>
      <c r="M716" s="180">
        <f>C648</f>
        <v>24059813.459999997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Island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H-134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 xml:space="preserve"> 2411 24th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 xml:space="preserve"> 2411 24th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Anacortes, WA 98221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7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H-134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Island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Charles Hall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Elise Cutter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Warren Tessler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 360-299-1300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 360-299-1384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2471</v>
      </c>
      <c r="G23" s="21">
        <f>data!D111</f>
        <v>7004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424</v>
      </c>
      <c r="G26" s="13">
        <f>data!D114</f>
        <v>673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32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1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4</v>
      </c>
      <c r="E34" s="49" t="s">
        <v>291</v>
      </c>
      <c r="F34" s="24"/>
      <c r="G34" s="21">
        <f>data!E127</f>
        <v>43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43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6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Island Hospital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1359</v>
      </c>
      <c r="C7" s="48">
        <f>data!B139</f>
        <v>4295</v>
      </c>
      <c r="D7" s="48">
        <f>data!B140</f>
        <v>0</v>
      </c>
      <c r="E7" s="48">
        <f>data!B141</f>
        <v>37212957.329999998</v>
      </c>
      <c r="F7" s="48">
        <f>data!B142</f>
        <v>90998368.079999998</v>
      </c>
      <c r="G7" s="48">
        <f>data!B141+data!B142</f>
        <v>128211325.41</v>
      </c>
    </row>
    <row r="8" spans="1:13" ht="20.100000000000001" customHeight="1" x14ac:dyDescent="0.25">
      <c r="A8" s="23" t="s">
        <v>297</v>
      </c>
      <c r="B8" s="48">
        <f>data!C138</f>
        <v>450</v>
      </c>
      <c r="C8" s="48">
        <f>data!C139</f>
        <v>1146</v>
      </c>
      <c r="D8" s="48">
        <f>data!C140</f>
        <v>0</v>
      </c>
      <c r="E8" s="48">
        <f>data!C141</f>
        <v>6169251.7000000002</v>
      </c>
      <c r="F8" s="48">
        <f>data!C142</f>
        <v>19243027.57</v>
      </c>
      <c r="G8" s="48">
        <f>data!C141+data!C142</f>
        <v>25412279.27</v>
      </c>
    </row>
    <row r="9" spans="1:13" ht="20.100000000000001" customHeight="1" x14ac:dyDescent="0.25">
      <c r="A9" s="23" t="s">
        <v>794</v>
      </c>
      <c r="B9" s="48">
        <f>data!D138</f>
        <v>662</v>
      </c>
      <c r="C9" s="48">
        <f>data!D139</f>
        <v>1563</v>
      </c>
      <c r="D9" s="48">
        <f>data!D140</f>
        <v>0</v>
      </c>
      <c r="E9" s="48">
        <f>data!D141</f>
        <v>19474629</v>
      </c>
      <c r="F9" s="48">
        <f>data!D142</f>
        <v>67858509</v>
      </c>
      <c r="G9" s="48">
        <f>data!D141+data!D142</f>
        <v>87333138</v>
      </c>
    </row>
    <row r="10" spans="1:13" ht="20.100000000000001" customHeight="1" x14ac:dyDescent="0.25">
      <c r="A10" s="111" t="s">
        <v>203</v>
      </c>
      <c r="B10" s="48">
        <f>data!E138</f>
        <v>2471</v>
      </c>
      <c r="C10" s="48">
        <f>data!E139</f>
        <v>7004</v>
      </c>
      <c r="D10" s="48">
        <f>data!E140</f>
        <v>0</v>
      </c>
      <c r="E10" s="48">
        <f>data!E141</f>
        <v>62856838.030000001</v>
      </c>
      <c r="F10" s="48">
        <f>data!E142</f>
        <v>178099904.65000001</v>
      </c>
      <c r="G10" s="48">
        <f>data!E141+data!E142</f>
        <v>240956742.68000001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C73" sqref="C73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Island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2916875.56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141991.13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524432.72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5021444.45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32001.54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1657219.74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166590.41999999993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55724.24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10516279.799999999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649230.81999999995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211636.62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860867.44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541926.24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192405.31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734331.55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68191.240000000005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617282.76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685474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1864232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1864232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Island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4708577</v>
      </c>
      <c r="D7" s="21">
        <f>data!C195</f>
        <v>439188</v>
      </c>
      <c r="E7" s="21">
        <f>data!D195</f>
        <v>0</v>
      </c>
      <c r="F7" s="21">
        <f>data!E195</f>
        <v>5147765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2130330</v>
      </c>
      <c r="D8" s="21">
        <f>data!C196</f>
        <v>0</v>
      </c>
      <c r="E8" s="21">
        <f>data!D196</f>
        <v>0</v>
      </c>
      <c r="F8" s="21">
        <f>data!E196</f>
        <v>2130330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73506447</v>
      </c>
      <c r="D9" s="21">
        <f>data!C197</f>
        <v>10605035</v>
      </c>
      <c r="E9" s="21">
        <f>data!D197</f>
        <v>0</v>
      </c>
      <c r="F9" s="21">
        <f>data!E197</f>
        <v>84111482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8808918</v>
      </c>
      <c r="D10" s="21">
        <f>data!C198</f>
        <v>110258</v>
      </c>
      <c r="E10" s="21">
        <f>data!D198</f>
        <v>12920</v>
      </c>
      <c r="F10" s="21">
        <f>data!E198</f>
        <v>8906256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35213997</v>
      </c>
      <c r="D12" s="21">
        <f>data!C200</f>
        <v>1939040</v>
      </c>
      <c r="E12" s="21">
        <f>data!D200</f>
        <v>2661738</v>
      </c>
      <c r="F12" s="21">
        <f>data!E200</f>
        <v>34491299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566534</v>
      </c>
      <c r="D15" s="21">
        <f>data!C203</f>
        <v>5004819</v>
      </c>
      <c r="E15" s="21">
        <f>data!D203</f>
        <v>0</v>
      </c>
      <c r="F15" s="21">
        <f>data!E203</f>
        <v>5571353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124934803</v>
      </c>
      <c r="D16" s="21">
        <f>data!C204</f>
        <v>18098340</v>
      </c>
      <c r="E16" s="21">
        <f>data!D204</f>
        <v>2674658</v>
      </c>
      <c r="F16" s="21">
        <f>data!E204</f>
        <v>140358485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1854296</v>
      </c>
      <c r="D24" s="21">
        <f>data!C209</f>
        <v>49640</v>
      </c>
      <c r="E24" s="21">
        <f>data!D209</f>
        <v>0</v>
      </c>
      <c r="F24" s="21">
        <f>data!E209</f>
        <v>1903936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25281134</v>
      </c>
      <c r="D25" s="21">
        <f>data!C210</f>
        <v>1776379</v>
      </c>
      <c r="E25" s="21">
        <f>data!D210</f>
        <v>26213</v>
      </c>
      <c r="F25" s="21">
        <f>data!E210</f>
        <v>27031300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7134811</v>
      </c>
      <c r="D26" s="21">
        <f>data!C211</f>
        <v>259775</v>
      </c>
      <c r="E26" s="21">
        <f>data!D211</f>
        <v>12920</v>
      </c>
      <c r="F26" s="21">
        <f>data!E211</f>
        <v>7381666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22486100</v>
      </c>
      <c r="D28" s="21">
        <f>data!C213</f>
        <v>2489341</v>
      </c>
      <c r="E28" s="21">
        <f>data!D213</f>
        <v>2438381</v>
      </c>
      <c r="F28" s="21">
        <f>data!E213</f>
        <v>22537060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56756341</v>
      </c>
      <c r="D32" s="21">
        <f>data!C217</f>
        <v>4575135</v>
      </c>
      <c r="E32" s="21">
        <f>data!D217</f>
        <v>2477514</v>
      </c>
      <c r="F32" s="21">
        <f>data!E217</f>
        <v>58853962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Island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1856639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82062604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17025952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2267584.7599999998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13652734.02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15547844.789999999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10052228.07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140608947.63999999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1878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197414.49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558962.87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756377.36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143221964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1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Island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31208960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16046439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6815076.4900000002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539569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1723946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959844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229940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43893621.509999998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11453127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258261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11711388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5147765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2130330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84111482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8906256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34491299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5571353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140358485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58853962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81504523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598703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1389997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1988700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139098232.50999999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Island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5397713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4299521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128134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1725000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1155551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432893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3285617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16424429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4679670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4679670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322522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58526417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8325353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67174292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3285617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63888675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54105459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54105459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139098233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Island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62856840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178099908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240956748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1856639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141365325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755934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143977898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96978850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792424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5517553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6309977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103288827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41891488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11383608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5079799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22932003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766803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8491565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4575135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857722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734331.55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685474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1043632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98441560.549999997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4847266.450000003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-456402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4390864.450000003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4390864.450000003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72" zoomScale="65" workbookViewId="0">
      <selection activeCell="E203" sqref="E203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Island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569</v>
      </c>
      <c r="D9" s="14">
        <f>data!D59</f>
        <v>0</v>
      </c>
      <c r="E9" s="14">
        <f>data!E59</f>
        <v>5701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13.77</v>
      </c>
      <c r="D10" s="26">
        <f>data!D60</f>
        <v>0</v>
      </c>
      <c r="E10" s="26">
        <f>data!E60</f>
        <v>50.98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1163901.8999999999</v>
      </c>
      <c r="D11" s="14">
        <f>data!D61</f>
        <v>0</v>
      </c>
      <c r="E11" s="14">
        <f>data!E61</f>
        <v>3776332.33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328043</v>
      </c>
      <c r="D12" s="14">
        <f>data!D62</f>
        <v>0</v>
      </c>
      <c r="E12" s="14">
        <f>data!E62</f>
        <v>1143402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279.83</v>
      </c>
      <c r="D13" s="14">
        <f>data!D63</f>
        <v>0</v>
      </c>
      <c r="E13" s="14">
        <f>data!E63</f>
        <v>686934.25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48527.06</v>
      </c>
      <c r="D14" s="14">
        <f>data!D64</f>
        <v>0</v>
      </c>
      <c r="E14" s="14">
        <f>data!E64</f>
        <v>188146.61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1090.51</v>
      </c>
      <c r="D15" s="14">
        <f>data!D65</f>
        <v>0</v>
      </c>
      <c r="E15" s="14">
        <f>data!E65</f>
        <v>363.14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541.44000000000005</v>
      </c>
      <c r="D16" s="14">
        <f>data!D66</f>
        <v>0</v>
      </c>
      <c r="E16" s="14">
        <f>data!E66</f>
        <v>20433.93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84647</v>
      </c>
      <c r="D17" s="14">
        <f>data!D67</f>
        <v>0</v>
      </c>
      <c r="E17" s="14">
        <f>data!E67</f>
        <v>178825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1299.47</v>
      </c>
      <c r="D18" s="14">
        <f>data!D68</f>
        <v>0</v>
      </c>
      <c r="E18" s="14">
        <f>data!E68</f>
        <v>32409.15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708.4</v>
      </c>
      <c r="D19" s="14">
        <f>data!D69</f>
        <v>0</v>
      </c>
      <c r="E19" s="14">
        <f>data!E69</f>
        <v>2215.2199999999998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1629038.6099999999</v>
      </c>
      <c r="D21" s="14">
        <f>data!D71</f>
        <v>0</v>
      </c>
      <c r="E21" s="14">
        <f>data!E71</f>
        <v>6029061.6299999999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640192</v>
      </c>
      <c r="D23" s="48">
        <f>+data!M669</f>
        <v>0</v>
      </c>
      <c r="E23" s="48">
        <f>+data!M670</f>
        <v>3266353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1919846</v>
      </c>
      <c r="D24" s="14">
        <f>data!D73</f>
        <v>0</v>
      </c>
      <c r="E24" s="14">
        <f>data!E73</f>
        <v>6810836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-4694</v>
      </c>
      <c r="D25" s="14">
        <f>data!D74</f>
        <v>0</v>
      </c>
      <c r="E25" s="14">
        <f>data!E74</f>
        <v>3060513.54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1915152</v>
      </c>
      <c r="D26" s="14">
        <f>data!D75</f>
        <v>0</v>
      </c>
      <c r="E26" s="14">
        <f>data!E75</f>
        <v>9871349.5399999991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3692</v>
      </c>
      <c r="D28" s="14">
        <f>data!D76</f>
        <v>0</v>
      </c>
      <c r="E28" s="14">
        <f>data!E76</f>
        <v>23161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3129</v>
      </c>
      <c r="D29" s="14">
        <f>data!D77</f>
        <v>0</v>
      </c>
      <c r="E29" s="14">
        <f>data!E77</f>
        <v>17423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3692</v>
      </c>
      <c r="D30" s="14">
        <f>data!D78</f>
        <v>0</v>
      </c>
      <c r="E30" s="14">
        <f>data!E78</f>
        <v>23161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39258.54</v>
      </c>
      <c r="D31" s="14">
        <f>data!D79</f>
        <v>0</v>
      </c>
      <c r="E31" s="14">
        <f>data!E79</f>
        <v>396947.46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9.25</v>
      </c>
      <c r="D32" s="84">
        <f>data!D80</f>
        <v>0</v>
      </c>
      <c r="E32" s="84">
        <f>data!E80</f>
        <v>23.59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Island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673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2034</v>
      </c>
      <c r="I41" s="14">
        <f>data!P59</f>
        <v>378708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13.44</v>
      </c>
      <c r="I42" s="26">
        <f>data!P60</f>
        <v>28.14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1367377.78</v>
      </c>
      <c r="I43" s="14">
        <f>data!P61</f>
        <v>3028467.1100000003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343295</v>
      </c>
      <c r="I44" s="14">
        <f>data!P62</f>
        <v>625505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331656.06</v>
      </c>
      <c r="I45" s="14">
        <f>data!P63</f>
        <v>809227.69000000006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12911.55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108577.11</v>
      </c>
      <c r="I46" s="14">
        <f>data!P64</f>
        <v>10952142.23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300</v>
      </c>
      <c r="I47" s="14">
        <f>data!P65</f>
        <v>4714.5600000000004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83599.320000000007</v>
      </c>
      <c r="I48" s="14">
        <f>data!P66</f>
        <v>550214.29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74284</v>
      </c>
      <c r="I49" s="14">
        <f>data!P67</f>
        <v>464286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84324.98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7748.86</v>
      </c>
      <c r="I51" s="14">
        <f>data!P69</f>
        <v>46107.74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-1530</v>
      </c>
      <c r="I52" s="14">
        <f>-data!P70</f>
        <v>-5962.71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12911.55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2315308.13</v>
      </c>
      <c r="I53" s="14">
        <f>data!P71</f>
        <v>16559026.890000002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32659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731073</v>
      </c>
      <c r="I55" s="48">
        <f>+data!M681</f>
        <v>4835918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667344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2552327.88</v>
      </c>
      <c r="I56" s="14">
        <f>data!P73</f>
        <v>25241168.870000001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317347</v>
      </c>
      <c r="I57" s="14">
        <f>data!P74</f>
        <v>26615447.98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667344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2869674.88</v>
      </c>
      <c r="I58" s="14">
        <f>data!P75</f>
        <v>51856616.850000001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5313</v>
      </c>
      <c r="I60" s="14">
        <f>data!P76</f>
        <v>11604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2395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5313</v>
      </c>
      <c r="I62" s="14">
        <f>data!P78</f>
        <v>11604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2297</v>
      </c>
      <c r="I63" s="14">
        <f>data!P79</f>
        <v>24091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11.85</v>
      </c>
      <c r="I64" s="26">
        <f>data!P80</f>
        <v>11.08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Island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278704</v>
      </c>
      <c r="D73" s="48">
        <f>data!R59</f>
        <v>378708</v>
      </c>
      <c r="E73" s="208"/>
      <c r="F73" s="208"/>
      <c r="G73" s="14">
        <f>data!U59</f>
        <v>257846</v>
      </c>
      <c r="H73" s="14">
        <f>data!V59</f>
        <v>6614</v>
      </c>
      <c r="I73" s="14">
        <f>data!W59</f>
        <v>4877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9.39</v>
      </c>
      <c r="D74" s="26">
        <f>data!R60</f>
        <v>1.05</v>
      </c>
      <c r="E74" s="26">
        <f>data!S60</f>
        <v>6.07</v>
      </c>
      <c r="F74" s="26">
        <f>data!T60</f>
        <v>0</v>
      </c>
      <c r="G74" s="26">
        <f>data!U60</f>
        <v>23.53</v>
      </c>
      <c r="H74" s="26">
        <f>data!V60</f>
        <v>1.06</v>
      </c>
      <c r="I74" s="26">
        <f>data!W60</f>
        <v>2.75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997401.27</v>
      </c>
      <c r="D75" s="14">
        <f>data!R61</f>
        <v>91265.91</v>
      </c>
      <c r="E75" s="14">
        <f>data!S61</f>
        <v>272223.31</v>
      </c>
      <c r="F75" s="14">
        <f>data!T61</f>
        <v>0</v>
      </c>
      <c r="G75" s="14">
        <f>data!U61</f>
        <v>1452615.01</v>
      </c>
      <c r="H75" s="14">
        <f>data!V61</f>
        <v>82941.509999999995</v>
      </c>
      <c r="I75" s="14">
        <f>data!W61</f>
        <v>261057.78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203257</v>
      </c>
      <c r="D76" s="14">
        <f>data!R62</f>
        <v>24635</v>
      </c>
      <c r="E76" s="14">
        <f>data!S62</f>
        <v>93571</v>
      </c>
      <c r="F76" s="14">
        <f>data!T62</f>
        <v>0</v>
      </c>
      <c r="G76" s="14">
        <f>data!U62</f>
        <v>417229</v>
      </c>
      <c r="H76" s="14">
        <f>data!V62</f>
        <v>21940</v>
      </c>
      <c r="I76" s="14">
        <f>data!W62</f>
        <v>59636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155465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20353.740000000002</v>
      </c>
      <c r="D78" s="14">
        <f>data!R64</f>
        <v>187829.19</v>
      </c>
      <c r="E78" s="14">
        <f>data!S64</f>
        <v>110473.66</v>
      </c>
      <c r="F78" s="14">
        <f>data!T64</f>
        <v>0</v>
      </c>
      <c r="G78" s="14">
        <f>data!U64</f>
        <v>1820298.61</v>
      </c>
      <c r="H78" s="14">
        <f>data!V64</f>
        <v>414.28</v>
      </c>
      <c r="I78" s="14">
        <f>data!W64</f>
        <v>37212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2425.21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1460.38</v>
      </c>
      <c r="D80" s="14">
        <f>data!R66</f>
        <v>8650.1200000000008</v>
      </c>
      <c r="E80" s="14">
        <f>data!S66</f>
        <v>12597.94</v>
      </c>
      <c r="F80" s="14">
        <f>data!T66</f>
        <v>0</v>
      </c>
      <c r="G80" s="14">
        <f>data!U66</f>
        <v>1134592.47</v>
      </c>
      <c r="H80" s="14">
        <f>data!V66</f>
        <v>0</v>
      </c>
      <c r="I80" s="14">
        <f>data!W66</f>
        <v>53484.03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3330</v>
      </c>
      <c r="D81" s="14">
        <f>data!R67</f>
        <v>15729</v>
      </c>
      <c r="E81" s="14">
        <f>data!S67</f>
        <v>53145</v>
      </c>
      <c r="F81" s="14">
        <f>data!T67</f>
        <v>0</v>
      </c>
      <c r="G81" s="14">
        <f>data!U67</f>
        <v>70672</v>
      </c>
      <c r="H81" s="14">
        <f>data!V67</f>
        <v>2891</v>
      </c>
      <c r="I81" s="14">
        <f>data!W67</f>
        <v>262469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141945.63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86.33</v>
      </c>
      <c r="D83" s="14">
        <f>data!R69</f>
        <v>0</v>
      </c>
      <c r="E83" s="14">
        <f>data!S69</f>
        <v>670.3</v>
      </c>
      <c r="F83" s="14">
        <f>data!T69</f>
        <v>0</v>
      </c>
      <c r="G83" s="14">
        <f>data!U69</f>
        <v>5039.18</v>
      </c>
      <c r="H83" s="14">
        <f>data!V69</f>
        <v>0</v>
      </c>
      <c r="I83" s="14">
        <f>data!W69</f>
        <v>217.06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-27.5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1225888.72</v>
      </c>
      <c r="D85" s="14">
        <f>data!R71</f>
        <v>328109.21999999997</v>
      </c>
      <c r="E85" s="14">
        <f>data!S71</f>
        <v>542653.71</v>
      </c>
      <c r="F85" s="14">
        <f>data!T71</f>
        <v>0</v>
      </c>
      <c r="G85" s="14">
        <f>data!U71</f>
        <v>5200282.1099999994</v>
      </c>
      <c r="H85" s="14">
        <f>data!V71</f>
        <v>108186.79</v>
      </c>
      <c r="I85" s="14">
        <f>data!W71</f>
        <v>674075.87000000011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439805</v>
      </c>
      <c r="D87" s="48">
        <f>+data!M683</f>
        <v>487208</v>
      </c>
      <c r="E87" s="48">
        <f>+data!M684</f>
        <v>149453</v>
      </c>
      <c r="F87" s="48">
        <f>+data!M685</f>
        <v>0</v>
      </c>
      <c r="G87" s="48">
        <f>+data!M686</f>
        <v>1714704</v>
      </c>
      <c r="H87" s="48">
        <f>+data!M687</f>
        <v>48875</v>
      </c>
      <c r="I87" s="48">
        <f>+data!M688</f>
        <v>561566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1820206</v>
      </c>
      <c r="D88" s="14">
        <f>data!R73</f>
        <v>5000702</v>
      </c>
      <c r="E88" s="14">
        <f>data!S73</f>
        <v>0</v>
      </c>
      <c r="F88" s="14">
        <f>data!T73</f>
        <v>0</v>
      </c>
      <c r="G88" s="14">
        <f>data!U73</f>
        <v>2410951.08</v>
      </c>
      <c r="H88" s="14">
        <f>data!V73</f>
        <v>55531</v>
      </c>
      <c r="I88" s="14">
        <f>data!W73</f>
        <v>292214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4015171.25</v>
      </c>
      <c r="D89" s="14">
        <f>data!R74</f>
        <v>4259626</v>
      </c>
      <c r="E89" s="14">
        <f>data!S74</f>
        <v>0.01</v>
      </c>
      <c r="F89" s="14">
        <f>data!T74</f>
        <v>0</v>
      </c>
      <c r="G89" s="14">
        <f>data!U74</f>
        <v>19014810.84</v>
      </c>
      <c r="H89" s="14">
        <f>data!V74</f>
        <v>659979.69999999995</v>
      </c>
      <c r="I89" s="14">
        <f>data!W74</f>
        <v>10279524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5835377.25</v>
      </c>
      <c r="D90" s="14">
        <f>data!R75</f>
        <v>9260328</v>
      </c>
      <c r="E90" s="14">
        <f>data!S75</f>
        <v>0.01</v>
      </c>
      <c r="F90" s="14">
        <f>data!T75</f>
        <v>0</v>
      </c>
      <c r="G90" s="14">
        <f>data!U75</f>
        <v>21425761.920000002</v>
      </c>
      <c r="H90" s="14">
        <f>data!V75</f>
        <v>715510.7</v>
      </c>
      <c r="I90" s="14">
        <f>data!W75</f>
        <v>10571738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500</v>
      </c>
      <c r="E92" s="14">
        <f>data!S76</f>
        <v>3031</v>
      </c>
      <c r="F92" s="14">
        <f>data!T76</f>
        <v>0</v>
      </c>
      <c r="G92" s="14">
        <f>data!U76</f>
        <v>3940</v>
      </c>
      <c r="H92" s="14">
        <f>data!V76</f>
        <v>10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500</v>
      </c>
      <c r="E94" s="14">
        <f>data!S78</f>
        <v>3031</v>
      </c>
      <c r="F94" s="14">
        <f>data!T78</f>
        <v>0</v>
      </c>
      <c r="G94" s="14">
        <f>data!U78</f>
        <v>3940</v>
      </c>
      <c r="H94" s="14">
        <f>data!V78</f>
        <v>10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8.4</v>
      </c>
      <c r="D96" s="84">
        <f>data!R80</f>
        <v>1.05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0.76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Island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10389</v>
      </c>
      <c r="D105" s="14">
        <f>data!Y59</f>
        <v>37050</v>
      </c>
      <c r="E105" s="14">
        <f>data!Z59</f>
        <v>10774</v>
      </c>
      <c r="F105" s="14">
        <f>data!AA59</f>
        <v>1142</v>
      </c>
      <c r="G105" s="208"/>
      <c r="H105" s="14">
        <f>data!AC59</f>
        <v>12047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3.51</v>
      </c>
      <c r="D106" s="26">
        <f>data!Y60</f>
        <v>24.36</v>
      </c>
      <c r="E106" s="26">
        <f>data!Z60</f>
        <v>6.53</v>
      </c>
      <c r="F106" s="26">
        <f>data!AA60</f>
        <v>1.61</v>
      </c>
      <c r="G106" s="26">
        <f>data!AB60</f>
        <v>12.23</v>
      </c>
      <c r="H106" s="26">
        <f>data!AC60</f>
        <v>9.33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272325.71999999997</v>
      </c>
      <c r="D107" s="14">
        <f>data!Y61</f>
        <v>1869005.5999999999</v>
      </c>
      <c r="E107" s="14">
        <f>data!Z61</f>
        <v>501016.66</v>
      </c>
      <c r="F107" s="14">
        <f>data!AA61</f>
        <v>199706.59</v>
      </c>
      <c r="G107" s="14">
        <f>data!AB61</f>
        <v>1207697.27</v>
      </c>
      <c r="H107" s="14">
        <f>data!AC61</f>
        <v>738066.46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71489</v>
      </c>
      <c r="D108" s="14">
        <f>data!Y62</f>
        <v>462314</v>
      </c>
      <c r="E108" s="14">
        <f>data!Z62</f>
        <v>147888</v>
      </c>
      <c r="F108" s="14">
        <f>data!AA62</f>
        <v>43942</v>
      </c>
      <c r="G108" s="14">
        <f>data!AB62</f>
        <v>263907</v>
      </c>
      <c r="H108" s="14">
        <f>data!AC62</f>
        <v>169525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16202.91</v>
      </c>
      <c r="E109" s="14">
        <f>data!Z63</f>
        <v>557307.87</v>
      </c>
      <c r="F109" s="14">
        <f>data!AA63</f>
        <v>0</v>
      </c>
      <c r="G109" s="14">
        <f>data!AB63</f>
        <v>4530.95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223506.56</v>
      </c>
      <c r="D110" s="14">
        <f>data!Y64</f>
        <v>257382.47</v>
      </c>
      <c r="E110" s="14">
        <f>data!Z64</f>
        <v>73305.16</v>
      </c>
      <c r="F110" s="14">
        <f>data!AA64</f>
        <v>146131.49</v>
      </c>
      <c r="G110" s="14">
        <f>data!AB64</f>
        <v>5800608.6699999999</v>
      </c>
      <c r="H110" s="14">
        <f>data!AC64</f>
        <v>103489.81999999999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672.8</v>
      </c>
      <c r="D111" s="14">
        <f>data!Y65</f>
        <v>1656.6599999999999</v>
      </c>
      <c r="E111" s="14">
        <f>data!Z65</f>
        <v>0</v>
      </c>
      <c r="F111" s="14">
        <f>data!AA65</f>
        <v>0</v>
      </c>
      <c r="G111" s="14">
        <f>data!AB65</f>
        <v>600.77</v>
      </c>
      <c r="H111" s="14">
        <f>data!AC65</f>
        <v>637.86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117530.21</v>
      </c>
      <c r="D112" s="14">
        <f>data!Y66</f>
        <v>1375701.1099999999</v>
      </c>
      <c r="E112" s="14">
        <f>data!Z66</f>
        <v>11799.71</v>
      </c>
      <c r="F112" s="14">
        <f>data!AA66</f>
        <v>30812.11</v>
      </c>
      <c r="G112" s="14">
        <f>data!AB66</f>
        <v>376377.61</v>
      </c>
      <c r="H112" s="14">
        <f>data!AC66</f>
        <v>21884.19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116040</v>
      </c>
      <c r="D113" s="14">
        <f>data!Y67</f>
        <v>266166</v>
      </c>
      <c r="E113" s="14">
        <f>data!Z67</f>
        <v>54183</v>
      </c>
      <c r="F113" s="14">
        <f>data!AA67</f>
        <v>5184</v>
      </c>
      <c r="G113" s="14">
        <f>data!AB67</f>
        <v>33919</v>
      </c>
      <c r="H113" s="14">
        <f>data!AC67</f>
        <v>48620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271.42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14816.74</v>
      </c>
      <c r="E115" s="14">
        <f>data!Z69</f>
        <v>2959.4</v>
      </c>
      <c r="F115" s="14">
        <f>data!AA69</f>
        <v>0</v>
      </c>
      <c r="G115" s="14">
        <f>data!AB69</f>
        <v>10096.209999999999</v>
      </c>
      <c r="H115" s="14">
        <f>data!AC69</f>
        <v>3495.36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-84835.81</v>
      </c>
      <c r="F116" s="14">
        <f>-data!AA70</f>
        <v>0</v>
      </c>
      <c r="G116" s="14">
        <f>-data!AB70</f>
        <v>-3941.54</v>
      </c>
      <c r="H116" s="14">
        <f>-data!AC70</f>
        <v>-12440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801564.29</v>
      </c>
      <c r="D117" s="14">
        <f>data!Y71</f>
        <v>4263245.49</v>
      </c>
      <c r="E117" s="14">
        <f>data!Z71</f>
        <v>1263623.9899999995</v>
      </c>
      <c r="F117" s="14">
        <f>data!AA71</f>
        <v>425776.18999999994</v>
      </c>
      <c r="G117" s="14">
        <f>data!AB71</f>
        <v>7693795.9399999995</v>
      </c>
      <c r="H117" s="14">
        <f>data!AC71</f>
        <v>1073550.1099999999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923395</v>
      </c>
      <c r="D119" s="48">
        <f>+data!M690</f>
        <v>1564695</v>
      </c>
      <c r="E119" s="48">
        <f>+data!M691</f>
        <v>501322</v>
      </c>
      <c r="F119" s="48">
        <f>+data!M692</f>
        <v>154782</v>
      </c>
      <c r="G119" s="48">
        <f>+data!M693</f>
        <v>2440919</v>
      </c>
      <c r="H119" s="48">
        <f>+data!M694</f>
        <v>372198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540513.5</v>
      </c>
      <c r="D120" s="14">
        <f>data!Y73</f>
        <v>1444257</v>
      </c>
      <c r="E120" s="14">
        <f>data!Z73</f>
        <v>9827</v>
      </c>
      <c r="F120" s="14">
        <f>data!AA73</f>
        <v>59875</v>
      </c>
      <c r="G120" s="14">
        <f>data!AB73</f>
        <v>7843405.9299999997</v>
      </c>
      <c r="H120" s="14">
        <f>data!AC73</f>
        <v>1257877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17386291.68</v>
      </c>
      <c r="D121" s="14">
        <f>data!Y74</f>
        <v>15759855.66</v>
      </c>
      <c r="E121" s="14">
        <f>data!Z74</f>
        <v>3191241.76</v>
      </c>
      <c r="F121" s="14">
        <f>data!AA74</f>
        <v>2206633</v>
      </c>
      <c r="G121" s="14">
        <f>data!AB74</f>
        <v>22469351.59</v>
      </c>
      <c r="H121" s="14">
        <f>data!AC74</f>
        <v>1604904.7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17926805.18</v>
      </c>
      <c r="D122" s="14">
        <f>data!Y75</f>
        <v>17204112.66</v>
      </c>
      <c r="E122" s="14">
        <f>data!Z75</f>
        <v>3201068.76</v>
      </c>
      <c r="F122" s="14">
        <f>data!AA75</f>
        <v>2266508</v>
      </c>
      <c r="G122" s="14">
        <f>data!AB75</f>
        <v>30312757.52</v>
      </c>
      <c r="H122" s="14">
        <f>data!AC75</f>
        <v>2862781.7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10925</v>
      </c>
      <c r="E124" s="14">
        <f>data!Z76</f>
        <v>7700</v>
      </c>
      <c r="F124" s="14">
        <f>data!AA76</f>
        <v>0</v>
      </c>
      <c r="G124" s="14">
        <f>data!AB76</f>
        <v>1896</v>
      </c>
      <c r="H124" s="14">
        <f>data!AC76</f>
        <v>4147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10925</v>
      </c>
      <c r="E126" s="14">
        <f>data!Z78</f>
        <v>7700</v>
      </c>
      <c r="F126" s="14">
        <f>data!AA78</f>
        <v>0</v>
      </c>
      <c r="G126" s="14">
        <f>data!AB78</f>
        <v>1896</v>
      </c>
      <c r="H126" s="14">
        <f>data!AC78</f>
        <v>4147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2.23</v>
      </c>
      <c r="E128" s="26">
        <f>data!Z80</f>
        <v>2.93</v>
      </c>
      <c r="F128" s="26">
        <f>data!AA80</f>
        <v>0</v>
      </c>
      <c r="G128" s="26">
        <f>data!AB80</f>
        <v>0</v>
      </c>
      <c r="H128" s="26">
        <f>data!AC80</f>
        <v>0.82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Island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16913</v>
      </c>
      <c r="D137" s="14">
        <f>data!AF59</f>
        <v>0</v>
      </c>
      <c r="E137" s="14">
        <f>data!AG59</f>
        <v>17869</v>
      </c>
      <c r="F137" s="14">
        <f>data!AH59</f>
        <v>0</v>
      </c>
      <c r="G137" s="14">
        <f>data!AI59</f>
        <v>764</v>
      </c>
      <c r="H137" s="14">
        <f>data!AJ59</f>
        <v>56267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17.7</v>
      </c>
      <c r="D138" s="26">
        <f>data!AF60</f>
        <v>0</v>
      </c>
      <c r="E138" s="26">
        <f>data!AG60</f>
        <v>26.61</v>
      </c>
      <c r="F138" s="26">
        <f>data!AH60</f>
        <v>0</v>
      </c>
      <c r="G138" s="26">
        <f>data!AI60</f>
        <v>10</v>
      </c>
      <c r="H138" s="26">
        <f>data!AJ60</f>
        <v>92.419999999999987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1391568.35</v>
      </c>
      <c r="D139" s="14">
        <f>data!AF61</f>
        <v>0</v>
      </c>
      <c r="E139" s="14">
        <f>data!AG61</f>
        <v>2208810.11</v>
      </c>
      <c r="F139" s="14">
        <f>data!AH61</f>
        <v>0</v>
      </c>
      <c r="G139" s="14">
        <f>data!AI61</f>
        <v>830715.01</v>
      </c>
      <c r="H139" s="14">
        <f>data!AJ61</f>
        <v>9235003.7400000002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355963</v>
      </c>
      <c r="D140" s="14">
        <f>data!AF62</f>
        <v>0</v>
      </c>
      <c r="E140" s="14">
        <f>data!AG62</f>
        <v>614731</v>
      </c>
      <c r="F140" s="14">
        <f>data!AH62</f>
        <v>0</v>
      </c>
      <c r="G140" s="14">
        <f>data!AI62</f>
        <v>181451</v>
      </c>
      <c r="H140" s="14">
        <f>data!AJ62</f>
        <v>1818658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19217.330000000002</v>
      </c>
      <c r="D141" s="14">
        <f>data!AF63</f>
        <v>0</v>
      </c>
      <c r="E141" s="14">
        <f>data!AG63</f>
        <v>238791.59</v>
      </c>
      <c r="F141" s="14">
        <f>data!AH63</f>
        <v>0</v>
      </c>
      <c r="G141" s="14">
        <f>data!AI63</f>
        <v>9423.5</v>
      </c>
      <c r="H141" s="14">
        <f>data!AJ63</f>
        <v>864270.7899999998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20794.73</v>
      </c>
      <c r="D142" s="14">
        <f>data!AF64</f>
        <v>0</v>
      </c>
      <c r="E142" s="14">
        <f>data!AG64</f>
        <v>383465.81</v>
      </c>
      <c r="F142" s="14">
        <f>data!AH64</f>
        <v>0</v>
      </c>
      <c r="G142" s="14">
        <f>data!AI64</f>
        <v>27710.95</v>
      </c>
      <c r="H142" s="14">
        <f>data!AJ64</f>
        <v>933929.55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364.14</v>
      </c>
      <c r="F143" s="14">
        <f>data!AH65</f>
        <v>204.59</v>
      </c>
      <c r="G143" s="14">
        <f>data!AI65</f>
        <v>10197.959999999999</v>
      </c>
      <c r="H143" s="14">
        <f>data!AJ65</f>
        <v>22925.219999999998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2859.89</v>
      </c>
      <c r="D144" s="14">
        <f>data!AF66</f>
        <v>0</v>
      </c>
      <c r="E144" s="14">
        <f>data!AG66</f>
        <v>12820.21</v>
      </c>
      <c r="F144" s="14">
        <f>data!AH66</f>
        <v>0</v>
      </c>
      <c r="G144" s="14">
        <f>data!AI66</f>
        <v>87130.38</v>
      </c>
      <c r="H144" s="14">
        <f>data!AJ66</f>
        <v>1067640.57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49907</v>
      </c>
      <c r="D145" s="14">
        <f>data!AF67</f>
        <v>0</v>
      </c>
      <c r="E145" s="14">
        <f>data!AG67</f>
        <v>87353</v>
      </c>
      <c r="F145" s="14">
        <f>data!AH67</f>
        <v>636</v>
      </c>
      <c r="G145" s="14">
        <f>data!AI67</f>
        <v>6810</v>
      </c>
      <c r="H145" s="14">
        <f>data!AJ67</f>
        <v>196042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19136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118997.34</v>
      </c>
      <c r="H146" s="14">
        <f>data!AJ68</f>
        <v>446960.25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7644.18</v>
      </c>
      <c r="D147" s="14">
        <f>data!AF69</f>
        <v>0</v>
      </c>
      <c r="E147" s="14">
        <f>data!AG69</f>
        <v>4552.66</v>
      </c>
      <c r="F147" s="14">
        <f>data!AH69</f>
        <v>0</v>
      </c>
      <c r="G147" s="14">
        <f>data!AI69</f>
        <v>17225.21</v>
      </c>
      <c r="H147" s="14">
        <f>data!AJ69</f>
        <v>251774.68000000005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-5620</v>
      </c>
      <c r="D148" s="14">
        <f>-data!AF70</f>
        <v>0</v>
      </c>
      <c r="E148" s="14">
        <f>-data!AG70</f>
        <v>-8978</v>
      </c>
      <c r="F148" s="14">
        <f>-data!AH70</f>
        <v>0</v>
      </c>
      <c r="G148" s="14">
        <f>-data!AI70</f>
        <v>-14031.55</v>
      </c>
      <c r="H148" s="14">
        <f>-data!AJ70</f>
        <v>-77992.490000000005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1861470.48</v>
      </c>
      <c r="D149" s="14">
        <f>data!AF71</f>
        <v>0</v>
      </c>
      <c r="E149" s="14">
        <f>data!AG71</f>
        <v>3541910.52</v>
      </c>
      <c r="F149" s="14">
        <f>data!AH71</f>
        <v>840.59</v>
      </c>
      <c r="G149" s="14">
        <f>data!AI71</f>
        <v>1275629.7999999998</v>
      </c>
      <c r="H149" s="14">
        <f>data!AJ71</f>
        <v>14759212.310000001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679821</v>
      </c>
      <c r="D151" s="48">
        <f>+data!M697</f>
        <v>0</v>
      </c>
      <c r="E151" s="48">
        <f>+data!M698</f>
        <v>1702344</v>
      </c>
      <c r="F151" s="48">
        <f>+data!M699</f>
        <v>80</v>
      </c>
      <c r="G151" s="48">
        <f>+data!M700</f>
        <v>330420</v>
      </c>
      <c r="H151" s="48">
        <f>+data!M701</f>
        <v>3092058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1420302</v>
      </c>
      <c r="D152" s="14">
        <f>data!AF73</f>
        <v>0</v>
      </c>
      <c r="E152" s="14">
        <f>data!AG73</f>
        <v>1867215.01</v>
      </c>
      <c r="F152" s="14">
        <f>data!AH73</f>
        <v>0</v>
      </c>
      <c r="G152" s="14">
        <f>data!AI73</f>
        <v>0</v>
      </c>
      <c r="H152" s="14">
        <f>data!AJ73</f>
        <v>1542933.36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4346003</v>
      </c>
      <c r="D153" s="14">
        <f>data!AF74</f>
        <v>0</v>
      </c>
      <c r="E153" s="14">
        <f>data!AG74</f>
        <v>20521812.84</v>
      </c>
      <c r="F153" s="14">
        <f>data!AH74</f>
        <v>0</v>
      </c>
      <c r="G153" s="14">
        <f>data!AI74</f>
        <v>4021201</v>
      </c>
      <c r="H153" s="14">
        <f>data!AJ74</f>
        <v>17605704.07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5766305</v>
      </c>
      <c r="D154" s="14">
        <f>data!AF75</f>
        <v>0</v>
      </c>
      <c r="E154" s="14">
        <f>data!AG75</f>
        <v>22389027.850000001</v>
      </c>
      <c r="F154" s="14">
        <f>data!AH75</f>
        <v>0</v>
      </c>
      <c r="G154" s="14">
        <f>data!AI75</f>
        <v>4021201</v>
      </c>
      <c r="H154" s="14">
        <f>data!AJ75</f>
        <v>19148637.43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7400</v>
      </c>
      <c r="D156" s="14">
        <f>data!AF76</f>
        <v>0</v>
      </c>
      <c r="E156" s="14">
        <f>data!AG76</f>
        <v>7100</v>
      </c>
      <c r="F156" s="14">
        <f>data!AH76</f>
        <v>0</v>
      </c>
      <c r="G156" s="14">
        <f>data!AI76</f>
        <v>0</v>
      </c>
      <c r="H156" s="14">
        <f>data!AJ76</f>
        <v>19013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7400</v>
      </c>
      <c r="D158" s="14">
        <f>data!AF78</f>
        <v>0</v>
      </c>
      <c r="E158" s="14">
        <f>data!AG78</f>
        <v>7100</v>
      </c>
      <c r="F158" s="14">
        <f>data!AH78</f>
        <v>0</v>
      </c>
      <c r="G158" s="14">
        <f>data!AI78</f>
        <v>0</v>
      </c>
      <c r="H158" s="14">
        <f>data!AJ78</f>
        <v>19013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17.72</v>
      </c>
      <c r="F160" s="26">
        <f>data!AH80</f>
        <v>0</v>
      </c>
      <c r="G160" s="26">
        <f>data!AI80</f>
        <v>0</v>
      </c>
      <c r="H160" s="26">
        <f>data!AJ80</f>
        <v>15.36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Island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2743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126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2.68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206665.07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109.02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11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1260.54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456.56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13845.67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632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6659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557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-6053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209571.17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14571.690000000002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58167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33942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99505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601258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43593.52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700763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43593.52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1129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1129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Island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208193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0.37</v>
      </c>
      <c r="G202" s="26">
        <f>data!AW60</f>
        <v>0</v>
      </c>
      <c r="H202" s="26">
        <f>data!AX60</f>
        <v>0</v>
      </c>
      <c r="I202" s="26">
        <f>data!AY60</f>
        <v>17.32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29335.3</v>
      </c>
      <c r="G203" s="14">
        <f>data!AW61</f>
        <v>0</v>
      </c>
      <c r="H203" s="14">
        <f>data!AX61</f>
        <v>0</v>
      </c>
      <c r="I203" s="14">
        <f>data!AY61</f>
        <v>714627.95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9046</v>
      </c>
      <c r="G204" s="14">
        <f>data!AW62</f>
        <v>0</v>
      </c>
      <c r="H204" s="14">
        <f>data!AX62</f>
        <v>0</v>
      </c>
      <c r="I204" s="14">
        <f>data!AY62</f>
        <v>252616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95279.32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239.14</v>
      </c>
      <c r="G206" s="14">
        <f>data!AW64</f>
        <v>0</v>
      </c>
      <c r="H206" s="14">
        <f>data!AX64</f>
        <v>0</v>
      </c>
      <c r="I206" s="14">
        <f>data!AY64</f>
        <v>543556.06000000006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462.74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185071.76</v>
      </c>
      <c r="I208" s="14">
        <f>data!AY66</f>
        <v>114000.11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43878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671.11</v>
      </c>
      <c r="G211" s="14">
        <f>data!AW69</f>
        <v>0</v>
      </c>
      <c r="H211" s="14">
        <f>data!AX69</f>
        <v>0</v>
      </c>
      <c r="I211" s="14">
        <f>data!AY69</f>
        <v>17366.939999999999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-2061.2600000000002</v>
      </c>
      <c r="G212" s="14">
        <f>-data!AW70</f>
        <v>0</v>
      </c>
      <c r="H212" s="14">
        <f>-data!AX70</f>
        <v>0</v>
      </c>
      <c r="I212" s="14">
        <f>-data!AY70</f>
        <v>-473174.46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37230.29</v>
      </c>
      <c r="G213" s="14">
        <f>data!AW71</f>
        <v>0</v>
      </c>
      <c r="H213" s="14">
        <f>data!AX71</f>
        <v>185071.76</v>
      </c>
      <c r="I213" s="14">
        <f>data!AY71</f>
        <v>1308612.6600000001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10109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124328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124328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4202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Island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205935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9.1300000000000008</v>
      </c>
      <c r="H234" s="26">
        <f>data!BE60</f>
        <v>6.53</v>
      </c>
      <c r="I234" s="26">
        <f>data!BF60</f>
        <v>26.86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482014.18</v>
      </c>
      <c r="H235" s="14">
        <f>data!BE61</f>
        <v>446992.75</v>
      </c>
      <c r="I235" s="14">
        <f>data!BF61</f>
        <v>984626.92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139430</v>
      </c>
      <c r="H236" s="14">
        <f>data!BE62</f>
        <v>121478</v>
      </c>
      <c r="I236" s="14">
        <f>data!BF62</f>
        <v>372112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70000</v>
      </c>
      <c r="H237" s="14">
        <f>data!BE63</f>
        <v>10072.14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148073.95000000001</v>
      </c>
      <c r="H238" s="14">
        <f>data!BE64</f>
        <v>92343.22</v>
      </c>
      <c r="I238" s="14">
        <f>data!BF64</f>
        <v>214926.07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568.25</v>
      </c>
      <c r="H239" s="14">
        <f>data!BE65</f>
        <v>582809.16</v>
      </c>
      <c r="I239" s="14">
        <f>data!BF65</f>
        <v>30173.83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286473.15999999997</v>
      </c>
      <c r="E240" s="14">
        <f>data!BB66</f>
        <v>0</v>
      </c>
      <c r="F240" s="14">
        <f>data!BC66</f>
        <v>0</v>
      </c>
      <c r="G240" s="14">
        <f>data!BD66</f>
        <v>26</v>
      </c>
      <c r="H240" s="14">
        <f>data!BE66</f>
        <v>625774.13</v>
      </c>
      <c r="I240" s="14">
        <f>data!BF66</f>
        <v>104441.88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1693</v>
      </c>
      <c r="E241" s="14">
        <f>data!BB67</f>
        <v>0</v>
      </c>
      <c r="F241" s="14">
        <f>data!BC67</f>
        <v>0</v>
      </c>
      <c r="G241" s="14">
        <f>data!BD67</f>
        <v>33225</v>
      </c>
      <c r="H241" s="14">
        <f>data!BE67</f>
        <v>162091</v>
      </c>
      <c r="I241" s="14">
        <f>data!BF67</f>
        <v>23032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396.17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14387.33</v>
      </c>
      <c r="H243" s="14">
        <f>data!BE69</f>
        <v>1278.05</v>
      </c>
      <c r="I243" s="14">
        <f>data!BF69</f>
        <v>2765.1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-5291.04</v>
      </c>
      <c r="E244" s="14">
        <f>-data!BB70</f>
        <v>0</v>
      </c>
      <c r="F244" s="14">
        <f>-data!BC70</f>
        <v>0</v>
      </c>
      <c r="G244" s="14">
        <f>-data!BD70</f>
        <v>-140134.01</v>
      </c>
      <c r="H244" s="14">
        <f>-data!BE70</f>
        <v>-3769.66</v>
      </c>
      <c r="I244" s="14">
        <f>-data!BF70</f>
        <v>-600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0</v>
      </c>
      <c r="D245" s="14">
        <f>data!BA71</f>
        <v>282875.12</v>
      </c>
      <c r="E245" s="14">
        <f>data!BB71</f>
        <v>0</v>
      </c>
      <c r="F245" s="14">
        <f>data!BC71</f>
        <v>0</v>
      </c>
      <c r="G245" s="14">
        <f>data!BD71</f>
        <v>747590.69999999984</v>
      </c>
      <c r="H245" s="14">
        <f>data!BE71</f>
        <v>2039464.96</v>
      </c>
      <c r="I245" s="14">
        <f>data!BF71</f>
        <v>1731477.8000000003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0</v>
      </c>
      <c r="D252" s="85">
        <f>data!BA76</f>
        <v>287</v>
      </c>
      <c r="E252" s="85">
        <f>data!BB76</f>
        <v>0</v>
      </c>
      <c r="F252" s="85">
        <f>data!BC76</f>
        <v>0</v>
      </c>
      <c r="G252" s="85">
        <f>data!BD76</f>
        <v>4791</v>
      </c>
      <c r="H252" s="85">
        <f>data!BE76</f>
        <v>11813</v>
      </c>
      <c r="I252" s="85">
        <f>data!BF76</f>
        <v>2393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287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Island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15.78</v>
      </c>
      <c r="E266" s="26">
        <f>data!BI60</f>
        <v>0</v>
      </c>
      <c r="F266" s="26">
        <f>data!BJ60</f>
        <v>4.32</v>
      </c>
      <c r="G266" s="26">
        <f>data!BK60</f>
        <v>23.07</v>
      </c>
      <c r="H266" s="26">
        <f>data!BL60</f>
        <v>26.79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1393800.35</v>
      </c>
      <c r="E267" s="14">
        <f>data!BI61</f>
        <v>0</v>
      </c>
      <c r="F267" s="14">
        <f>data!BJ61</f>
        <v>306037.11</v>
      </c>
      <c r="G267" s="14">
        <f>data!BK61</f>
        <v>1074755.56</v>
      </c>
      <c r="H267" s="14">
        <f>data!BL61</f>
        <v>1110774.82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350383</v>
      </c>
      <c r="E268" s="14">
        <f>data!BI62</f>
        <v>0</v>
      </c>
      <c r="F268" s="14">
        <f>data!BJ62</f>
        <v>89594</v>
      </c>
      <c r="G268" s="14">
        <f>data!BK62</f>
        <v>357290</v>
      </c>
      <c r="H268" s="14">
        <f>data!BL62</f>
        <v>393586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81333.990000000005</v>
      </c>
      <c r="G269" s="14">
        <f>data!BK63</f>
        <v>187351.9</v>
      </c>
      <c r="H269" s="14">
        <f>data!BL63</f>
        <v>245.53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217982.6</v>
      </c>
      <c r="E270" s="14">
        <f>data!BI64</f>
        <v>0</v>
      </c>
      <c r="F270" s="14">
        <f>data!BJ64</f>
        <v>7124.81</v>
      </c>
      <c r="G270" s="14">
        <f>data!BK64</f>
        <v>13484.54</v>
      </c>
      <c r="H270" s="14">
        <f>data!BL64</f>
        <v>63692.99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-18418.71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678.26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1004246.58</v>
      </c>
      <c r="E272" s="14">
        <f>data!BI66</f>
        <v>0</v>
      </c>
      <c r="F272" s="14">
        <f>data!BJ66</f>
        <v>167736.31</v>
      </c>
      <c r="G272" s="14">
        <f>data!BK66</f>
        <v>186349.41</v>
      </c>
      <c r="H272" s="14">
        <f>data!BL66</f>
        <v>69466.665999999997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1045760</v>
      </c>
      <c r="E273" s="14">
        <f>data!BI67</f>
        <v>0</v>
      </c>
      <c r="F273" s="14">
        <f>data!BJ67</f>
        <v>19814</v>
      </c>
      <c r="G273" s="14">
        <f>data!BK67</f>
        <v>23073</v>
      </c>
      <c r="H273" s="14">
        <f>data!BL67</f>
        <v>98357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10698.28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16194.68</v>
      </c>
      <c r="E275" s="14">
        <f>data!BI69</f>
        <v>0</v>
      </c>
      <c r="F275" s="14">
        <f>data!BJ69</f>
        <v>556.11</v>
      </c>
      <c r="G275" s="14">
        <f>data!BK69</f>
        <v>9045.17</v>
      </c>
      <c r="H275" s="14">
        <f>data!BL69</f>
        <v>12336.91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-24800</v>
      </c>
      <c r="E276" s="14">
        <f>-data!BI70</f>
        <v>0</v>
      </c>
      <c r="F276" s="14">
        <f>-data!BJ70</f>
        <v>-4992</v>
      </c>
      <c r="G276" s="14">
        <f>-data!BK70</f>
        <v>-882</v>
      </c>
      <c r="H276" s="14">
        <f>-data!BL70</f>
        <v>-4484.3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0</v>
      </c>
      <c r="D277" s="14">
        <f>data!BH71</f>
        <v>3995846.7800000003</v>
      </c>
      <c r="E277" s="14">
        <f>data!BI71</f>
        <v>0</v>
      </c>
      <c r="F277" s="14">
        <f>data!BJ71</f>
        <v>667204.32999999996</v>
      </c>
      <c r="G277" s="14">
        <f>data!BK71</f>
        <v>1850467.5799999998</v>
      </c>
      <c r="H277" s="14">
        <f>data!BL71</f>
        <v>1744653.8759999999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0</v>
      </c>
      <c r="D284" s="85">
        <f>data!BH76</f>
        <v>1780</v>
      </c>
      <c r="E284" s="85">
        <f>data!BI76</f>
        <v>0</v>
      </c>
      <c r="F284" s="85">
        <f>data!BJ76</f>
        <v>1241</v>
      </c>
      <c r="G284" s="85">
        <f>data!BK76</f>
        <v>3442</v>
      </c>
      <c r="H284" s="85">
        <f>data!BL76</f>
        <v>12125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1780</v>
      </c>
      <c r="E286" s="85">
        <f>data!BI78</f>
        <v>0</v>
      </c>
      <c r="F286" s="209" t="str">
        <f>IF(data!BJ78&gt;0,data!BJ78,"")</f>
        <v>x</v>
      </c>
      <c r="G286" s="85">
        <f>data!BK78</f>
        <v>3442</v>
      </c>
      <c r="H286" s="85">
        <f>data!BL78</f>
        <v>12125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Island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6.18</v>
      </c>
      <c r="D298" s="26">
        <f>data!BO60</f>
        <v>0.64</v>
      </c>
      <c r="E298" s="26">
        <f>data!BP60</f>
        <v>2.25</v>
      </c>
      <c r="F298" s="26">
        <f>data!BQ60</f>
        <v>0</v>
      </c>
      <c r="G298" s="26">
        <f>data!BR60</f>
        <v>5.44</v>
      </c>
      <c r="H298" s="26">
        <f>data!BS60</f>
        <v>1.01</v>
      </c>
      <c r="I298" s="26">
        <f>data!BT60</f>
        <v>0.11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1704245.72</v>
      </c>
      <c r="D299" s="14">
        <f>data!BO61</f>
        <v>47556.59</v>
      </c>
      <c r="E299" s="14">
        <f>data!BP61</f>
        <v>172109.09</v>
      </c>
      <c r="F299" s="14">
        <f>data!BQ61</f>
        <v>0</v>
      </c>
      <c r="G299" s="14">
        <f>data!BR61</f>
        <v>401750.3</v>
      </c>
      <c r="H299" s="14">
        <f>data!BS61</f>
        <v>53432.07</v>
      </c>
      <c r="I299" s="14">
        <f>data!BT61</f>
        <v>6147.66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305758</v>
      </c>
      <c r="D300" s="14">
        <f>data!BO62</f>
        <v>14852</v>
      </c>
      <c r="E300" s="14">
        <f>data!BP62</f>
        <v>50288</v>
      </c>
      <c r="F300" s="14">
        <f>data!BQ62</f>
        <v>0</v>
      </c>
      <c r="G300" s="14">
        <f>data!BR62</f>
        <v>139400</v>
      </c>
      <c r="H300" s="14">
        <f>data!BS62</f>
        <v>18724</v>
      </c>
      <c r="I300" s="14">
        <f>data!BT62</f>
        <v>679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569347.92000000004</v>
      </c>
      <c r="D301" s="14">
        <f>data!BO63</f>
        <v>0</v>
      </c>
      <c r="E301" s="14">
        <f>data!BP63</f>
        <v>51153.06</v>
      </c>
      <c r="F301" s="14">
        <f>data!BQ63</f>
        <v>0</v>
      </c>
      <c r="G301" s="14">
        <f>data!BR63</f>
        <v>105027.01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11951.49</v>
      </c>
      <c r="D302" s="14">
        <f>data!BO64</f>
        <v>26499.39</v>
      </c>
      <c r="E302" s="14">
        <f>data!BP64</f>
        <v>76633.100000000006</v>
      </c>
      <c r="F302" s="14">
        <f>data!BQ64</f>
        <v>0</v>
      </c>
      <c r="G302" s="14">
        <f>data!BR64</f>
        <v>8398.7099999999991</v>
      </c>
      <c r="H302" s="14">
        <f>data!BS64</f>
        <v>2370.15</v>
      </c>
      <c r="I302" s="14">
        <f>data!BT64</f>
        <v>560.24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336.21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14475.82</v>
      </c>
      <c r="D304" s="14">
        <f>data!BO66</f>
        <v>55239.77</v>
      </c>
      <c r="E304" s="14">
        <f>data!BP66</f>
        <v>144533.72</v>
      </c>
      <c r="F304" s="14">
        <f>data!BQ66</f>
        <v>0</v>
      </c>
      <c r="G304" s="14">
        <f>data!BR66</f>
        <v>57576.1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10362</v>
      </c>
      <c r="D305" s="14">
        <f>data!BO67</f>
        <v>0</v>
      </c>
      <c r="E305" s="14">
        <f>data!BP67</f>
        <v>21292</v>
      </c>
      <c r="F305" s="14">
        <f>data!BQ67</f>
        <v>0</v>
      </c>
      <c r="G305" s="14">
        <f>data!BR67</f>
        <v>7036</v>
      </c>
      <c r="H305" s="14">
        <f>data!BS67</f>
        <v>6647</v>
      </c>
      <c r="I305" s="14">
        <f>data!BT67</f>
        <v>2306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1256.97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197318.8</v>
      </c>
      <c r="D307" s="14">
        <f>data!BO69</f>
        <v>-52</v>
      </c>
      <c r="E307" s="14">
        <f>data!BP69</f>
        <v>1316.1</v>
      </c>
      <c r="F307" s="14">
        <f>data!BQ69</f>
        <v>0</v>
      </c>
      <c r="G307" s="14">
        <f>data!BR69</f>
        <v>34821.300000000003</v>
      </c>
      <c r="H307" s="14">
        <f>data!BS69</f>
        <v>1248.5</v>
      </c>
      <c r="I307" s="14">
        <f>data!BT69</f>
        <v>400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-10046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2814716.72</v>
      </c>
      <c r="D309" s="14">
        <f>data!BO71</f>
        <v>144095.75</v>
      </c>
      <c r="E309" s="14">
        <f>data!BP71</f>
        <v>517325.06999999995</v>
      </c>
      <c r="F309" s="14">
        <f>data!BQ71</f>
        <v>0</v>
      </c>
      <c r="G309" s="14">
        <f>data!BR71</f>
        <v>754009.42</v>
      </c>
      <c r="H309" s="14">
        <f>data!BS71</f>
        <v>82421.72</v>
      </c>
      <c r="I309" s="14">
        <f>data!BT71</f>
        <v>383.11000000000058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1627</v>
      </c>
      <c r="D316" s="85">
        <f>data!BO76</f>
        <v>0</v>
      </c>
      <c r="E316" s="85">
        <f>data!BP76</f>
        <v>129</v>
      </c>
      <c r="F316" s="85">
        <f>data!BQ76</f>
        <v>0</v>
      </c>
      <c r="G316" s="85">
        <f>data!BR76</f>
        <v>1193</v>
      </c>
      <c r="H316" s="85">
        <f>data!BS76</f>
        <v>1127</v>
      </c>
      <c r="I316" s="85">
        <f>data!BT76</f>
        <v>391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1127</v>
      </c>
      <c r="I318" s="85">
        <f>data!BT78</f>
        <v>391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Island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0.33</v>
      </c>
      <c r="D330" s="26">
        <f>data!BV60</f>
        <v>13.23</v>
      </c>
      <c r="E330" s="26">
        <f>data!BW60</f>
        <v>0.97</v>
      </c>
      <c r="F330" s="26">
        <f>data!BX60</f>
        <v>6.64</v>
      </c>
      <c r="G330" s="26">
        <f>data!BY60</f>
        <v>2.46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13332.41</v>
      </c>
      <c r="D331" s="86">
        <f>data!BV61</f>
        <v>565543.68000000005</v>
      </c>
      <c r="E331" s="86">
        <f>data!BW61</f>
        <v>81838</v>
      </c>
      <c r="F331" s="86">
        <f>data!BX61</f>
        <v>499925.01</v>
      </c>
      <c r="G331" s="86">
        <f>data!BY61</f>
        <v>200036.22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1529</v>
      </c>
      <c r="D332" s="86">
        <f>data!BV62</f>
        <v>197048</v>
      </c>
      <c r="E332" s="86">
        <f>data!BW62</f>
        <v>22257</v>
      </c>
      <c r="F332" s="86">
        <f>data!BX62</f>
        <v>124821</v>
      </c>
      <c r="G332" s="86">
        <f>data!BY62</f>
        <v>28886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53884.5</v>
      </c>
      <c r="E333" s="86">
        <f>data!BW63</f>
        <v>9438</v>
      </c>
      <c r="F333" s="86">
        <f>data!BX63</f>
        <v>43556.66</v>
      </c>
      <c r="G333" s="86">
        <f>data!BY63</f>
        <v>634.37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373.43</v>
      </c>
      <c r="D334" s="86">
        <f>data!BV64</f>
        <v>8941.07</v>
      </c>
      <c r="E334" s="86">
        <f>data!BW64</f>
        <v>876.71</v>
      </c>
      <c r="F334" s="86">
        <f>data!BX64</f>
        <v>1627.75</v>
      </c>
      <c r="G334" s="86">
        <f>data!BY64</f>
        <v>10326.99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50</v>
      </c>
      <c r="E335" s="86">
        <f>data!BW65</f>
        <v>0</v>
      </c>
      <c r="F335" s="86">
        <f>data!BX65</f>
        <v>413.05</v>
      </c>
      <c r="G335" s="86">
        <f>data!BY65</f>
        <v>891.7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134398.96</v>
      </c>
      <c r="E336" s="86">
        <f>data!BW66</f>
        <v>0</v>
      </c>
      <c r="F336" s="86">
        <f>data!BX66</f>
        <v>28963.69</v>
      </c>
      <c r="G336" s="86">
        <f>data!BY66</f>
        <v>27527.21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3291</v>
      </c>
      <c r="D337" s="86">
        <f>data!BV67</f>
        <v>9497</v>
      </c>
      <c r="E337" s="86">
        <f>data!BW67</f>
        <v>1451</v>
      </c>
      <c r="F337" s="86">
        <f>data!BX67</f>
        <v>2620</v>
      </c>
      <c r="G337" s="86">
        <f>data!BY67</f>
        <v>3492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2602.0100000000002</v>
      </c>
      <c r="D339" s="86">
        <f>data!BV69</f>
        <v>5112.22</v>
      </c>
      <c r="E339" s="86">
        <f>data!BW69</f>
        <v>4194.0200000000004</v>
      </c>
      <c r="F339" s="86">
        <f>data!BX69</f>
        <v>3876.79</v>
      </c>
      <c r="G339" s="86">
        <f>data!BY69</f>
        <v>84254.26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21127.85</v>
      </c>
      <c r="D341" s="14">
        <f>data!BV71</f>
        <v>974475.42999999993</v>
      </c>
      <c r="E341" s="14">
        <f>data!BW71</f>
        <v>120054.73000000001</v>
      </c>
      <c r="F341" s="14">
        <f>data!BX71</f>
        <v>705803.95000000007</v>
      </c>
      <c r="G341" s="14">
        <f>data!BY71</f>
        <v>356048.75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558</v>
      </c>
      <c r="D348" s="85">
        <f>data!BV76</f>
        <v>1426</v>
      </c>
      <c r="E348" s="85">
        <f>data!BW76</f>
        <v>246</v>
      </c>
      <c r="F348" s="85">
        <f>data!BX76</f>
        <v>200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558</v>
      </c>
      <c r="D350" s="85">
        <f>data!BV78</f>
        <v>1426</v>
      </c>
      <c r="E350" s="85">
        <f>data!BW78</f>
        <v>246</v>
      </c>
      <c r="F350" s="85">
        <f>data!BX78</f>
        <v>200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Island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7.18</v>
      </c>
      <c r="E362" s="213"/>
      <c r="F362" s="207"/>
      <c r="G362" s="207"/>
      <c r="H362" s="207"/>
      <c r="I362" s="87">
        <f>data!CE60</f>
        <v>533.77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77240.209999999992</v>
      </c>
      <c r="D363" s="86">
        <f>data!CC61</f>
        <v>371085.78999999992</v>
      </c>
      <c r="E363" s="214"/>
      <c r="F363" s="215"/>
      <c r="G363" s="215"/>
      <c r="H363" s="215"/>
      <c r="I363" s="86">
        <f>data!CE61</f>
        <v>41891481.199999996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136114</v>
      </c>
      <c r="E364" s="214"/>
      <c r="F364" s="215"/>
      <c r="G364" s="215"/>
      <c r="H364" s="215"/>
      <c r="I364" s="86">
        <f>data!CE62</f>
        <v>10516283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1017.6</v>
      </c>
      <c r="D365" s="86">
        <f>data!CC63</f>
        <v>106886.31</v>
      </c>
      <c r="E365" s="214"/>
      <c r="F365" s="215"/>
      <c r="G365" s="215"/>
      <c r="H365" s="215"/>
      <c r="I365" s="86">
        <f>data!CE63</f>
        <v>5079796.6199999982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3445.21</v>
      </c>
      <c r="D366" s="86">
        <f>data!CC64</f>
        <v>7692.1600000000008</v>
      </c>
      <c r="E366" s="214"/>
      <c r="F366" s="215"/>
      <c r="G366" s="215"/>
      <c r="H366" s="215"/>
      <c r="I366" s="86">
        <f>data!CE64</f>
        <v>22932633.259999994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122683.84999999999</v>
      </c>
      <c r="E367" s="214"/>
      <c r="F367" s="215"/>
      <c r="G367" s="215"/>
      <c r="H367" s="215"/>
      <c r="I367" s="86">
        <f>data!CE65</f>
        <v>766801.76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1306.71</v>
      </c>
      <c r="D368" s="86">
        <f>data!CC66</f>
        <v>313824.69</v>
      </c>
      <c r="E368" s="214"/>
      <c r="F368" s="215"/>
      <c r="G368" s="215"/>
      <c r="H368" s="215"/>
      <c r="I368" s="86">
        <f>data!CE66</f>
        <v>8491562.5859999992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3792</v>
      </c>
      <c r="D369" s="86">
        <f>data!CC67</f>
        <v>969995</v>
      </c>
      <c r="E369" s="214"/>
      <c r="F369" s="215"/>
      <c r="G369" s="215"/>
      <c r="H369" s="215"/>
      <c r="I369" s="86">
        <f>data!CE67</f>
        <v>4575133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3171.78</v>
      </c>
      <c r="E370" s="214"/>
      <c r="F370" s="215"/>
      <c r="G370" s="215"/>
      <c r="H370" s="215"/>
      <c r="I370" s="86">
        <f>data!CE68</f>
        <v>860867.44000000006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2197.42</v>
      </c>
      <c r="D371" s="86">
        <f>data!CC69</f>
        <v>1763740.2300000002</v>
      </c>
      <c r="E371" s="86">
        <f>data!CD69</f>
        <v>0</v>
      </c>
      <c r="F371" s="215"/>
      <c r="G371" s="215"/>
      <c r="H371" s="215"/>
      <c r="I371" s="86">
        <f>data!CE69</f>
        <v>2551545.58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-106623</v>
      </c>
      <c r="D372" s="14">
        <f>-data!CC70</f>
        <v>-49240.58</v>
      </c>
      <c r="E372" s="225">
        <f>data!CD70</f>
        <v>0</v>
      </c>
      <c r="F372" s="216"/>
      <c r="G372" s="216"/>
      <c r="H372" s="216"/>
      <c r="I372" s="14">
        <f>-data!CE70</f>
        <v>-1047510.9100000001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-17623.849999999991</v>
      </c>
      <c r="D373" s="86">
        <f>data!CC71</f>
        <v>3745953.23</v>
      </c>
      <c r="E373" s="86">
        <f>data!CD71</f>
        <v>0</v>
      </c>
      <c r="F373" s="215"/>
      <c r="G373" s="215"/>
      <c r="H373" s="215"/>
      <c r="I373" s="14">
        <f>data!CE71</f>
        <v>96618593.535999984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-5517553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62856837.629999995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178099905.14000002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240956742.77000001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643</v>
      </c>
      <c r="D380" s="85">
        <f>data!CC76</f>
        <v>45760</v>
      </c>
      <c r="E380" s="210"/>
      <c r="F380" s="207"/>
      <c r="G380" s="207"/>
      <c r="H380" s="207"/>
      <c r="I380" s="14">
        <f>data!CE76</f>
        <v>205935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22947</v>
      </c>
    </row>
    <row r="382" spans="1:9" ht="20.100000000000001" customHeight="1" x14ac:dyDescent="0.25">
      <c r="A382" s="23">
        <v>24</v>
      </c>
      <c r="B382" s="14" t="s">
        <v>924</v>
      </c>
      <c r="C382" s="14">
        <f>IF(data!CB78&gt;0,data!CB78,"")</f>
        <v>643</v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132786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462594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105.04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2020-11-20T21:50:15Z</dcterms:modified>
</cp:coreProperties>
</file>